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C:\Users\ssterl\Documents\VUB Work Files\19002 Paper hydro-solar-wind REVUB\Paper draft\3rd submission NSustainability\"/>
    </mc:Choice>
  </mc:AlternateContent>
  <xr:revisionPtr revIDLastSave="0" documentId="13_ncr:1_{9D418A22-7C41-45A8-91BC-DBACAE0822B1}" xr6:coauthVersionLast="44" xr6:coauthVersionMax="44" xr10:uidLastSave="{00000000-0000-0000-0000-000000000000}"/>
  <bookViews>
    <workbookView xWindow="-110" yWindow="-110" windowWidth="19420" windowHeight="10420" xr2:uid="{00000000-000D-0000-FFFF-FFFF00000000}"/>
  </bookViews>
  <sheets>
    <sheet name="Overview" sheetId="7" r:id="rId1"/>
    <sheet name="Hydro" sheetId="1" r:id="rId2"/>
    <sheet name="Solar PV" sheetId="4" r:id="rId3"/>
    <sheet name="Wind" sheetId="11" r:id="rId4"/>
    <sheet name="Data sources" sheetId="8" r:id="rId5"/>
    <sheet name="Admin" sheetId="9" state="hidden" r:id="rId6"/>
  </sheets>
  <definedNames>
    <definedName name="_xlnm._FilterDatabase" localSheetId="1" hidden="1">Hydro!$I$1:$I$290</definedName>
    <definedName name="_xlnm._FilterDatabase" localSheetId="2" hidden="1">'Solar PV'!#REF!</definedName>
    <definedName name="_xlnm._FilterDatabase" localSheetId="3" hidden="1">Wind!#REF!</definedName>
    <definedName name="Calculation_methods">Admin!$F$3:$F$5</definedName>
    <definedName name="Exclusion_reasons">Admin!$B$3:$B$7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37" i="11" l="1"/>
  <c r="T107" i="1" l="1"/>
  <c r="R107" i="1" l="1"/>
  <c r="R278" i="1" l="1"/>
  <c r="T197" i="1" l="1"/>
  <c r="R197" i="1"/>
  <c r="R253" i="1" l="1"/>
  <c r="I12" i="4" l="1"/>
  <c r="I39" i="4" l="1"/>
  <c r="I15" i="4" l="1"/>
  <c r="T43" i="1" l="1"/>
  <c r="R43" i="1"/>
  <c r="R234" i="1"/>
  <c r="R13" i="1" l="1"/>
  <c r="R105" i="1" l="1"/>
  <c r="T239" i="1" l="1"/>
  <c r="T252" i="1"/>
  <c r="R252" i="1"/>
  <c r="T6" i="1" l="1"/>
  <c r="R14" i="1" l="1"/>
  <c r="I82" i="4" l="1"/>
  <c r="R30" i="1"/>
  <c r="R280" i="1"/>
  <c r="R29" i="1"/>
  <c r="R284" i="1"/>
  <c r="R285" i="1"/>
  <c r="R279" i="1"/>
  <c r="R25" i="1"/>
  <c r="R24" i="1"/>
  <c r="R28" i="1"/>
  <c r="R196" i="1"/>
  <c r="T196" i="1"/>
  <c r="T234" i="1"/>
  <c r="T100" i="1"/>
  <c r="T276" i="1"/>
  <c r="T8" i="1"/>
  <c r="T7" i="1"/>
  <c r="T161" i="1"/>
  <c r="T195" i="1"/>
  <c r="T45" i="1"/>
  <c r="T181" i="1"/>
  <c r="T277" i="1"/>
  <c r="T44" i="1"/>
  <c r="T191" i="1"/>
  <c r="T42" i="1"/>
  <c r="T73" i="1"/>
  <c r="T72" i="1"/>
  <c r="T189" i="1"/>
  <c r="T160" i="1"/>
  <c r="T106" i="1"/>
  <c r="R7" i="1"/>
  <c r="R8" i="1"/>
  <c r="R276" i="1"/>
  <c r="R23" i="1"/>
  <c r="R267" i="1"/>
  <c r="R250" i="1"/>
  <c r="R248" i="1"/>
  <c r="R264" i="1"/>
  <c r="R249" i="1"/>
  <c r="R258" i="1"/>
  <c r="R257" i="1"/>
  <c r="R243" i="1"/>
  <c r="R251" i="1"/>
  <c r="R255" i="1"/>
  <c r="R241" i="1"/>
  <c r="R242" i="1"/>
  <c r="R246" i="1"/>
  <c r="R240" i="1"/>
  <c r="R259" i="1"/>
  <c r="R245" i="1"/>
  <c r="R256" i="1"/>
  <c r="R244" i="1"/>
  <c r="R238" i="1"/>
  <c r="R260" i="1"/>
  <c r="K230" i="1"/>
  <c r="R6" i="1"/>
  <c r="O27" i="1"/>
  <c r="R79" i="1"/>
  <c r="R21" i="1"/>
  <c r="R26" i="1"/>
  <c r="R27" i="1"/>
  <c r="R182" i="1"/>
  <c r="R160" i="1"/>
  <c r="R162" i="1"/>
  <c r="R48" i="1"/>
  <c r="R47" i="1"/>
  <c r="R49" i="1"/>
  <c r="R44" i="1"/>
  <c r="R42" i="1"/>
  <c r="R45" i="1"/>
  <c r="R46" i="1"/>
  <c r="R75" i="1"/>
  <c r="R77" i="1"/>
  <c r="R76" i="1"/>
  <c r="R74" i="1"/>
  <c r="R73" i="1"/>
  <c r="R72" i="1"/>
  <c r="R192" i="1"/>
  <c r="R188" i="1"/>
  <c r="R195" i="1"/>
  <c r="R193" i="1"/>
  <c r="R194" i="1"/>
  <c r="R191" i="1"/>
  <c r="R190" i="1"/>
  <c r="R189" i="1"/>
  <c r="O22" i="1"/>
  <c r="R22" i="1"/>
  <c r="R111" i="1"/>
  <c r="R103" i="1"/>
  <c r="O137" i="1"/>
  <c r="R137" i="1"/>
  <c r="R135" i="1"/>
  <c r="R106" i="1"/>
  <c r="R122" i="1"/>
  <c r="R104" i="1"/>
  <c r="R132" i="1"/>
  <c r="R112" i="1"/>
  <c r="R100" i="1"/>
  <c r="R101" i="1"/>
  <c r="R102" i="1"/>
  <c r="R181" i="1"/>
</calcChain>
</file>

<file path=xl/sharedStrings.xml><?xml version="1.0" encoding="utf-8"?>
<sst xmlns="http://schemas.openxmlformats.org/spreadsheetml/2006/main" count="3912" uniqueCount="1242">
  <si>
    <t>Dam</t>
  </si>
  <si>
    <t>Longitude</t>
  </si>
  <si>
    <t>Latitude</t>
  </si>
  <si>
    <t>Mali</t>
  </si>
  <si>
    <t>Planned</t>
  </si>
  <si>
    <t>Manantali</t>
  </si>
  <si>
    <t>Senegal</t>
  </si>
  <si>
    <t>Guinée-Conakry</t>
  </si>
  <si>
    <t>Baneah (Banieya)</t>
  </si>
  <si>
    <t>Souapiti</t>
  </si>
  <si>
    <t>Garafiri</t>
  </si>
  <si>
    <t>Samankou</t>
  </si>
  <si>
    <t>Kinkon</t>
  </si>
  <si>
    <t>Digan</t>
  </si>
  <si>
    <t>Kassa B</t>
  </si>
  <si>
    <t>Sierra Leone</t>
  </si>
  <si>
    <t>Charlotte</t>
  </si>
  <si>
    <t>Guma</t>
  </si>
  <si>
    <t>Moyamba Hydro</t>
  </si>
  <si>
    <t>Yele</t>
  </si>
  <si>
    <t>Liberia</t>
  </si>
  <si>
    <t>Firestone (Harbel)</t>
  </si>
  <si>
    <t>Guiné-Bissau</t>
  </si>
  <si>
    <t>Burkina Faso</t>
  </si>
  <si>
    <t>Kompienga</t>
  </si>
  <si>
    <t>Niger</t>
  </si>
  <si>
    <t>Tahibli</t>
  </si>
  <si>
    <t>Faye (San Pedro, Grah)</t>
  </si>
  <si>
    <t>Buyo</t>
  </si>
  <si>
    <t>Gribo Popoli</t>
  </si>
  <si>
    <t>Kossou</t>
  </si>
  <si>
    <t>Ayame I</t>
  </si>
  <si>
    <t>Ghana</t>
  </si>
  <si>
    <t>Bui</t>
  </si>
  <si>
    <t>Togo</t>
  </si>
  <si>
    <t>Nigeria</t>
  </si>
  <si>
    <t>Oyan</t>
  </si>
  <si>
    <t>Ikere Gorge</t>
  </si>
  <si>
    <t>Kainji</t>
  </si>
  <si>
    <t>Ekiti</t>
  </si>
  <si>
    <t>Kwa Falls</t>
  </si>
  <si>
    <t>Tunga</t>
  </si>
  <si>
    <t>Gurara</t>
  </si>
  <si>
    <t>Shiroro</t>
  </si>
  <si>
    <t>Zungeru</t>
  </si>
  <si>
    <t>Ngell</t>
  </si>
  <si>
    <t>Kwali Falls</t>
  </si>
  <si>
    <t>Ouree</t>
  </si>
  <si>
    <t>Jekko 1</t>
  </si>
  <si>
    <t>Kurra (Kurra Falls)</t>
  </si>
  <si>
    <t>Jekko 2</t>
  </si>
  <si>
    <t>Ankwil 1 (Bagel 1)</t>
  </si>
  <si>
    <t>Ankwil 2 (Bagel 2)</t>
  </si>
  <si>
    <t>River</t>
  </si>
  <si>
    <t>Dam height (m)</t>
  </si>
  <si>
    <t>Diaréguéla</t>
  </si>
  <si>
    <t>Bia</t>
  </si>
  <si>
    <t>Bafing</t>
  </si>
  <si>
    <t>Sankarani</t>
  </si>
  <si>
    <t>Konkouré</t>
  </si>
  <si>
    <t>Kaaba</t>
  </si>
  <si>
    <t>Niandan</t>
  </si>
  <si>
    <t>Sassandra</t>
  </si>
  <si>
    <t>Cavally</t>
  </si>
  <si>
    <t>Bandama</t>
  </si>
  <si>
    <t>Volta</t>
  </si>
  <si>
    <t>Black Volta / Bui</t>
  </si>
  <si>
    <t>Mono</t>
  </si>
  <si>
    <t>Gambia</t>
  </si>
  <si>
    <t>Kaduna</t>
  </si>
  <si>
    <t>Kaduna, Dinya</t>
  </si>
  <si>
    <t>Gongola</t>
  </si>
  <si>
    <t>Donga</t>
  </si>
  <si>
    <t>Gozoguézia</t>
  </si>
  <si>
    <t>Diani</t>
  </si>
  <si>
    <t>Makona</t>
  </si>
  <si>
    <t>Lokoua</t>
  </si>
  <si>
    <t>Tanto</t>
  </si>
  <si>
    <t>Dion</t>
  </si>
  <si>
    <t>Cogon</t>
  </si>
  <si>
    <t>Saranwol</t>
  </si>
  <si>
    <t>Labagué</t>
  </si>
  <si>
    <t>Balassa</t>
  </si>
  <si>
    <t>Diaoya</t>
  </si>
  <si>
    <t>N'Zebela</t>
  </si>
  <si>
    <t>Singuega</t>
  </si>
  <si>
    <t>Madina</t>
  </si>
  <si>
    <t>Keno</t>
  </si>
  <si>
    <t>Touba</t>
  </si>
  <si>
    <t>Lougambé</t>
  </si>
  <si>
    <t>Sérédou</t>
  </si>
  <si>
    <t>Tiopo</t>
  </si>
  <si>
    <t>Djolol Yillabhé</t>
  </si>
  <si>
    <t>Féllo Sounga</t>
  </si>
  <si>
    <t>Grand Kinkon</t>
  </si>
  <si>
    <t>Kora Findi</t>
  </si>
  <si>
    <t>Poudaldé</t>
  </si>
  <si>
    <t>Fatala</t>
  </si>
  <si>
    <t>Nongoa</t>
  </si>
  <si>
    <t>Head drop (m)</t>
  </si>
  <si>
    <t>Milo</t>
  </si>
  <si>
    <t>Samou</t>
  </si>
  <si>
    <t>Mékrou</t>
  </si>
  <si>
    <t>Mambilla</t>
  </si>
  <si>
    <t>Katsina Ala</t>
  </si>
  <si>
    <t>Benin</t>
  </si>
  <si>
    <t>Vossa</t>
  </si>
  <si>
    <t>Basin</t>
  </si>
  <si>
    <t>Akosombo</t>
  </si>
  <si>
    <t>Kulpawn</t>
  </si>
  <si>
    <t>Pwalugu</t>
  </si>
  <si>
    <t>Tanoso</t>
  </si>
  <si>
    <t>Ankobra</t>
  </si>
  <si>
    <t>Pra</t>
  </si>
  <si>
    <t>White Volta</t>
  </si>
  <si>
    <t>Oti</t>
  </si>
  <si>
    <t>Tano</t>
  </si>
  <si>
    <t>Boutoubré</t>
  </si>
  <si>
    <t>Gao</t>
  </si>
  <si>
    <t>N'Dieliesso</t>
  </si>
  <si>
    <t>Comoe</t>
  </si>
  <si>
    <t>Malasso</t>
  </si>
  <si>
    <t>Kokumbo</t>
  </si>
  <si>
    <t>Bouloumere</t>
  </si>
  <si>
    <t>Daboitier</t>
  </si>
  <si>
    <t>Brou Atakro</t>
  </si>
  <si>
    <t>Aboisso Comoe</t>
  </si>
  <si>
    <t>Drou (Man)</t>
  </si>
  <si>
    <t>Kouroukoro</t>
  </si>
  <si>
    <t>Aboisso Bia</t>
  </si>
  <si>
    <t>Agneby</t>
  </si>
  <si>
    <t>Louga</t>
  </si>
  <si>
    <t>Moussala</t>
  </si>
  <si>
    <t>Badoumbé</t>
  </si>
  <si>
    <t>Falémé</t>
  </si>
  <si>
    <t>Yéripao</t>
  </si>
  <si>
    <t>Kiatiko</t>
  </si>
  <si>
    <t>Kétou-Dogo</t>
  </si>
  <si>
    <t>Ouémé</t>
  </si>
  <si>
    <t>Olougbé</t>
  </si>
  <si>
    <t>Bétérou</t>
  </si>
  <si>
    <t>Amaria</t>
  </si>
  <si>
    <t>Bakoy</t>
  </si>
  <si>
    <t>Béthél</t>
  </si>
  <si>
    <t>Djegbe</t>
  </si>
  <si>
    <t>Okpa</t>
  </si>
  <si>
    <t>Okpara</t>
  </si>
  <si>
    <t>ECOWREX</t>
  </si>
  <si>
    <t>Sewa</t>
  </si>
  <si>
    <t>Atan</t>
  </si>
  <si>
    <t>Donka</t>
  </si>
  <si>
    <t>Garin Dali</t>
  </si>
  <si>
    <t>Ikom</t>
  </si>
  <si>
    <t>Kano</t>
  </si>
  <si>
    <t>Karamti</t>
  </si>
  <si>
    <t>Lokoja</t>
  </si>
  <si>
    <t>Makurdi</t>
  </si>
  <si>
    <t>Middle Gurara</t>
  </si>
  <si>
    <t>Onitsha</t>
  </si>
  <si>
    <t>Yola</t>
  </si>
  <si>
    <t>Zamfara</t>
  </si>
  <si>
    <t>Cross</t>
  </si>
  <si>
    <t>Taraba</t>
  </si>
  <si>
    <t>Hadejia</t>
  </si>
  <si>
    <t>Kam</t>
  </si>
  <si>
    <t>Benue</t>
  </si>
  <si>
    <t>Osse</t>
  </si>
  <si>
    <t>Benue/Niger</t>
  </si>
  <si>
    <t>Bunsuru</t>
  </si>
  <si>
    <t>Ntereso</t>
  </si>
  <si>
    <t>Jambito</t>
  </si>
  <si>
    <t>Lanka</t>
  </si>
  <si>
    <t>Asuaso</t>
  </si>
  <si>
    <t>Sedukrom</t>
  </si>
  <si>
    <t>Abatumesu</t>
  </si>
  <si>
    <t>Kojokrom</t>
  </si>
  <si>
    <t>Black Volta</t>
  </si>
  <si>
    <t>[other small sites]</t>
  </si>
  <si>
    <t>[several]</t>
  </si>
  <si>
    <t>Bétérou-Bis</t>
  </si>
  <si>
    <t>[various]</t>
  </si>
  <si>
    <t>Samandéni</t>
  </si>
  <si>
    <t>Bougouriba</t>
  </si>
  <si>
    <t>Ouessa</t>
  </si>
  <si>
    <t>Afikpo</t>
  </si>
  <si>
    <t>Lere 1</t>
  </si>
  <si>
    <t>Lere 2</t>
  </si>
  <si>
    <t>Tiga (Kano)</t>
  </si>
  <si>
    <t>Little Scarcies</t>
  </si>
  <si>
    <t>Mange 2</t>
  </si>
  <si>
    <t>Kuse 2</t>
  </si>
  <si>
    <t>Kabala Falls</t>
  </si>
  <si>
    <t>Komoia</t>
  </si>
  <si>
    <t>Pampana</t>
  </si>
  <si>
    <t>Banda Karafain</t>
  </si>
  <si>
    <t>Moa</t>
  </si>
  <si>
    <t>Nyandehun</t>
  </si>
  <si>
    <t>Gbangbai</t>
  </si>
  <si>
    <t>Potential</t>
  </si>
  <si>
    <t>Beli</t>
  </si>
  <si>
    <t>Seli/Rokel</t>
  </si>
  <si>
    <t>Koukoutamba</t>
  </si>
  <si>
    <t>Lake Chad</t>
  </si>
  <si>
    <t>Namari Goungo</t>
  </si>
  <si>
    <t>Bouréya</t>
  </si>
  <si>
    <t>Kandadji</t>
  </si>
  <si>
    <t>Gongola/Benue</t>
  </si>
  <si>
    <t>Gambou</t>
  </si>
  <si>
    <t>Côte d'Ivoire</t>
  </si>
  <si>
    <t>Baraka</t>
  </si>
  <si>
    <t>Titana</t>
  </si>
  <si>
    <t>Betmai 1</t>
  </si>
  <si>
    <t>Betmai 2</t>
  </si>
  <si>
    <t>Kambatibo</t>
  </si>
  <si>
    <t>Kuse 1</t>
  </si>
  <si>
    <t>Maka</t>
  </si>
  <si>
    <t>Bumbuna Falls</t>
  </si>
  <si>
    <t>Tendata</t>
  </si>
  <si>
    <t>Mange 1</t>
  </si>
  <si>
    <t>Betmai 3</t>
  </si>
  <si>
    <t>Kumba</t>
  </si>
  <si>
    <t>Bindougou</t>
  </si>
  <si>
    <t>Félou</t>
  </si>
  <si>
    <t>Dadin-Kowa</t>
  </si>
  <si>
    <t>Ogun</t>
  </si>
  <si>
    <t>St Paul</t>
  </si>
  <si>
    <t>Lofa</t>
  </si>
  <si>
    <t>Corubal</t>
  </si>
  <si>
    <t>Kwa</t>
  </si>
  <si>
    <t>Farmington</t>
  </si>
  <si>
    <t>Koul Péolgo</t>
  </si>
  <si>
    <t>Rokel</t>
  </si>
  <si>
    <t>Mongo</t>
  </si>
  <si>
    <t>Jong</t>
  </si>
  <si>
    <t>Banka Soka</t>
  </si>
  <si>
    <t>Teye</t>
  </si>
  <si>
    <t>[unknown]</t>
  </si>
  <si>
    <t>Sotuba</t>
  </si>
  <si>
    <t>Levuma</t>
  </si>
  <si>
    <t>Year</t>
  </si>
  <si>
    <t>Samankou (upgrade)</t>
  </si>
  <si>
    <t>Joromo</t>
  </si>
  <si>
    <t>Cusilinta</t>
  </si>
  <si>
    <t>Maximum volume (m^3)</t>
  </si>
  <si>
    <t>Maximum area (m^2)</t>
  </si>
  <si>
    <t>Sélingué</t>
  </si>
  <si>
    <t>Taabo</t>
  </si>
  <si>
    <t>Adjarala</t>
  </si>
  <si>
    <t>Sambangalou</t>
  </si>
  <si>
    <t>Awiasam</t>
  </si>
  <si>
    <t>Cové</t>
  </si>
  <si>
    <t>Zou</t>
  </si>
  <si>
    <t>Kara</t>
  </si>
  <si>
    <t>Dotekopé</t>
  </si>
  <si>
    <t>Gban Hou</t>
  </si>
  <si>
    <t>Sokologbo</t>
  </si>
  <si>
    <t>Titira</t>
  </si>
  <si>
    <t>Kéran</t>
  </si>
  <si>
    <t>Sota</t>
  </si>
  <si>
    <t>Zouka Tondji</t>
  </si>
  <si>
    <t>Djamdé / Tihalea</t>
  </si>
  <si>
    <t>Capacity (MW)</t>
  </si>
  <si>
    <t>Garaku Afri</t>
  </si>
  <si>
    <t>Solar PV</t>
  </si>
  <si>
    <t>Ganjuwa LGA</t>
  </si>
  <si>
    <t>Katsina Solar</t>
  </si>
  <si>
    <t>Wind</t>
  </si>
  <si>
    <t>Kissosso</t>
  </si>
  <si>
    <t>Dubréka</t>
  </si>
  <si>
    <t>Kankan</t>
  </si>
  <si>
    <t>Kerouané</t>
  </si>
  <si>
    <t>Kouroussa</t>
  </si>
  <si>
    <t>Madiana</t>
  </si>
  <si>
    <t>Bamako 1</t>
  </si>
  <si>
    <t>Mopti</t>
  </si>
  <si>
    <t>Gao centrale solaire</t>
  </si>
  <si>
    <t>Tombouctou</t>
  </si>
  <si>
    <t>Diabaly</t>
  </si>
  <si>
    <t>Kolokani</t>
  </si>
  <si>
    <t>M'Pessoba</t>
  </si>
  <si>
    <t>Niafunké</t>
  </si>
  <si>
    <t>San</t>
  </si>
  <si>
    <t>Malicounda</t>
  </si>
  <si>
    <t>Santhiou Mekhe</t>
  </si>
  <si>
    <t>Merina Ndakhar</t>
  </si>
  <si>
    <t>Bokhol</t>
  </si>
  <si>
    <t>Tambacounda</t>
  </si>
  <si>
    <t>Ziguinchor</t>
  </si>
  <si>
    <t>Sakal</t>
  </si>
  <si>
    <t>Taiba Ndiaye</t>
  </si>
  <si>
    <t>Centrale Diass</t>
  </si>
  <si>
    <t>Kahone/Kaolack</t>
  </si>
  <si>
    <t>Odienne Solaire</t>
  </si>
  <si>
    <t>Korhogo Solaire</t>
  </si>
  <si>
    <t>Navrongo</t>
  </si>
  <si>
    <t>Ayitepa</t>
  </si>
  <si>
    <t>Devego-Lomé</t>
  </si>
  <si>
    <t>Solar CEB</t>
  </si>
  <si>
    <t>IPP_Solar 3 (Kara)</t>
  </si>
  <si>
    <t>Gorou Banda</t>
  </si>
  <si>
    <t>Agadez</t>
  </si>
  <si>
    <t>Dosso</t>
  </si>
  <si>
    <t>Maradi</t>
  </si>
  <si>
    <t>Parc éolien de 30 MW</t>
  </si>
  <si>
    <t>Zagtouli</t>
  </si>
  <si>
    <t>Zano</t>
  </si>
  <si>
    <t>Fada N'Gourma 2</t>
  </si>
  <si>
    <t>Dori 2</t>
  </si>
  <si>
    <t>Pa</t>
  </si>
  <si>
    <t>Kodeni</t>
  </si>
  <si>
    <t>Dedougou 2</t>
  </si>
  <si>
    <t>Ziga</t>
  </si>
  <si>
    <t>Emerging Power Solar PV</t>
  </si>
  <si>
    <t>Brikama</t>
  </si>
  <si>
    <t>Tujereng</t>
  </si>
  <si>
    <t>Gamwind</t>
  </si>
  <si>
    <t>Batokunku</t>
  </si>
  <si>
    <t>Bakau</t>
  </si>
  <si>
    <t>SE4All</t>
  </si>
  <si>
    <t>Kayes</t>
  </si>
  <si>
    <t>Sikasso</t>
  </si>
  <si>
    <t>Koutiala</t>
  </si>
  <si>
    <t>Ségou</t>
  </si>
  <si>
    <t>Kita</t>
  </si>
  <si>
    <t>Fana</t>
  </si>
  <si>
    <t>Shiroro PV</t>
  </si>
  <si>
    <t>Kaduna GreenWish</t>
  </si>
  <si>
    <t>Jigawa GreenWish</t>
  </si>
  <si>
    <t>Delta State Utility Solar Project</t>
  </si>
  <si>
    <t>University of Ilorin / Kwara State</t>
  </si>
  <si>
    <t>FirstGate Solar Park / Kogi State</t>
  </si>
  <si>
    <t>Panyam  / Plateau State</t>
  </si>
  <si>
    <t>Nova Scotia / Dutse / Jigawa State</t>
  </si>
  <si>
    <t>Manchok Ranch  / Kaduna State</t>
  </si>
  <si>
    <t>Osun</t>
  </si>
  <si>
    <t>Kumbotso / Kano State</t>
  </si>
  <si>
    <t>Nasawara</t>
  </si>
  <si>
    <t>Sokoto</t>
  </si>
  <si>
    <t>Yola, Adamawa</t>
  </si>
  <si>
    <t>Khoummaguély / Kindia</t>
  </si>
  <si>
    <t>Mafanco</t>
  </si>
  <si>
    <t>Pobè</t>
  </si>
  <si>
    <t>Source</t>
  </si>
  <si>
    <t>Enugu GreenWish + Motir DuSable / Enugu State</t>
  </si>
  <si>
    <t>VRA+BXC Onyadze</t>
  </si>
  <si>
    <t>CICAD</t>
  </si>
  <si>
    <t>Dyodyonga</t>
  </si>
  <si>
    <t>Bagré</t>
  </si>
  <si>
    <t>Taoussa</t>
  </si>
  <si>
    <t>Jebba</t>
  </si>
  <si>
    <t>Kiri</t>
  </si>
  <si>
    <t>Kashimbilla</t>
  </si>
  <si>
    <t>Juale</t>
  </si>
  <si>
    <t>Daboya</t>
  </si>
  <si>
    <t>Tayaboui</t>
  </si>
  <si>
    <t>Singrobo-Ahouaty</t>
  </si>
  <si>
    <t>Nangbéto</t>
  </si>
  <si>
    <t>Tététou</t>
  </si>
  <si>
    <t>Assante</t>
  </si>
  <si>
    <t>Dékoussou</t>
  </si>
  <si>
    <t>Bekongor 2</t>
  </si>
  <si>
    <t>Bekongor 1</t>
  </si>
  <si>
    <t>Frankonedou/Kogbédou</t>
  </si>
  <si>
    <t>Dogo-bis</t>
  </si>
  <si>
    <t>Folonzo</t>
  </si>
  <si>
    <t>Baoulé 3/4</t>
  </si>
  <si>
    <t>Bagoué 2</t>
  </si>
  <si>
    <t>Kpessi</t>
  </si>
  <si>
    <t>Sarakawa</t>
  </si>
  <si>
    <t>Kolo-Kopé</t>
  </si>
  <si>
    <t>Tene I</t>
  </si>
  <si>
    <t>Tene</t>
  </si>
  <si>
    <t>Sounga</t>
  </si>
  <si>
    <t>Cestos</t>
  </si>
  <si>
    <t>Saint-John</t>
  </si>
  <si>
    <t>St John</t>
  </si>
  <si>
    <t>Mana Morro</t>
  </si>
  <si>
    <t>Bonkon-Diaria</t>
  </si>
  <si>
    <t>Fetore</t>
  </si>
  <si>
    <t>Kouravel</t>
  </si>
  <si>
    <t>Lafou</t>
  </si>
  <si>
    <t>Morisakano</t>
  </si>
  <si>
    <t>Bumbuna 1</t>
  </si>
  <si>
    <t>Bumbuna 2</t>
  </si>
  <si>
    <t>Ayame II</t>
  </si>
  <si>
    <t>Kaléta</t>
  </si>
  <si>
    <t>Fomi</t>
  </si>
  <si>
    <t>Ouaga Solaire + Patte d'Oie</t>
  </si>
  <si>
    <t>Léona</t>
  </si>
  <si>
    <t>Saint Louis</t>
  </si>
  <si>
    <t>Zina / Semafo Windiga (Mana)</t>
  </si>
  <si>
    <t>Malbaza I (7 MW) + II (13 MW, planned)</t>
  </si>
  <si>
    <t>Gardete (10 MW) + FREAD / BISSAU (20 MW)</t>
  </si>
  <si>
    <t>Bumbuna 3 (Yiben)</t>
  </si>
  <si>
    <t>Bumbuna 4 &amp; 5</t>
  </si>
  <si>
    <t>Newton Solar Park (Freetown)</t>
  </si>
  <si>
    <t>Bo</t>
  </si>
  <si>
    <t>Kouya</t>
  </si>
  <si>
    <t>Gurara II</t>
  </si>
  <si>
    <t>Gurara I</t>
  </si>
  <si>
    <t>Dasin Hausa</t>
  </si>
  <si>
    <t>Katsina Ali</t>
  </si>
  <si>
    <t>Grand Kenié</t>
  </si>
  <si>
    <t>Gaoulgo</t>
  </si>
  <si>
    <t>Labbezanga</t>
  </si>
  <si>
    <t>Mano</t>
  </si>
  <si>
    <t>Via</t>
  </si>
  <si>
    <t>Saint Paul 2</t>
  </si>
  <si>
    <t>Mano 2</t>
  </si>
  <si>
    <t>Batchanga</t>
  </si>
  <si>
    <t>Diebuugo</t>
  </si>
  <si>
    <t>Koulou</t>
  </si>
  <si>
    <t>Saint Paul 1B</t>
  </si>
  <si>
    <t>Soubré</t>
  </si>
  <si>
    <t>Description</t>
  </si>
  <si>
    <t>Copyright</t>
  </si>
  <si>
    <t>Disclaimer</t>
  </si>
  <si>
    <t>Introduction</t>
  </si>
  <si>
    <t>Contents</t>
  </si>
  <si>
    <t>Sheet 1</t>
  </si>
  <si>
    <t>Sheet 2</t>
  </si>
  <si>
    <t>Sheet 3</t>
  </si>
  <si>
    <t>Version log</t>
  </si>
  <si>
    <t>Date</t>
  </si>
  <si>
    <t>Version name</t>
  </si>
  <si>
    <t>Hydropower plant database</t>
  </si>
  <si>
    <t>Sources</t>
  </si>
  <si>
    <t>WARPD 1.0</t>
  </si>
  <si>
    <t>sebastian.sterl@vub.be</t>
  </si>
  <si>
    <t>Database of existing, ongoing, planned and potential hydro, solar and wind power plants across mainland West Africa</t>
  </si>
  <si>
    <r>
      <rPr>
        <b/>
        <sz val="10"/>
        <color theme="1"/>
        <rFont val="Verdana"/>
        <family val="2"/>
      </rPr>
      <t>W</t>
    </r>
    <r>
      <rPr>
        <sz val="10"/>
        <color theme="1"/>
        <rFont val="Verdana"/>
        <family val="2"/>
      </rPr>
      <t xml:space="preserve">est </t>
    </r>
    <r>
      <rPr>
        <b/>
        <sz val="10"/>
        <color theme="1"/>
        <rFont val="Verdana"/>
        <family val="2"/>
      </rPr>
      <t>A</t>
    </r>
    <r>
      <rPr>
        <sz val="10"/>
        <color theme="1"/>
        <rFont val="Verdana"/>
        <family val="2"/>
      </rPr>
      <t xml:space="preserve">frican </t>
    </r>
    <r>
      <rPr>
        <b/>
        <sz val="10"/>
        <color theme="1"/>
        <rFont val="Verdana"/>
        <family val="2"/>
      </rPr>
      <t>R</t>
    </r>
    <r>
      <rPr>
        <sz val="10"/>
        <color theme="1"/>
        <rFont val="Verdana"/>
        <family val="2"/>
      </rPr>
      <t xml:space="preserve">enewable </t>
    </r>
    <r>
      <rPr>
        <b/>
        <sz val="10"/>
        <color theme="1"/>
        <rFont val="Verdana"/>
        <family val="2"/>
      </rPr>
      <t>P</t>
    </r>
    <r>
      <rPr>
        <sz val="10"/>
        <color theme="1"/>
        <rFont val="Verdana"/>
        <family val="2"/>
      </rPr>
      <t xml:space="preserve">ower </t>
    </r>
    <r>
      <rPr>
        <b/>
        <sz val="10"/>
        <color theme="1"/>
        <rFont val="Verdana"/>
        <family val="2"/>
      </rPr>
      <t>D</t>
    </r>
    <r>
      <rPr>
        <sz val="10"/>
        <color theme="1"/>
        <rFont val="Verdana"/>
        <family val="2"/>
      </rPr>
      <t>atabase</t>
    </r>
  </si>
  <si>
    <t>Authors</t>
  </si>
  <si>
    <t>Contact</t>
  </si>
  <si>
    <t>The authors assume no liability for any action arising from use of this information.</t>
  </si>
  <si>
    <t>The authors have made every attempt to ensure the accuracy and timeliness of this information, but cannot guarantee that it has not been superseded by events or discoveries beyond the authors' control.</t>
  </si>
  <si>
    <t>This work was performed under the project CIREG, part of ERA4CS, an ERA-NET Co-fund action initiated by JPI Climate, funded by BMBF (DE), FORMAS (SE), BELSPO (BE), and IFD (DK) with co-funding by the EU's Horizon2020 Framework Program (Grant 690462).</t>
  </si>
  <si>
    <t>Title</t>
  </si>
  <si>
    <t>[1]</t>
  </si>
  <si>
    <t>[2]</t>
  </si>
  <si>
    <t>[3]</t>
  </si>
  <si>
    <t>[4]</t>
  </si>
  <si>
    <t>[5]</t>
  </si>
  <si>
    <t>[6]</t>
  </si>
  <si>
    <t>[7]</t>
  </si>
  <si>
    <t>WARPD 1.0 © 2019 CIREG project (https://cireg.pik-potsdam.de/en/). The database is available free of charge and may be used for research, educational or commercial purposes.</t>
  </si>
  <si>
    <t>The purpose of the WARPD database is to provide an overview of current and future hydro, solar and wind power plants, their coordinates and their characteristics for mainland West Africa.</t>
  </si>
  <si>
    <t>Other renewable sources, such as solar CSP and ocean power, as well as (arguably) biomass, are at present not included in the database, though they may be in the future.</t>
  </si>
  <si>
    <t>All data sources are provided on the sheet "Data sources", and all qualitative and quantitative data in the "Hydro" and "Solar &amp; Wind" sheets is referenced to this list.</t>
  </si>
  <si>
    <t>Hydropower plant</t>
  </si>
  <si>
    <t>Geography</t>
  </si>
  <si>
    <t>Reservoir</t>
  </si>
  <si>
    <t>[9]</t>
  </si>
  <si>
    <t>[8]</t>
  </si>
  <si>
    <t>https://globalsolaratlas.info/&amp;h=1</t>
  </si>
  <si>
    <t>http://www.hydropower-dams.com/pdfs/2017_Africa_Map.pdf</t>
  </si>
  <si>
    <t>http://www.ecreee.org/sites/default/files/documents/basic_page/ecowas-unido_sshp_baseline_report.pdf</t>
  </si>
  <si>
    <t>https://www.irena.org/publications/2018/Nov/Planning-and-prospects-for-renewable-power</t>
  </si>
  <si>
    <t>http://www.gwsp.org/products/grand-database.html</t>
  </si>
  <si>
    <t>http://www.ecowapp.org/sites/default/files/volume_0.pdf</t>
  </si>
  <si>
    <t>http://globaldamwatch.org/fhred/</t>
  </si>
  <si>
    <t>[1,2,3,4,5,7]</t>
  </si>
  <si>
    <t>[1,2]</t>
  </si>
  <si>
    <t>[1,2,6]</t>
  </si>
  <si>
    <t>[1,2,3,5,7]</t>
  </si>
  <si>
    <t>[2,3]</t>
  </si>
  <si>
    <t>[1,2,7]</t>
  </si>
  <si>
    <t>[1,2,3]</t>
  </si>
  <si>
    <t>[1,3]</t>
  </si>
  <si>
    <t>[1,2,3,4,6,7,8]</t>
  </si>
  <si>
    <t>[2,3,4,6,7,8]</t>
  </si>
  <si>
    <t>[2,4,6]</t>
  </si>
  <si>
    <t>[2,6,7]</t>
  </si>
  <si>
    <t>[6,7]</t>
  </si>
  <si>
    <t>[6,7,8]</t>
  </si>
  <si>
    <t>[2,3,4]</t>
  </si>
  <si>
    <t>[2,4,6,7]</t>
  </si>
  <si>
    <t>[1,2,6,7,8]</t>
  </si>
  <si>
    <t>[2,4,6,8]</t>
  </si>
  <si>
    <t>[1,2,4,6,7]</t>
  </si>
  <si>
    <t>[1,3,4]</t>
  </si>
  <si>
    <t>[3,4,6]</t>
  </si>
  <si>
    <t>In case any of the given data sources may, in the future, no longer be available under the given URLs, the authors can provide copies of all of the sources upon request.</t>
  </si>
  <si>
    <t>[1,2,3,6,7,8]</t>
  </si>
  <si>
    <t>[6,8]</t>
  </si>
  <si>
    <t>[1,2,6,8]</t>
  </si>
  <si>
    <t>[1,3,6]</t>
  </si>
  <si>
    <t>[2,6,8]</t>
  </si>
  <si>
    <t>General</t>
  </si>
  <si>
    <t>[1,3,4,6]</t>
  </si>
  <si>
    <t>[3,7]</t>
  </si>
  <si>
    <t>[3,4,6,8]</t>
  </si>
  <si>
    <t>[3,4,6,7,8]</t>
  </si>
  <si>
    <t>http://www.fao.org/nr/water/aquastat/dams/region/Africa-dams_eng.xlsx</t>
  </si>
  <si>
    <t>[1,2,4,6,7,8,9]</t>
  </si>
  <si>
    <t>[1,2,3,4,5,7,8,9]</t>
  </si>
  <si>
    <t>[1,2,3,4,5,7,9]</t>
  </si>
  <si>
    <t>[1,2,5,7,9]</t>
  </si>
  <si>
    <t>[7,9]</t>
  </si>
  <si>
    <t>[2,7,9]</t>
  </si>
  <si>
    <t>[2,9]</t>
  </si>
  <si>
    <t>[1,3,7,9]</t>
  </si>
  <si>
    <t>[1,3,5,7,9]</t>
  </si>
  <si>
    <t>[1,3,9]</t>
  </si>
  <si>
    <t>[1,3,5,9]</t>
  </si>
  <si>
    <t>[1,2,3,4,6,7,8,9]</t>
  </si>
  <si>
    <t>[2,3,4,6,7,8,9]</t>
  </si>
  <si>
    <t>[2,4,6,7,8,9]</t>
  </si>
  <si>
    <t>[1,2,3,4,7,9]</t>
  </si>
  <si>
    <t>[2,6,7,8,9]</t>
  </si>
  <si>
    <t>[1,2,6,7,9]</t>
  </si>
  <si>
    <t>[6,7,9]</t>
  </si>
  <si>
    <t>[2,3,6,7,8,9]</t>
  </si>
  <si>
    <t>[1,3,4,7,9]</t>
  </si>
  <si>
    <t>[1,2,3,4,7,8,9]</t>
  </si>
  <si>
    <t>[1,3,4,5,7,9]</t>
  </si>
  <si>
    <t>[7,8,9]</t>
  </si>
  <si>
    <t>[6,7,8,9]</t>
  </si>
  <si>
    <t>[1,3,4,6,7,8,9]</t>
  </si>
  <si>
    <t>[1,2,3,6,7,8,9]</t>
  </si>
  <si>
    <t>[1,2,3,5,7,9]</t>
  </si>
  <si>
    <t>[1,2,3,4,5,9]</t>
  </si>
  <si>
    <t>[1,3,4,6,7,9]</t>
  </si>
  <si>
    <t>[3,6,7,8,9]</t>
  </si>
  <si>
    <t>[3,7,8,9]</t>
  </si>
  <si>
    <t>[1,2,3,4,5,6,7,9]</t>
  </si>
  <si>
    <t>[3,4,6,7,8,9]</t>
  </si>
  <si>
    <t>[3,8,9]</t>
  </si>
  <si>
    <t>[2,3,7,8,9]</t>
  </si>
  <si>
    <t>[6,8,9]</t>
  </si>
  <si>
    <t>[1,4,6,7]</t>
  </si>
  <si>
    <t>IRENA</t>
  </si>
  <si>
    <t>Global Water System Project</t>
  </si>
  <si>
    <t>Global Solar Atlas</t>
  </si>
  <si>
    <t>Global Dam Watch</t>
  </si>
  <si>
    <t>FAO AQUASTAT</t>
  </si>
  <si>
    <t xml:space="preserve">The International Journal on Hydropower and Dams </t>
  </si>
  <si>
    <t>Tractebel Engineering</t>
  </si>
  <si>
    <t>Future Hydropower Reservoirs and Dams</t>
  </si>
  <si>
    <t>Dams of Africa</t>
  </si>
  <si>
    <t>Hydro-connected solar PV potential</t>
  </si>
  <si>
    <t>Map Viewer</t>
  </si>
  <si>
    <t>Hydropower &amp; Dams in Africa 2017</t>
  </si>
  <si>
    <t>[2,3,4,6,8]</t>
  </si>
  <si>
    <t>[2,3,7,9]</t>
  </si>
  <si>
    <t>[3,7,9]</t>
  </si>
  <si>
    <t>[3,6]</t>
  </si>
  <si>
    <t>[2,3,6,7]</t>
  </si>
  <si>
    <t>[3,4,6,7,9]</t>
  </si>
  <si>
    <t>Baseline Report on existing and potential small-scale hydropower systems in the ECOWAS region</t>
  </si>
  <si>
    <t>Planning and prospects for renewable power: West Africa</t>
  </si>
  <si>
    <t>Global Reservoir and Dam (GRanD) Database</t>
  </si>
  <si>
    <t>ECOWAS Master Plan for the Development of Regional Power Generation and Transmission Infrastructure 2019-2033</t>
  </si>
  <si>
    <t>#</t>
  </si>
  <si>
    <t>[2,3,6]</t>
  </si>
  <si>
    <t>[2,3,4,6,7]</t>
  </si>
  <si>
    <t>[2,4]</t>
  </si>
  <si>
    <t>[1,2,3,4,6,7,9]</t>
  </si>
  <si>
    <t>[2,6]</t>
  </si>
  <si>
    <t>[1,2,3,4,6]</t>
  </si>
  <si>
    <t>General data sources / databases</t>
  </si>
  <si>
    <t>[*]</t>
  </si>
  <si>
    <t>Hydropower - Burkina Faso</t>
  </si>
  <si>
    <t>[10]</t>
  </si>
  <si>
    <t>[11]</t>
  </si>
  <si>
    <t>Bagré Aval</t>
  </si>
  <si>
    <t>Harnessing of Hydroelectric Energy and Interconnection of Electricity Networks of ECOWAS countries</t>
  </si>
  <si>
    <t>http://repository.uneca.org/bitstream/handle/10855/20898/Bib-68807.pdf?sequence=1</t>
  </si>
  <si>
    <t>UNDP/UNECA</t>
  </si>
  <si>
    <t>URL</t>
  </si>
  <si>
    <t>http://www.ecowrex.org/mapView/index.php?lang=eng</t>
  </si>
  <si>
    <r>
      <t>IWMI (Mul</t>
    </r>
    <r>
      <rPr>
        <i/>
        <sz val="10"/>
        <color theme="1"/>
        <rFont val="Verdana"/>
        <family val="2"/>
      </rPr>
      <t xml:space="preserve"> et al.</t>
    </r>
    <r>
      <rPr>
        <sz val="10"/>
        <color theme="1"/>
        <rFont val="Verdana"/>
        <family val="2"/>
      </rPr>
      <t>)</t>
    </r>
  </si>
  <si>
    <t>http://www.iwmi.cgiar.org/Publications/Working_Papers/working/wor166-french.pdf</t>
  </si>
  <si>
    <t>Water resources assessment of the Volta River Basin / Évaluation des ressources en eau du bassin de la Volta</t>
  </si>
  <si>
    <t>[12]</t>
  </si>
  <si>
    <t>http://www.fao.org/3/t0360e/T0360E03.htm#notech2.4</t>
  </si>
  <si>
    <t>n.d.</t>
  </si>
  <si>
    <t>Other</t>
  </si>
  <si>
    <t>Mapping the least-cost option for rural electrification in Burkina Faso: Scaling-up renewable energies</t>
  </si>
  <si>
    <r>
      <t xml:space="preserve">Moner-Girona </t>
    </r>
    <r>
      <rPr>
        <i/>
        <sz val="10"/>
        <color theme="1"/>
        <rFont val="Verdana"/>
        <family val="2"/>
      </rPr>
      <t>et al.</t>
    </r>
  </si>
  <si>
    <t>[13]</t>
  </si>
  <si>
    <t>https://core.ac.uk/download/pdf/84886671.pdf</t>
  </si>
  <si>
    <t>[14]</t>
  </si>
  <si>
    <t>[15]</t>
  </si>
  <si>
    <t>[16]</t>
  </si>
  <si>
    <t>https://cmsdata.iucn.org/downloads/etat_des_lieux_autour_du_barrage_de_bagre_au_burkina_faso.pdf</t>
  </si>
  <si>
    <t>IUCN, GWI &amp; IIED</t>
  </si>
  <si>
    <t>Etat des lieux autour du barrage de Bagré au Burkina Faso</t>
  </si>
  <si>
    <t>Burkina Faso Ministère de l'Agriculture, de l'Hydraulique et des Ressources Halieutiques</t>
  </si>
  <si>
    <t>Synthèse du suivi des ressources en eau 2004</t>
  </si>
  <si>
    <t>https://www.eauburkina.org/images/GIRE/Synthese_du_suivi_des_ressources_en_eau_du_Burkina_Faso_2004.pdf</t>
  </si>
  <si>
    <t>Accessed on / version from</t>
  </si>
  <si>
    <t>In existing databases</t>
  </si>
  <si>
    <t>[**]</t>
  </si>
  <si>
    <t>https://www.jeuneafrique.com/mag/433527/economie/burkina-faso-chantier-barrage-de-samendeni-relance/</t>
  </si>
  <si>
    <t>Jeune Afrique</t>
  </si>
  <si>
    <t>Burkina Faso: le chantier du barrage de Samendéni est relancé</t>
  </si>
  <si>
    <t>[17]</t>
  </si>
  <si>
    <t>http://www.ecowrex.org/fr/node/11920</t>
  </si>
  <si>
    <t>Aménagement hydroélectrique d'Okpa</t>
  </si>
  <si>
    <t>ECREEE (Kappiah et al.)</t>
  </si>
  <si>
    <t>Hydropower - Benin</t>
  </si>
  <si>
    <t>[18]</t>
  </si>
  <si>
    <t>http://www.ecowrex.org/project/amenagement-hydroelectrique-de-dyodyonga</t>
  </si>
  <si>
    <t>Aménagement hydroélectrique de Dyodyonga</t>
  </si>
  <si>
    <t>https://books.google.de/books?id=LBSWMyoKm4gC&amp;dq=dyodyonga+barrage&amp;source=gbs_navlinks_s&amp;redir_esc=y</t>
  </si>
  <si>
    <t>[19]</t>
  </si>
  <si>
    <t>Les états-nations face à l'intégration régionale en Afrique de l'Ouest: le cas du Bénin</t>
  </si>
  <si>
    <t>John O. Igué (ed.)</t>
  </si>
  <si>
    <t>[20]</t>
  </si>
  <si>
    <t>https://savm-saba.com/wp-content/uploads/2018/07/Barrage-HPP-Rapport_hydro%C3%A9lectrique-finale_abz_30-04-2013.pdf</t>
  </si>
  <si>
    <t>Projet d'Amenagement des Grands Barrages Hydroelectriques Multifonctions sur le fleuve Ouémé dans le cadre de la GIRE au Benin</t>
  </si>
  <si>
    <t>Benin Ministère de l'Energie, des Recherches Pétrolières et Minières, de l'Eau et du Développement des Énergies Renouvelables</t>
  </si>
  <si>
    <t>[21]</t>
  </si>
  <si>
    <t>http://www.ecowrex.org/project/amenagement-hydroelectrique-de-beterou</t>
  </si>
  <si>
    <t>Aménagement hydroélectrique de Bétérou</t>
  </si>
  <si>
    <t>[22]</t>
  </si>
  <si>
    <t>http://www.ecowrex.org/project/amenagement-hydroelectrique-de-cove</t>
  </si>
  <si>
    <t>Aménagement hydroélectrique de Cové</t>
  </si>
  <si>
    <t>[23]</t>
  </si>
  <si>
    <t>http://www.ecowrex.org/project/amenagement-hydroelectrique-de-dekoussou</t>
  </si>
  <si>
    <t>Aménagement hydroélectrique de Dékoussou</t>
  </si>
  <si>
    <t>[24]</t>
  </si>
  <si>
    <t>[29]</t>
  </si>
  <si>
    <t>[47]</t>
  </si>
  <si>
    <t>[35]</t>
  </si>
  <si>
    <t>http://www.ecowrex.org/project/amenagement-hydroelectrique-de-assante</t>
  </si>
  <si>
    <t>Aménagement hydroélectrique de Assante</t>
  </si>
  <si>
    <t>[25]</t>
  </si>
  <si>
    <t>http://www.ecowrex.org/project/amenagement-hydroelectrique-de-sokologbo</t>
  </si>
  <si>
    <t>Aménagement hydroélectrique de Sokologbo</t>
  </si>
  <si>
    <t>[26]</t>
  </si>
  <si>
    <t>http://www.ecowrex.org/project/amenagement-hydroelectrique-de-zouka-tondi</t>
  </si>
  <si>
    <t>Aménagement hydroélectrique de Zouka Tondji</t>
  </si>
  <si>
    <t>Hydropower - Côte d'Ivoire</t>
  </si>
  <si>
    <t>[27]</t>
  </si>
  <si>
    <t>[28]</t>
  </si>
  <si>
    <t>[30]</t>
  </si>
  <si>
    <t>[31]</t>
  </si>
  <si>
    <t>[32]</t>
  </si>
  <si>
    <t>[33]</t>
  </si>
  <si>
    <t>[34]</t>
  </si>
  <si>
    <t>[36]</t>
  </si>
  <si>
    <t>Situation de l'Hydroéletrcitié en Côte d'Ivoire</t>
  </si>
  <si>
    <t>Author / Institution</t>
  </si>
  <si>
    <t>Côte d'Ivoire Ministère des Mines, du Pétrole et de l'Énergie (Koménan, K.)</t>
  </si>
  <si>
    <t>http://www.ecreee.org/sites/default/files/cote_d_ivoire.pdf</t>
  </si>
  <si>
    <t>Global Energy Observatory</t>
  </si>
  <si>
    <t>Kossou Hydroelectric Power Plant</t>
  </si>
  <si>
    <t>http://globalenergyobservatory.org/geoid/42577</t>
  </si>
  <si>
    <t>http://www.fao.org/3/V4110E/V4110E03.htm</t>
  </si>
  <si>
    <t>FAO (van der Knaap, M.)</t>
  </si>
  <si>
    <t>Source Book for the Inland Fishery Resources of Africa (SIFRA) Vol. 2 - Country Files (Burkina Faso)</t>
  </si>
  <si>
    <t>FAO (Vanden Bossche, J.P., &amp; Bernacsek, G.M.)</t>
  </si>
  <si>
    <t>Status of fish stocks and fisheries of thirteen medium-sized African reservoirs - Côte d'Ivoire</t>
  </si>
  <si>
    <t>Gao et al.</t>
  </si>
  <si>
    <t>Global monitoring of large reservoir storage from satellite remote sensing (Water Resources Research, Vol. 48, W09504)</t>
  </si>
  <si>
    <t>doi:10.1029/2012WR012063</t>
  </si>
  <si>
    <t>[40]</t>
  </si>
  <si>
    <t>http://globalenergyobservatory.org/form.php?pid=42579</t>
  </si>
  <si>
    <t>Ayame (Ayme) Hydroelectric Power Plant</t>
  </si>
  <si>
    <t>État des Connaissances sur les Pêcheries Continentales Ivoiriennes</t>
  </si>
  <si>
    <t>FAO (Kassoum, T.)</t>
  </si>
  <si>
    <t>http://www.fao.org/3/ag188f/AG188F02.htm#ch1</t>
  </si>
  <si>
    <t>[44]</t>
  </si>
  <si>
    <t>http://globalenergyobservatory.org/geoid/42576</t>
  </si>
  <si>
    <t>Taabo Hydroelectric Power Plant</t>
  </si>
  <si>
    <t>http://www.gouv.ci/_actualite-article.php?recordID=8261</t>
  </si>
  <si>
    <t>Barrage Hydroélectrique de Soubré: Fiche Technique</t>
  </si>
  <si>
    <t>Portail Officiel du Gouvernement de Côte d'Ivoire</t>
  </si>
  <si>
    <t>http://www.platinumpower.ma/wp-content/uploads/2017/03/1.-PQ-GAO-TAY-Avril2017-VF.pdf</t>
  </si>
  <si>
    <t>Platinum Power, TGCC Energy &amp; Sarine Engineering</t>
  </si>
  <si>
    <t>Appel à la Pré-Qualification pour la Conception, l'Ingenierie, la Fourniture et la Construction des Aménagements Hydroélectriques de Gao et Tayaboui</t>
  </si>
  <si>
    <t>https://www.afdb.org/fileadmin/uploads/afdb/Documents/Environmental-and-Social-Assessments/Cote_Ivoire-projet_de_barrage_hydroelectrique_de_singrobo-Resume_PCR_10_2017.pdf</t>
  </si>
  <si>
    <t>Projet Hydroélectrique de Singrobo-Ahouaty (44 MW)</t>
  </si>
  <si>
    <t>African Development Bank Group</t>
  </si>
  <si>
    <t>Border project Côte d'Ivoire - Liberia</t>
  </si>
  <si>
    <t>[37]</t>
  </si>
  <si>
    <t>https://cotedivoirenews.info/cote-divoire-alassane-ouattara-pose-la-1ere-pierre-du-barrage-de-gribo-popoli/</t>
  </si>
  <si>
    <t>Côte d’Ivoire: Alassane Ouattara pose la 1ère pierre du barrage de Gribo Popoli </t>
  </si>
  <si>
    <t>Tapé, M.</t>
  </si>
  <si>
    <t>Hydropower - Ghana</t>
  </si>
  <si>
    <t>[38]</t>
  </si>
  <si>
    <t>[39]</t>
  </si>
  <si>
    <t>[41]</t>
  </si>
  <si>
    <t>[42]</t>
  </si>
  <si>
    <t>[43]</t>
  </si>
  <si>
    <t>https://www.vra.com/our_mandate/akosombo_hydro_plant.php</t>
  </si>
  <si>
    <t>Volta River Authority</t>
  </si>
  <si>
    <t>1,020MW Akosombo Hydro Electric Power Plant</t>
  </si>
  <si>
    <t>http://buipower.com/node/144</t>
  </si>
  <si>
    <t>Bui Hydroelectric Project - FAQs</t>
  </si>
  <si>
    <t>Bui Power Authority</t>
  </si>
  <si>
    <t>[48]</t>
  </si>
  <si>
    <t>[50]</t>
  </si>
  <si>
    <t>Environmental and Social Impact Assessment of the Bui Hydropower Project</t>
  </si>
  <si>
    <t>http://library.mampam.com/Final%20ESIA%20-%20Bui%20HEP.pdf</t>
  </si>
  <si>
    <t>ERM</t>
  </si>
  <si>
    <t>https://www.water-technology.net/projects/bui-dam-hydro-power-ghana/</t>
  </si>
  <si>
    <t>WaterTechnology.net</t>
  </si>
  <si>
    <t>Bui Dam Hydroelectricity Project, Ghana</t>
  </si>
  <si>
    <t>Mortey et al.</t>
  </si>
  <si>
    <t>doi:10.3390/environments4020025</t>
  </si>
  <si>
    <t>Sustainability Assessment of the Bui Hydropower System (Environments 2017, 4, 25)</t>
  </si>
  <si>
    <t>Comments / further reading</t>
  </si>
  <si>
    <t>van der Zwet, J.</t>
  </si>
  <si>
    <t>The creation of a reservoir in the White Volta River, Ghana: An analysis of the impact on river morphology</t>
  </si>
  <si>
    <t>https://repository.tudelft.nl/islandora/object/uuid:b1fddcbe-9847-41a8-bc81-e0e32e7ef946/datastream/OBJ/download</t>
  </si>
  <si>
    <t>https://www.irena.org/documentdownloads/publications/irena_rra_ghana_nov_2015.pdf</t>
  </si>
  <si>
    <t>Ghana Renewables Readiness Assessment</t>
  </si>
  <si>
    <t>[45]</t>
  </si>
  <si>
    <t>IWMI (McCartney et al.)</t>
  </si>
  <si>
    <t>The Water Resource Implications of Changing Climate in the Volta River Basin</t>
  </si>
  <si>
    <t>http://www.iwmi.cgiar.org/Publications/IWMI_Research_Reports/PDF/PUB146/RR146.pdf</t>
  </si>
  <si>
    <t>[46]</t>
  </si>
  <si>
    <t>MarketResearch.com</t>
  </si>
  <si>
    <t>https://www.marketresearch.com/Timetric-v3917/MoE-Daboya-Hydroelectric-Power-Plant-11458850/</t>
  </si>
  <si>
    <t>MoE – Daboya Hydroelectric Power Plant 40 MW – Volta - Project Profile</t>
  </si>
  <si>
    <t>http://africaaustraliaconference.com/wp-content/uploads/2016/09/ENERGY-POWER-INVESTMENT-OPPORTUNITIES-IN-GHANA.pdf</t>
  </si>
  <si>
    <t>Ghana Power Investment &amp; Business Opportunities</t>
  </si>
  <si>
    <t>Ghana Investment Promotion Centre (Nyanu, T.W.)</t>
  </si>
  <si>
    <t>MoE – Kulpawn Hydroelectric Power Plant 36 MW – Volta - Project Profile</t>
  </si>
  <si>
    <t>https://www.marketresearch.com/Timetric-v3917/MoE-Kulpawn-Hydroelectric-Power-Plant-11458937/</t>
  </si>
  <si>
    <t>[49]</t>
  </si>
  <si>
    <t>http://www.ecreee.org/sites/default/files/ghana.pdf</t>
  </si>
  <si>
    <t>Ghana Ministry of Energy (Seth, M. &amp; Mohidjou, M.)</t>
  </si>
  <si>
    <t>Opportunities Opportunities in The Ghana in The Ghana Renewable Energy Act 2011, Act 832</t>
  </si>
  <si>
    <t>[11,49]</t>
  </si>
  <si>
    <t>[44,49]</t>
  </si>
  <si>
    <t>Dzobo, D.</t>
  </si>
  <si>
    <t>Pre-Feasibility Studies of Hemang Hydropower Site</t>
  </si>
  <si>
    <t>http://ir.knust.edu.gh/bitstream/123456789/7974/1/edited%20after%20defense%201-10-2015%20with%20new%20referencing%20style.pdf</t>
  </si>
  <si>
    <t>[51]</t>
  </si>
  <si>
    <t>160MW Kpong Hydro Electric Power Plant</t>
  </si>
  <si>
    <t>https://www.vra.com/our_mandate/kpong_hydro_plant.php</t>
  </si>
  <si>
    <t>[52]</t>
  </si>
  <si>
    <t>Floodplain hydrodynamic modelling of the Lower Volta River in Ghana (Journal of Hydrology: Regional Studies 14 1–9)</t>
  </si>
  <si>
    <t>https://doi.org/10.1016/j.ejrh.2017.09.002</t>
  </si>
  <si>
    <t>Logah et al.</t>
  </si>
  <si>
    <t>Hydropower - Guiné-Bissau</t>
  </si>
  <si>
    <t>[53]</t>
  </si>
  <si>
    <t>[54]</t>
  </si>
  <si>
    <t>ECREEE</t>
  </si>
  <si>
    <t>Agenda de Ação para a Energia Sustentável para Todos na Guiné-Bissau</t>
  </si>
  <si>
    <t>http://www.ecowrex.org/system/files/web_agenda_de_acao_optimized.pdf</t>
  </si>
  <si>
    <t>Central hidroelectrica de Saltinho - Guine-Bissau</t>
  </si>
  <si>
    <t>http://www.ecowrex.org/project/central-hidroelectrica-de-saltinho-guine-bissau</t>
  </si>
  <si>
    <t>Hydropower - Guinée</t>
  </si>
  <si>
    <t>[55]</t>
  </si>
  <si>
    <t>[56]</t>
  </si>
  <si>
    <t>[57]</t>
  </si>
  <si>
    <t>[58]</t>
  </si>
  <si>
    <t>[59]</t>
  </si>
  <si>
    <t>[60]</t>
  </si>
  <si>
    <t>[61]</t>
  </si>
  <si>
    <t>[62]</t>
  </si>
  <si>
    <t>[63]</t>
  </si>
  <si>
    <t>[64]</t>
  </si>
  <si>
    <t>http://www.ecowrex.org/project/souapiti-guinee</t>
  </si>
  <si>
    <t>Souapiti - Guinée</t>
  </si>
  <si>
    <t>https://www.invest.gov.gn/document/projet-hydroelectrique-de-souapiti</t>
  </si>
  <si>
    <t>Guinée Ministère de l’Energie et de l'Hydraulique</t>
  </si>
  <si>
    <t>Projet d'Aménagement Hydroélectrique de Souapiti</t>
  </si>
  <si>
    <t>Update of the ECOWAS Revised Master Plan for the generation and transmission of electrical energy  - Final Report Volume 3 : Investment program development and priority project implementation strategy</t>
  </si>
  <si>
    <t>http://www.ecowapp.org/sites/default/files/mp_wapp_volume_3.pdf</t>
  </si>
  <si>
    <t>http://guineesignal.com/vers-la-construction-dun-nouveau-barrage-dune-capacite-de-300-mw-en-basse-guinee/</t>
  </si>
  <si>
    <t>GuinéeSignal</t>
  </si>
  <si>
    <t>Vers la construction d’un nouveau barrage d’une capacité de 300 MW en basse Guinée</t>
  </si>
  <si>
    <t>https://www.invest.gov.gn/document/projet-hydroelectrique-de-amaria</t>
  </si>
  <si>
    <t>Projet d'Aménagement Hydroélectrique de Amaria</t>
  </si>
  <si>
    <t>https://www.invest.gov.gn/document/projet-hydroelectrique-de-koukoutamba</t>
  </si>
  <si>
    <t>Projet d'Aménagement Hydroélectrique de Koukoutamba</t>
  </si>
  <si>
    <t>OMVS (Bedredine, F.)</t>
  </si>
  <si>
    <t>Programme d’Infrastructures Régionales dans le Bassin du fleuve Sénégal</t>
  </si>
  <si>
    <t>https://www.unece.org/fileadmin/DAM/env/documents/2014/WAT/04April_9-10_Geneva/presentations/2.1_OMVS_Bedredine_UNECE-04-2014_Fawzi.pdf</t>
  </si>
  <si>
    <t>[73]</t>
  </si>
  <si>
    <t>[80]</t>
  </si>
  <si>
    <t>Projet d'Aménagement Hydroélectrique de Balassa</t>
  </si>
  <si>
    <t>https://www.invest.gov.gn/document/projet-hydroelectrique-de-balassa</t>
  </si>
  <si>
    <t>https://www.invest.gov.gn/document/projet-hydroelectrique-de-boureya</t>
  </si>
  <si>
    <t>Projet d'Aménagement Hydroélectrique de Boureya</t>
  </si>
  <si>
    <t>https://onisdin.info/en/hydrology/hydrological-infrastructure</t>
  </si>
  <si>
    <t>Hydrological Infrastructure</t>
  </si>
  <si>
    <t>ONISDIN (Observatory Upper Niger Basin and Inner Niger Delta)</t>
  </si>
  <si>
    <t>[65]</t>
  </si>
  <si>
    <t>[66]</t>
  </si>
  <si>
    <t>[67]</t>
  </si>
  <si>
    <t>[68]</t>
  </si>
  <si>
    <t>[69]</t>
  </si>
  <si>
    <t>[70]</t>
  </si>
  <si>
    <t>[71]</t>
  </si>
  <si>
    <t>Lombardi S.A.</t>
  </si>
  <si>
    <t>Frankonedou and Kogbedou HPP (Guinea)</t>
  </si>
  <si>
    <t>https://www.lombardi.ch/en-gb/Pages/References/Hydroelectric%20plants/References_5113.aspx</t>
  </si>
  <si>
    <t>Étude sur le Partage des Recettes Issues de la Vente de l'Électricité du Barrage de Fomi avec les Populations Affectées</t>
  </si>
  <si>
    <t>http://www.ecowrex.org/eg/garafiri</t>
  </si>
  <si>
    <t>Approche Méthodologique d'Évaluation Environnementale Stratégique du Secteur de l'Énergie: Application à la Dimension Régionale de la Politique Énergétique Guinéenne en Guinee Maritime</t>
  </si>
  <si>
    <t>Kourouma, D.L.</t>
  </si>
  <si>
    <t>https://core.ac.uk/download/pdf/77617075.pdf</t>
  </si>
  <si>
    <t>Projet d'Aménagement Hydroélectrique de Kassa B</t>
  </si>
  <si>
    <t>https://www.invest.gov.gn/document/projet-hydroelectrique-de-kassa</t>
  </si>
  <si>
    <t>[72]</t>
  </si>
  <si>
    <t>[74]</t>
  </si>
  <si>
    <t>[75]</t>
  </si>
  <si>
    <t>[76]</t>
  </si>
  <si>
    <t>[77]</t>
  </si>
  <si>
    <t>http://www.invest.gov.gn/document/projet-hydroelectrique-de-tiopo</t>
  </si>
  <si>
    <t>Projet d'Aménagement Hydroélectrique de Tiopo</t>
  </si>
  <si>
    <t>Korafindi - Guinée</t>
  </si>
  <si>
    <t>http://www.ecowrex.org/project/korafindi-guinee</t>
  </si>
  <si>
    <t>http://www.ecowrex.org/project/morisanako-guinee</t>
  </si>
  <si>
    <t>Morisanako - Guinée</t>
  </si>
  <si>
    <t>Projet d'Aménagement Hydroélectrique de Morisanako</t>
  </si>
  <si>
    <t>https://www.invest.gov.gn/document/projet-hydroelectrique-de-morisanako</t>
  </si>
  <si>
    <t>https://www.invest.gov.gn/document/projet-hydroelectrique-de-diaraguela</t>
  </si>
  <si>
    <t>Projet d'Aménagement Hydroélectrique de Diaraguela</t>
  </si>
  <si>
    <t>In most cases, a combination of data sources was necessary to get the most complete set of data for each hydropower plant.</t>
  </si>
  <si>
    <t>http://www.ecowrex.org/project/gozonguezia-guinee</t>
  </si>
  <si>
    <t>Gozonguezia - Guinée</t>
  </si>
  <si>
    <t>[78]</t>
  </si>
  <si>
    <t>[79]</t>
  </si>
  <si>
    <t>[81]</t>
  </si>
  <si>
    <t>[82]</t>
  </si>
  <si>
    <t>[83]</t>
  </si>
  <si>
    <t>https://www.invest.gov.gn/document/projet-hydroelectrique-de-gozoguezia</t>
  </si>
  <si>
    <t>Projet d'Aménagement Hydroélectrique de Gozeguezia</t>
  </si>
  <si>
    <t>http://www.ecowrex.org/project/singuega-guinee</t>
  </si>
  <si>
    <t>Singuega - Guinée</t>
  </si>
  <si>
    <t>Projet d'Aménagement Hydroélectrique de Madina(Dion)</t>
  </si>
  <si>
    <t>Keita, M.</t>
  </si>
  <si>
    <t>http://ipsinternational.org/fr/_note.asp?idnews=6990</t>
  </si>
  <si>
    <t>Un nouveau barrage pour réduire le déficit énergétique</t>
  </si>
  <si>
    <t>https://www.jeuneafrique.com/mag/500796/economie/hydraulique-la-guinee-souhaite-exploiter-pleinement-son-potentiel/</t>
  </si>
  <si>
    <t>Hydraulique: la Guinée souhaite exploiter pleinement son potentiel</t>
  </si>
  <si>
    <t>[***]</t>
  </si>
  <si>
    <t>https://www.invest.gov.gn/document/projet-hydroelectrique-de-fomi</t>
  </si>
  <si>
    <t>Projet d'Aménagement Hydroélectrique de Fomi</t>
  </si>
  <si>
    <t>[84]</t>
  </si>
  <si>
    <t>[85]</t>
  </si>
  <si>
    <t>[86]</t>
  </si>
  <si>
    <t>[87]</t>
  </si>
  <si>
    <t>Liersch et al.</t>
  </si>
  <si>
    <t>Water resources planning in the Upper Niger River basin: Are there gaps between water demand and supply? (Journal of Hydrology: Regional Studies 21 176–194)</t>
  </si>
  <si>
    <t>doi.org/10.1016/j.ejrh.2018.12.006</t>
  </si>
  <si>
    <t>Nongoa - Guinée</t>
  </si>
  <si>
    <t>http://www.ecowrex.org/project/nongoa-guinee</t>
  </si>
  <si>
    <t>https://www.invest.gov.gn/document/projet-hydroelectrique-de-lokoua-boffa</t>
  </si>
  <si>
    <t>Projet d'Aménagement Hydroélectrique de Lokoua (Loffa)</t>
  </si>
  <si>
    <t>Projet d'Aménagement Hydroélectrique de Seroudou (Macenta)</t>
  </si>
  <si>
    <t>https://www.invest.gov.gn/document/projet-hydroelectrique-de-keno-makona</t>
  </si>
  <si>
    <t>Projet d'Aménagement Hydroélectrique de Keno (Makona)</t>
  </si>
  <si>
    <t>[88]</t>
  </si>
  <si>
    <t>[89]</t>
  </si>
  <si>
    <t>Projet d'Aménagement Hydroélectrique de Touba (Saranwol)</t>
  </si>
  <si>
    <t>https://www.invest.gov.gn/document/projet-d-amenagement-hydroelectrique-de-touba-saranwol</t>
  </si>
  <si>
    <t>https://docplayer.fr/45399057-5-3-contexte-de-la-demande.html</t>
  </si>
  <si>
    <t>Stratégie de Développement du Potentiel Hydraulique</t>
  </si>
  <si>
    <t>[90]</t>
  </si>
  <si>
    <t>Projet d'Aménagement Hydroélectrique de Lougambe (Tanto)</t>
  </si>
  <si>
    <t>https://www.invest.gov.gn/document/projet-hydroelectrique-de-lougambe-tanto</t>
  </si>
  <si>
    <t>[91]</t>
  </si>
  <si>
    <t>Hydropower - Mali</t>
  </si>
  <si>
    <t>[92]</t>
  </si>
  <si>
    <t>[93]</t>
  </si>
  <si>
    <t>http://www.sogem-omvs.org/mantali.html</t>
  </si>
  <si>
    <t>Projet Énergie Manantali</t>
  </si>
  <si>
    <t>SOGEM (Société de Gestion de l'Énergie de Manantali)</t>
  </si>
  <si>
    <t>Barrage de Manantali</t>
  </si>
  <si>
    <t>http://www.sogem-omvs.org/barrage.html</t>
  </si>
  <si>
    <t>[94]</t>
  </si>
  <si>
    <t>[95]</t>
  </si>
  <si>
    <t>https://www.encyclopedie-energie.org/sites/default/files/fichiers_joints/articles/art043_Bagneres-Jacques_am%C3%A9nagement-Selingue-Mali.pdf</t>
  </si>
  <si>
    <t>L'aménagement de Sélingué au Mali</t>
  </si>
  <si>
    <t>Bangnères, J.</t>
  </si>
  <si>
    <t>http://www.fao.org/3/V4110E/V4110E04.htm</t>
  </si>
  <si>
    <t>Status of fish stocks and fisheries of thirteen medium-sized African reservoirs - Mali</t>
  </si>
  <si>
    <t>[96]</t>
  </si>
  <si>
    <t>[97]</t>
  </si>
  <si>
    <t>[98]</t>
  </si>
  <si>
    <t>[99]</t>
  </si>
  <si>
    <t>[100]</t>
  </si>
  <si>
    <t>Bamada.net</t>
  </si>
  <si>
    <t>Barrage de Taoussa: ... Et de l'électricité pour les localités</t>
  </si>
  <si>
    <t>http://bamada.net/barrage-de-taoussa-et-de-lelectricite-pour-les-localites</t>
  </si>
  <si>
    <t>Hydropower Development in the Senegal River Basin</t>
  </si>
  <si>
    <t>http://siteresources.worldbank.org/EXTWAT/Resources/4602122-1213366294492/5106220-1234469721549/6.3_Hydro_Development_Senegal_River.pdf</t>
  </si>
  <si>
    <t>OMVS (Organisation pour la Mise en Valeur du Fleuve Senegal) (Ndiaye, T.)</t>
  </si>
  <si>
    <t>Hydropower - Niger</t>
  </si>
  <si>
    <t>http://www.ecowrex.org/fr/node/631</t>
  </si>
  <si>
    <t>[101]</t>
  </si>
  <si>
    <t>http://documents.worldbank.org/curated/pt/856671468006608446/text/E29650v10EA0P1020Box367849B03305663.txt</t>
  </si>
  <si>
    <t>Haut Commissariat à l'Aménagement de la Vallée du Niger</t>
  </si>
  <si>
    <t>Programme Kandadji de Régénération des Écosystèmes et de Mise en valeur de la vallée du Niger - Detailed Environmental and Social Impact Assessment - General Synthesis Report</t>
  </si>
  <si>
    <t>http://documents.worldbank.org/curated/en/727481468194348456/pdf/E29650FRENCH0v0R0EA0SUMMARY0P130174.pdf</t>
  </si>
  <si>
    <t>BRL Ingénierie</t>
  </si>
  <si>
    <t>Résumé exécutif de l’EIES et du PGES du Programme Kandadji</t>
  </si>
  <si>
    <t>[102]</t>
  </si>
  <si>
    <t>https://www.ircwash.org/sites/default/files/824-NE01-16999.pdf</t>
  </si>
  <si>
    <t>Niger Ministère des Ressources en Eau</t>
  </si>
  <si>
    <t>Politique et Stratégies pour l'Eau et l'Assainissement</t>
  </si>
  <si>
    <t>Hydropower - Nigeria</t>
  </si>
  <si>
    <t>[103]</t>
  </si>
  <si>
    <t>[104]</t>
  </si>
  <si>
    <t>[105]</t>
  </si>
  <si>
    <t>[106]</t>
  </si>
  <si>
    <t>https://www.nsenergybusiness.com/projects/mambilla-hydropower-project-nigeria/</t>
  </si>
  <si>
    <t>NS Energy</t>
  </si>
  <si>
    <t>Mambilla Hydropower Project</t>
  </si>
  <si>
    <t>Homscheid Hydropower Consulting</t>
  </si>
  <si>
    <t>References</t>
  </si>
  <si>
    <t>http://www.sven-homscheid.com/wp-content/uploads/2016/11/References_20161118.pdf</t>
  </si>
  <si>
    <t>Ehigiator et al.</t>
  </si>
  <si>
    <t>http://dx.doi.org/10.4314/njt.v36i4.3</t>
  </si>
  <si>
    <t>Determination of Volume and Direction of Flow of Kainji Reservoir (Nigerian Journal of Technology Vol. 36, No. 4, October 2017, pp. 1010 – 1015)</t>
  </si>
  <si>
    <t>Mayomi et al.</t>
  </si>
  <si>
    <t>http://dx.doi.org/10.5897/AJEST2013.1474</t>
  </si>
  <si>
    <t>Monitoring the land-use and vegetation cover changes in the Kainji Lake Basin, Nigeria (1975-2006) (African Journal of Environmental Science and Technology Vol. 8(2), pp. 129-142, February 2014)</t>
  </si>
  <si>
    <t>[107]</t>
  </si>
  <si>
    <t>[108]</t>
  </si>
  <si>
    <t>[109]</t>
  </si>
  <si>
    <t>[110]</t>
  </si>
  <si>
    <t>Abaka et al.</t>
  </si>
  <si>
    <t>http://www.ijmer.com/papers/Vol7_issue5/Version-2/H7525258.pdf</t>
  </si>
  <si>
    <t>PunchNG Business</t>
  </si>
  <si>
    <t>https://punchng.com/n473bn-zungeru-hydropower-plant-at-47-completion-cneec/</t>
  </si>
  <si>
    <t>N473bn Zungeru hydropower plant at 47% completion – CNEEC</t>
  </si>
  <si>
    <t>Jimoh, O.D.</t>
  </si>
  <si>
    <t>Optimized Operation of Kainji Reservoir</t>
  </si>
  <si>
    <t>http://www.journal.au.edu/au_techno/2008/jul08/journal121_article05.pdf</t>
  </si>
  <si>
    <t>[111]</t>
  </si>
  <si>
    <t>https://www.academia.edu/15055340/Evaluation_of_Operational_Efficiency_of_Shiroro_Hydro-Electric_Plant_in_Nigeria</t>
  </si>
  <si>
    <t>Evaluation of Operational Efficiency of Shiroro Hydro-Electric Plant in Nigeria</t>
  </si>
  <si>
    <t>Gbadamosi et al.</t>
  </si>
  <si>
    <t>FAO (Ita, E.O.)</t>
  </si>
  <si>
    <t>Inland Fishery Resources of Nigeria</t>
  </si>
  <si>
    <t>http://www.fao.org/3/T1230E/T1230E07.htm</t>
  </si>
  <si>
    <t>[112]</t>
  </si>
  <si>
    <t>Milam et al.</t>
  </si>
  <si>
    <t>https://www.ajol.info/index.php/ajb/article/viewFile/128970/118524</t>
  </si>
  <si>
    <t>Heavy metal pollution in benthic fishes from Kiri Dam in Guyuk local government area of Adamawa State, Nigeria (African Journal of Biotechnology Vol. 11(54), pp. 11755-11759, 5 July, 2012)</t>
  </si>
  <si>
    <t>[113]</t>
  </si>
  <si>
    <t>[114]</t>
  </si>
  <si>
    <t>[115]</t>
  </si>
  <si>
    <t>[116]</t>
  </si>
  <si>
    <t>https://www.aurecongroup.com/projects/energy/kashimbila-hydropower-station</t>
  </si>
  <si>
    <t>Aurecon Group</t>
  </si>
  <si>
    <t>Kashimbila Dam and Hydropower Project, Nigeria</t>
  </si>
  <si>
    <t>https://doi.org/10.5194/piahs-379-175-2018</t>
  </si>
  <si>
    <t>Ayeni &amp; Ojifo</t>
  </si>
  <si>
    <t>The socio-economics dynamics of Dam on Rural Communities - A case study of Oyan Dam, Nigeria (Proc. IAHS, 379, 175–180)</t>
  </si>
  <si>
    <t>Raphael et al.</t>
  </si>
  <si>
    <t>http://eprints.lmu.edu.ng/1663/1/Ralph%20AJAST%202016.pdf</t>
  </si>
  <si>
    <t>Maximizing the Full Economic Potentials of Ikere Gorge and Oyan Dams for National Economic Development</t>
  </si>
  <si>
    <t>[117]</t>
  </si>
  <si>
    <t>[118]</t>
  </si>
  <si>
    <t>[119]</t>
  </si>
  <si>
    <t>http://documents.worldbank.org/curated/en/792351468099582004/pdf/E44540V10P123100Box382151B00PUBLIC0.pdf</t>
  </si>
  <si>
    <t>Nigeria Federal Ministry of Water Resources</t>
  </si>
  <si>
    <t>Transforming Irrigation Management in Nigeria (TRIMING) Project - Environmental and Social Management Framework</t>
  </si>
  <si>
    <t>http://www.ecowrex.org/eg/gurara</t>
  </si>
  <si>
    <t>Akwukwaegbu &amp; Izuegbunam</t>
  </si>
  <si>
    <t>http://ijera.com/papers/Vol6_issue9/Part-3/B0609031425.pdf</t>
  </si>
  <si>
    <t>Identification of Reserved Energy Resource Potentials for Nigeria Power Generation Improvement</t>
  </si>
  <si>
    <t>Hydropower - Senegal</t>
  </si>
  <si>
    <t>[120]</t>
  </si>
  <si>
    <t>[121]</t>
  </si>
  <si>
    <t>[122]</t>
  </si>
  <si>
    <t>Hydropower - Sierra Leone</t>
  </si>
  <si>
    <t>Hydropower - Togo</t>
  </si>
  <si>
    <t>[123]</t>
  </si>
  <si>
    <t>[124]</t>
  </si>
  <si>
    <t>Hydropower Potential of Nigeria (International Journal of Modern Engineering Research (IJMER), Vol. 7 (5))</t>
  </si>
  <si>
    <t>https://www.eib.org/attachments/registers/60471102.pdf</t>
  </si>
  <si>
    <t>Étude d'Impact Environnemental et Social du Projet Énergie</t>
  </si>
  <si>
    <t>OMVG (Organisation pour la Mise en Valeur du Fleuve Gambie)</t>
  </si>
  <si>
    <t>http://www.ecowrex.org/eg/sambangalou</t>
  </si>
  <si>
    <t>http://selihydropower.sl/Content/documents/2.%20BBII%20ESHIA_Volume%201.pdf</t>
  </si>
  <si>
    <t>Environmental, Social and Health Impact Assessment for Bumbuna II Hydroelectric Project</t>
  </si>
  <si>
    <t>[3,*]</t>
  </si>
  <si>
    <t>World Bank</t>
  </si>
  <si>
    <t>http://documents.worldbank.org/curated/en/964961468334857145/pdf/31844.pdf</t>
  </si>
  <si>
    <t>Project Appraisal Document for the Completion of the Bumbuna Hydroelectric Project</t>
  </si>
  <si>
    <t>In cases where conflicting sources of information were available, the authors chose a displayed value based on modeling and/or expert judgement. The alternative sources are provided in each case.</t>
  </si>
  <si>
    <t>Source [4] quotes a roughly 2x as high capacity, but modeling of the HPP with the REVUB software suggests that the lower capacity from [3] would be sufficient given the river flow regime.</t>
  </si>
  <si>
    <t>Communauté Électrique du Benin</t>
  </si>
  <si>
    <t>http://www.cebnet.org/pdfs/prospectus%20%201re%20pierre%20adjarala36ea.pdf</t>
  </si>
  <si>
    <t>Adjarala: Projet d’Aménagement Optimal du fleuve Mono pour une amélioration de la fourniture de l’énergie électrique au Bénin et au Togo</t>
  </si>
  <si>
    <t>https://www.researchgate.net/publication/293592987_EIA_of_the_Adjarala_hydroelectric_project_Togo-Benin_The_aquatic_environment_component</t>
  </si>
  <si>
    <t>EIA of the Adjarala hydroelectric project (Togo-Benin): the aquatic environment component</t>
  </si>
  <si>
    <t>Trebaol &amp; Chabal</t>
  </si>
  <si>
    <t>[125]</t>
  </si>
  <si>
    <t>[126]</t>
  </si>
  <si>
    <t>[127]</t>
  </si>
  <si>
    <t>[128]</t>
  </si>
  <si>
    <t>https://www.africardv.com/developpement/benin-togo-4-millions-deuros-pour-nangbeto/</t>
  </si>
  <si>
    <t>Combey, S.</t>
  </si>
  <si>
    <t>Bénin-Togo: 4 millions d’Euros pour Nangbéto</t>
  </si>
  <si>
    <t>Giardino et al.</t>
  </si>
  <si>
    <t>A quantitative assessment of human interventions and climate change on the West African sediment budget (Ocean &amp; Coastal Management Volume 156, 15 April 2018, Pages 249-265)</t>
  </si>
  <si>
    <t>https://doi.org/10.1016/j.ocecoaman.2017.11.008</t>
  </si>
  <si>
    <t>Amoussou et al.</t>
  </si>
  <si>
    <t>Dynamique et modélisation des crues dans le bassin du Mono à Nangbéto (Togo/Bénin), Hydrological Sciences Journal Volume 59, 2014 - Issue 11</t>
  </si>
  <si>
    <t>https://doi.org/10.1080/02626667.2013.871015</t>
  </si>
  <si>
    <t>[129]</t>
  </si>
  <si>
    <t>[130]</t>
  </si>
  <si>
    <t>This HPP will use the combined reservoir capacity of Bumbuna I (existing) and Yiben (planned) [121].</t>
  </si>
  <si>
    <t>Information received from SONABEL through dialogue with CIREG project staff.</t>
  </si>
  <si>
    <t>[160]</t>
  </si>
  <si>
    <t>[156]</t>
  </si>
  <si>
    <t>[131]</t>
  </si>
  <si>
    <t>http://www.ecowrex.org/fr/node/12150</t>
  </si>
  <si>
    <t>Aménagement hydroélectrique de Tététou</t>
  </si>
  <si>
    <t>The sites of Djamdé and Tihalea are mutually exclusive, i.e. they cannot both be developed. We have used the data for Djamdé here, which could have a slightly higher capacity [129,130].</t>
  </si>
  <si>
    <t>http://www.ecowrex.org/project/amenagement-hydroelectrique-de-djamde</t>
  </si>
  <si>
    <t>Aménagement hydroélectrique de Djamde</t>
  </si>
  <si>
    <t>http://www.ecowrex.org/project/amenagement-hydroelectrique-de-tihalea</t>
  </si>
  <si>
    <t>Aménagement hydroélectrique de Tihalea</t>
  </si>
  <si>
    <t>[4,6]</t>
  </si>
  <si>
    <t>Aménagement hydroélectrique de Titira</t>
  </si>
  <si>
    <t>http://www.ecowrex.org/project/amenagement-hydroelectrique-de-titira</t>
  </si>
  <si>
    <t>[132]</t>
  </si>
  <si>
    <t>Aménagement hydroélectrique de Gban Hou</t>
  </si>
  <si>
    <t>http://www.ecowrex.org/project/amenagement-hydroelectrique-de-gban-hou</t>
  </si>
  <si>
    <t>[133]</t>
  </si>
  <si>
    <t>Aménagement hydroélectrique de Dotékopé</t>
  </si>
  <si>
    <t>http://www.ecowrex.org/project/amenagement-hydroelectrique-de-dotekope</t>
  </si>
  <si>
    <t>http://www.ecowrex.org/eg/grandes-chutes-kale</t>
  </si>
  <si>
    <t>http://documents.shihang.org/curated/zh/464771468257936341/pdf/E206400VOL10401BOX0334127B01PUBLIC1.pdf</t>
  </si>
  <si>
    <t>Électricité de Guinée</t>
  </si>
  <si>
    <t>Grandes-Chutes (Kalé)</t>
  </si>
  <si>
    <t>[none]</t>
  </si>
  <si>
    <t>Part of calculations?</t>
  </si>
  <si>
    <t>Yes</t>
  </si>
  <si>
    <t>If yes, how?</t>
  </si>
  <si>
    <t>If no, why?</t>
  </si>
  <si>
    <t>Extrapolation</t>
  </si>
  <si>
    <t>No</t>
  </si>
  <si>
    <t>Below capacity threshold</t>
  </si>
  <si>
    <t>Run-of-river</t>
  </si>
  <si>
    <t>Avoiding double-counting</t>
  </si>
  <si>
    <t>Exclusion_reasons</t>
  </si>
  <si>
    <t>Calculation_methods</t>
  </si>
  <si>
    <t>Environmental impact</t>
  </si>
  <si>
    <t>Simulation</t>
  </si>
  <si>
    <t>Tiassalé</t>
  </si>
  <si>
    <t>Niofila</t>
  </si>
  <si>
    <t>Tourni</t>
  </si>
  <si>
    <t>Hemang</t>
  </si>
  <si>
    <t>Kpong</t>
  </si>
  <si>
    <t>Saltinho Phase II</t>
  </si>
  <si>
    <t>Donkea</t>
  </si>
  <si>
    <t>Tinkisso</t>
  </si>
  <si>
    <t>This HPP will eventually benefit from another HPP's reservoir (Kaléta with Souapiti; Mount Coffee with Via)</t>
  </si>
  <si>
    <t>Grandes Chutes (Kalé)</t>
  </si>
  <si>
    <t>Mount Coffee</t>
  </si>
  <si>
    <t>Félou Hydropower</t>
  </si>
  <si>
    <t>https://ec.europa.eu/europeaid/felou-hydropower_en</t>
  </si>
  <si>
    <t>European Commission</t>
  </si>
  <si>
    <t>Kenié</t>
  </si>
  <si>
    <t>Gouina</t>
  </si>
  <si>
    <t>Yang et al.</t>
  </si>
  <si>
    <t>Quantifying the Sustainability of Water Availability for the Water-Food-Energy-Ecosystem Nexus in the Niger River Basin (Earth's Future 6)</t>
  </si>
  <si>
    <t>https://doi.org/10.1029/2018EF000923</t>
  </si>
  <si>
    <t>Markala</t>
  </si>
  <si>
    <t>Rokon</t>
  </si>
  <si>
    <t>Port Loko</t>
  </si>
  <si>
    <t>Makali</t>
  </si>
  <si>
    <t>Goma 1</t>
  </si>
  <si>
    <t>Bekongor 3</t>
  </si>
  <si>
    <t>Kpimé</t>
  </si>
  <si>
    <t>Tiboto</t>
  </si>
  <si>
    <t>Gourbassi</t>
  </si>
  <si>
    <t>Border project Senegal-Guinée</t>
  </si>
  <si>
    <t>Border project Sierra Leone - Liberia</t>
  </si>
  <si>
    <t>Border project Togo-Benin</t>
  </si>
  <si>
    <t>Border project Benin-Niger [19]</t>
  </si>
  <si>
    <t>Border project Burkina Faso - Ghana [13]</t>
  </si>
  <si>
    <t>Noumbiel (Koulbi)</t>
  </si>
  <si>
    <t>Classified as</t>
  </si>
  <si>
    <t>Technical</t>
  </si>
  <si>
    <t>Solar PV plant</t>
  </si>
  <si>
    <t>The location of the plant was approximated through identifying (the river stretch nearest to) the location of the town/city after which the plant is named.</t>
  </si>
  <si>
    <t>Nzema Project (Aiwiaso)</t>
  </si>
  <si>
    <t>http://www.ecreee.org/stakeholder/blue-energy-co</t>
  </si>
  <si>
    <t>[134]</t>
  </si>
  <si>
    <t>[135]</t>
  </si>
  <si>
    <t>[136]</t>
  </si>
  <si>
    <t>https://bj.ambafrance.org/La-France-et-l-Union-europeenne-s-engagent-aux-cotes-du-Benin-pour-construire</t>
  </si>
  <si>
    <t>Ambassade de France au Bénin</t>
  </si>
  <si>
    <t>Construction de la plus grande centrale solaire du Bénin: la France et l’UE s’engagent auprès du Bénin</t>
  </si>
  <si>
    <t>Brikama Solar - Gambia</t>
  </si>
  <si>
    <t>http://www.ecowrex.org/project/brikama-solar-gambia</t>
  </si>
  <si>
    <t>BXC adds 20MW solar power to grid</t>
  </si>
  <si>
    <t>https://www.ghanaweb.com/GhanaHomePage/business/BXC-adds-20MW-solar-power-to-grid-454815#</t>
  </si>
  <si>
    <t>GhanaWeb</t>
  </si>
  <si>
    <t>[137]</t>
  </si>
  <si>
    <t>[138]</t>
  </si>
  <si>
    <t>Blue Energy Co.</t>
  </si>
  <si>
    <t>[139]</t>
  </si>
  <si>
    <t>[140]</t>
  </si>
  <si>
    <t>[141]</t>
  </si>
  <si>
    <t>UNIDO, GEF &amp; ECREEE</t>
  </si>
  <si>
    <t>Plano de Investimento para Energia Sustentável da Guiné-Bissau</t>
  </si>
  <si>
    <t>http://www.ecreee.org/sites/default/files/documents/news/web_plano_de_investimento_optimized.pdf</t>
  </si>
  <si>
    <t>PANER Guiné-Bissau</t>
  </si>
  <si>
    <t>http://www.se4all.ecreee.org/sites/default/files/plano_de_acao_nacional_no_sector_das_energias_renovaveis_paner_para_a_guine-bissau.pdf</t>
  </si>
  <si>
    <t>[1,4]</t>
  </si>
  <si>
    <t>PANER Mali</t>
  </si>
  <si>
    <t>https://www.se4all-africa.org/fileadmin/uploads/se4all/Documents/Country_PANER/Mali_Plan_d_Actions_National_pour_les_Energies_Renouvelables_.pdf</t>
  </si>
  <si>
    <t>[142]</t>
  </si>
  <si>
    <t>Bamako PV project</t>
  </si>
  <si>
    <t>http://www.ecowrex.org/project/bamako-pv-project</t>
  </si>
  <si>
    <t>Centrale Solaire de Mopti</t>
  </si>
  <si>
    <t>http://www.ecowrex.org/project/centrale-solaire-de-mopti</t>
  </si>
  <si>
    <t>[143]</t>
  </si>
  <si>
    <t>Centrale PV Gao - Hybride Diesel</t>
  </si>
  <si>
    <t>http://www.ecowrex.org/project/centrale-pv-gao-hybride-diesel-mali</t>
  </si>
  <si>
    <t>[144]</t>
  </si>
  <si>
    <t>[145]</t>
  </si>
  <si>
    <t>[146]</t>
  </si>
  <si>
    <t>[147]</t>
  </si>
  <si>
    <t>[148]</t>
  </si>
  <si>
    <t>http://www.ecowrex.org/project/centrale-soalire-photovoltaique-de-diabaly</t>
  </si>
  <si>
    <t>Centrale Solaire Photovoltaïque de Diabaly</t>
  </si>
  <si>
    <t>http://www.ecowrex.org/project/centrale-solaire-de-kolokani</t>
  </si>
  <si>
    <t>Centrale Solaire de Kolokani</t>
  </si>
  <si>
    <t>http://www.ecowrex.org/project/centrale-solaire-de-niafunke</t>
  </si>
  <si>
    <t>http://www.ecowrex.org/project/centrale-solaire-de-m-pessoba</t>
  </si>
  <si>
    <t>Centrale Solaire de M'Pessoba</t>
  </si>
  <si>
    <t>Centrale Solaire de Niafunké</t>
  </si>
  <si>
    <t>[149]</t>
  </si>
  <si>
    <t>[150]</t>
  </si>
  <si>
    <t>[151]</t>
  </si>
  <si>
    <t>[152]</t>
  </si>
  <si>
    <t>[153]</t>
  </si>
  <si>
    <t>[154]</t>
  </si>
  <si>
    <t>Centrale Solaire de San</t>
  </si>
  <si>
    <t>http://www.ecowrex.org/project/centrale-solaire-de-san</t>
  </si>
  <si>
    <t>https://www.greenbuildingafrica.co.za/first-utility-scale-solar-pv-plant-commissioned-in-niger/</t>
  </si>
  <si>
    <t>First Utility Scale Solar PV Plant Commissioned in Niger</t>
  </si>
  <si>
    <t>VivAfrik (Ficou, M.)</t>
  </si>
  <si>
    <t>https://www.vivafrik.com/2018/11/06/la-centrale-solaire-de-gorou-banda-mise-en-service-en-2021-au-niger-a20367.html</t>
  </si>
  <si>
    <t>La centrale solaire de Gorou Banda mise en service en 2021 au Niger</t>
  </si>
  <si>
    <t>GreenBuildingAfrica (Groenendaal, P.)</t>
  </si>
  <si>
    <t>http://www.ecowrex.org/news/commissioning-malbaza-7mw-solar-plant-niger</t>
  </si>
  <si>
    <t>Commissioning of Malbaza 7MW solar plant in Niger</t>
  </si>
  <si>
    <t>https://www.jeuneafrique.com/657072/economie/niger-une-centrale-electrique-solaire-bientot-construite-a-niamey/</t>
  </si>
  <si>
    <t>JeuneAfrique</t>
  </si>
  <si>
    <t>Niger: une centrale électrique solaire bientôt construite à Niamey</t>
  </si>
  <si>
    <t>http://www.se4all.ecreee.org/sites/default/files/Nigeria_IP.pdf</t>
  </si>
  <si>
    <t>SE4All Investment Prospectus</t>
  </si>
  <si>
    <t>Federal Republic of Nigeria</t>
  </si>
  <si>
    <t>[155]</t>
  </si>
  <si>
    <t>Centrale Solaire de Ziguinchor</t>
  </si>
  <si>
    <t>http://www.ecowrex.org/project/centrale-solaire-de-ziguinchor-senegal</t>
  </si>
  <si>
    <t>Centrale solaire Sakal PV project - Senegal</t>
  </si>
  <si>
    <t>http://www.ecowrex.org/project/centrale-solaire-sakal-pv-project-senegal</t>
  </si>
  <si>
    <t>PANER Senegal</t>
  </si>
  <si>
    <t>http://www.se4all.ecreee.org/sites/default/files/plan_dactions_national_des_energies_renouvelables_paner.pdf</t>
  </si>
  <si>
    <t>[157]</t>
  </si>
  <si>
    <t>[158]</t>
  </si>
  <si>
    <t>JeuneAfrique (Oury Diallo, A.)</t>
  </si>
  <si>
    <t>Le Sénégal donne du souffle à son mix énergétique</t>
  </si>
  <si>
    <t>https://www.jeuneafrique.com/mag/626271/economie/le-senegal-donne-du-souffle-a-son-mix-energetique/</t>
  </si>
  <si>
    <t>https://awoko.org/2017/05/10/sierra-leone-news-12-6m-solar-park-project-to-boost-electricity-supply/</t>
  </si>
  <si>
    <t>Sierra Leone News: $12.6m solar park project to boost electricity supply</t>
  </si>
  <si>
    <t>Awoko Newspaper</t>
  </si>
  <si>
    <t>[159]</t>
  </si>
  <si>
    <t>Sierra Leone: 25MW solar PV project to boost Bo District</t>
  </si>
  <si>
    <t>https://www.esi-africa.com/industry-sectors/future-energy/25mw-solar-pv-project-to-boost-sierra-leones-bo-district/</t>
  </si>
  <si>
    <t>ESI Africa</t>
  </si>
  <si>
    <t>http://www.ecreee.org/sites/default/files/events/presentation_se4all_action_agenda_sierra_leone.pdf</t>
  </si>
  <si>
    <t>Sustainable Energy for All (SE4ALL) Action Agenda for Sierra Leone</t>
  </si>
  <si>
    <t>Kamara, B.</t>
  </si>
  <si>
    <t>[161]</t>
  </si>
  <si>
    <t>[162]</t>
  </si>
  <si>
    <t>http://www.ecowrex.org/project/parc-eolien-de-20-mw-benin</t>
  </si>
  <si>
    <t>Parc éolien de 20 MW - Benin</t>
  </si>
  <si>
    <t>Unnamed wind park</t>
  </si>
  <si>
    <t>Tujereng Wind Farm Project - Gambia</t>
  </si>
  <si>
    <t>http://www.ecowrex.org/project/tujereng-wind-farm-project-gambia</t>
  </si>
  <si>
    <t>[163]</t>
  </si>
  <si>
    <t>[164]</t>
  </si>
  <si>
    <t>Tombouctou Wind Power Project - Mali</t>
  </si>
  <si>
    <t>http://www.ecowrex.org/project/tombouctou-wind-power-project-mali</t>
  </si>
  <si>
    <t>Champ éolien de Gao</t>
  </si>
  <si>
    <t>http://www.ecowrex.org/project/champ-eolien-de-gao</t>
  </si>
  <si>
    <t>[165]</t>
  </si>
  <si>
    <t>http://www.ecowrex.org/project/parc-eolien-de-30-mw</t>
  </si>
  <si>
    <t>[166]</t>
  </si>
  <si>
    <t>[167]</t>
  </si>
  <si>
    <t>Katsina</t>
  </si>
  <si>
    <t>http://www.ecowrex.org/sites/default/files/documents/projects/2012_katsina-wind-farm_vergnet.pdf</t>
  </si>
  <si>
    <t>Nigeria - Katsina Wind Farm</t>
  </si>
  <si>
    <t>Parc Éolien Taïba N'Diaye</t>
  </si>
  <si>
    <t>http://www.taibaeolien.com/sn/a-propos/</t>
  </si>
  <si>
    <t>Résumé du projet</t>
  </si>
  <si>
    <t>http://www.ecowrex.org/project/centrale-eolienne-de-leona</t>
  </si>
  <si>
    <t>[168]</t>
  </si>
  <si>
    <t>Centrale éolienne de Leona</t>
  </si>
  <si>
    <t>[169]</t>
  </si>
  <si>
    <t>[170]</t>
  </si>
  <si>
    <t>http://www.ecowrex.org/project/parc-eolien-de-saint-louis</t>
  </si>
  <si>
    <t>Parc éolien de Saint-Louis</t>
  </si>
  <si>
    <t>Hybrid diesel-solar [142]</t>
  </si>
  <si>
    <t>Hybrid diesel-solar [152]</t>
  </si>
  <si>
    <t>Hybrid diesel-solar [154]</t>
  </si>
  <si>
    <t>http://www.ecowrex.org/project/parc-eolien-de-devego-togo-delta-wind-togo</t>
  </si>
  <si>
    <t>[171]</t>
  </si>
  <si>
    <t>Eco Delta</t>
  </si>
  <si>
    <t>Eco Delta : 1er parc éolien d'Afrique de l'Ouest - 25,2 MWe au Togo</t>
  </si>
  <si>
    <t>http://www.ecowrex.org/sites/default/files/documents/projects/2012_communique-de-presse_eco-delta.pdf</t>
  </si>
  <si>
    <t>Parc éolien de Devego Togo</t>
  </si>
  <si>
    <t>[172]</t>
  </si>
  <si>
    <t>Spread over Mboye and Gantour sites [170]</t>
  </si>
  <si>
    <t>[171,172]</t>
  </si>
  <si>
    <t>https://www.jeuneafrique.com/780416/economie/senegal-le-plus-grand-parc-eolien-dafrique-de-louest-prend-forme-a-taiba-ndiaye/</t>
  </si>
  <si>
    <t>Sénégal: le plus grand parc éolien d’Afrique de l’Ouest prend forme à Taiba Ndiaye</t>
  </si>
  <si>
    <t>Solar power plant database</t>
  </si>
  <si>
    <t>Sheet 4</t>
  </si>
  <si>
    <t>Wind power plant database</t>
  </si>
  <si>
    <t>An overview of hydropower plants is given on the sheet "Hydro"; an overview of solar PV plants on the sheet "Solar PV"; and an overview of wind power plants on the sheet "Wind".</t>
  </si>
  <si>
    <t>[129,‡]</t>
  </si>
  <si>
    <t>[‡]</t>
  </si>
  <si>
    <t>[†††]</t>
  </si>
  <si>
    <t>[3,†††]</t>
  </si>
  <si>
    <t>[††]</t>
  </si>
  <si>
    <t>[†]</t>
  </si>
  <si>
    <t>[2,†]</t>
  </si>
  <si>
    <t>Footnotes</t>
  </si>
  <si>
    <t>In some cases, data on potential locations for small hydropower plants was only available as aggregate. In these cases, the cumulative potential was included and the entry denoted "[other small sites]".</t>
  </si>
  <si>
    <t>Joint project Mali - Senegal - Mauritania</t>
  </si>
  <si>
    <t>Existing</t>
  </si>
  <si>
    <t>Ongoing</t>
  </si>
  <si>
    <t>In each case, source [7] suggests a substantially higher capacity, sometimes differing by a factor of more than 2x. Given the high capacities involved, the accompanying paper considered the lower estimate from [2] in order to remain conservative.</t>
  </si>
  <si>
    <t>Classification in accompanying paper</t>
  </si>
  <si>
    <t>Use in accompanying paper</t>
  </si>
  <si>
    <t>[‡‡]</t>
  </si>
  <si>
    <t>The siting for this wind park has not yet been determined, as the project is in the "resource mapping phase" [161].</t>
  </si>
  <si>
    <t>Not simulated in accompanying paper as river not resolved in SWAT+Africa simulations</t>
  </si>
  <si>
    <t>Sebastian Sterl, Inne Vanderkelen, Celray James Chawanda, Daniel Russo, Robert J. Brecha, Ann van Griensven, Nicole van Lipzig, Wim Thiery</t>
  </si>
  <si>
    <t>Wind power plant</t>
  </si>
  <si>
    <r>
      <t>The database accompanies the paper "</t>
    </r>
    <r>
      <rPr>
        <i/>
        <sz val="10"/>
        <color theme="1"/>
        <rFont val="Verdana"/>
        <family val="2"/>
      </rPr>
      <t>Smart renewable electricity portfolios in West Africa</t>
    </r>
    <r>
      <rPr>
        <sz val="10"/>
        <color theme="1"/>
        <rFont val="Verdana"/>
        <family val="2"/>
      </rPr>
      <t>" by Sterl et al. (here referred to as ''accompanying paper").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</si>
</sst>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E+00"/>
    <numFmt numFmtId="166" formatCode="0.000"/>
  </numFmts>
  <fonts count="32" x14ac:knownFonts="1">
    <font>
      <sz val="11"/>
      <color theme="1"/>
      <name val="Calibri"/>
      <family val="2"/>
      <scheme val="minor"/>
    </font>
    <font>
      <sz val="11"/>
      <color theme="1"/>
      <name val="Calibri"/>
      <family val="2"/>
      <scheme val="minor"/>
    </font>
    <font>
      <b/>
      <sz val="11"/>
      <color theme="3"/>
      <name val="Calibri"/>
      <family val="2"/>
      <scheme val="minor"/>
    </font>
    <font>
      <b/>
      <sz val="10"/>
      <color theme="1"/>
      <name val="Verdana"/>
      <family val="2"/>
    </font>
    <font>
      <sz val="10"/>
      <color theme="1"/>
      <name val="Verdana"/>
      <family val="2"/>
    </font>
    <font>
      <b/>
      <sz val="11"/>
      <color theme="3"/>
      <name val="Verdana"/>
      <family val="2"/>
    </font>
    <font>
      <sz val="10"/>
      <color theme="7" tint="0.39997558519241921"/>
      <name val="Verdana"/>
      <family val="2"/>
    </font>
    <font>
      <sz val="10"/>
      <name val="Verdana"/>
      <family val="2"/>
    </font>
    <font>
      <sz val="10"/>
      <color rgb="FFFFC000"/>
      <name val="Verdana"/>
      <family val="2"/>
    </font>
    <font>
      <sz val="10"/>
      <color rgb="FFC00000"/>
      <name val="Verdana"/>
      <family val="2"/>
    </font>
    <font>
      <b/>
      <sz val="10"/>
      <name val="Verdana"/>
      <family val="2"/>
    </font>
    <font>
      <b/>
      <sz val="15"/>
      <color theme="3"/>
      <name val="Calibri"/>
      <family val="2"/>
      <scheme val="minor"/>
    </font>
    <font>
      <i/>
      <sz val="10"/>
      <color theme="1"/>
      <name val="Verdana"/>
      <family val="2"/>
    </font>
    <font>
      <u/>
      <sz val="11"/>
      <color theme="10"/>
      <name val="Calibri"/>
      <family val="2"/>
      <scheme val="minor"/>
    </font>
    <font>
      <sz val="8"/>
      <name val="Arial"/>
      <family val="2"/>
    </font>
    <font>
      <b/>
      <sz val="16"/>
      <color theme="4"/>
      <name val="Verdana"/>
      <family val="2"/>
    </font>
    <font>
      <sz val="8"/>
      <color rgb="FFA2A4A4"/>
      <name val="Arial"/>
      <family val="2"/>
    </font>
    <font>
      <b/>
      <sz val="8"/>
      <name val="Arial"/>
      <family val="2"/>
    </font>
    <font>
      <sz val="10"/>
      <name val="Arial"/>
      <family val="2"/>
    </font>
    <font>
      <u/>
      <sz val="10"/>
      <color theme="10"/>
      <name val="Verdana"/>
      <family val="2"/>
    </font>
    <font>
      <b/>
      <sz val="13"/>
      <color theme="3"/>
      <name val="Calibri"/>
      <family val="2"/>
      <scheme val="minor"/>
    </font>
    <font>
      <b/>
      <sz val="14"/>
      <color theme="3"/>
      <name val="Verdana"/>
      <family val="2"/>
    </font>
    <font>
      <sz val="12"/>
      <color theme="1"/>
      <name val="Verdana"/>
      <family val="2"/>
    </font>
    <font>
      <b/>
      <sz val="12"/>
      <color theme="3"/>
      <name val="Verdana"/>
      <family val="2"/>
    </font>
    <font>
      <b/>
      <sz val="12"/>
      <color theme="1"/>
      <name val="Verdana"/>
      <family val="2"/>
    </font>
    <font>
      <b/>
      <i/>
      <sz val="10"/>
      <color theme="1"/>
      <name val="Verdana"/>
      <family val="2"/>
    </font>
    <font>
      <i/>
      <sz val="12"/>
      <color theme="1"/>
      <name val="Verdana"/>
      <family val="2"/>
    </font>
    <font>
      <b/>
      <i/>
      <sz val="12"/>
      <color theme="1"/>
      <name val="Verdana"/>
      <family val="2"/>
    </font>
    <font>
      <sz val="11"/>
      <color theme="3"/>
      <name val="Verdana"/>
      <family val="2"/>
    </font>
    <font>
      <sz val="15"/>
      <color theme="3"/>
      <name val="Calibri"/>
      <family val="2"/>
      <scheme val="minor"/>
    </font>
    <font>
      <sz val="10"/>
      <color theme="1"/>
      <name val="Calibri"/>
      <family val="2"/>
    </font>
    <font>
      <b/>
      <sz val="10"/>
      <color theme="3"/>
      <name val="Verdana"/>
      <family val="2"/>
    </font>
  </fonts>
  <fills count="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0"/>
        <bgColor indexed="64"/>
      </patternFill>
    </fill>
    <fill>
      <patternFill patternType="solid">
        <fgColor theme="7" tint="0.39997558519241921"/>
        <bgColor indexed="65"/>
      </patternFill>
    </fill>
    <fill>
      <patternFill patternType="solid">
        <fgColor indexed="56"/>
        <bgColor indexed="64"/>
      </patternFill>
    </fill>
    <fill>
      <patternFill patternType="solid">
        <fgColor rgb="FFFDFCE4"/>
        <bgColor indexed="64"/>
      </patternFill>
    </fill>
  </fills>
  <borders count="7">
    <border>
      <left/>
      <right/>
      <top/>
      <bottom/>
      <diagonal/>
    </border>
    <border>
      <left/>
      <right/>
      <top/>
      <bottom style="medium">
        <color theme="4" tint="0.39997558519241921"/>
      </bottom>
      <diagonal/>
    </border>
    <border>
      <left/>
      <right/>
      <top/>
      <bottom style="thick">
        <color theme="4"/>
      </bottom>
      <diagonal/>
    </border>
    <border>
      <left/>
      <right/>
      <top/>
      <bottom style="medium">
        <color indexed="33"/>
      </bottom>
      <diagonal/>
    </border>
    <border>
      <left style="hair">
        <color indexed="43"/>
      </left>
      <right style="hair">
        <color indexed="43"/>
      </right>
      <top style="hair">
        <color indexed="43"/>
      </top>
      <bottom style="thin">
        <color indexed="34"/>
      </bottom>
      <diagonal/>
    </border>
    <border>
      <left style="hair">
        <color indexed="13"/>
      </left>
      <right style="hair">
        <color indexed="13"/>
      </right>
      <top style="hair">
        <color indexed="13"/>
      </top>
      <bottom style="hair">
        <color indexed="13"/>
      </bottom>
      <diagonal/>
    </border>
    <border>
      <left/>
      <right/>
      <top/>
      <bottom style="thick">
        <color theme="4" tint="0.499984740745262"/>
      </bottom>
      <diagonal/>
    </border>
  </borders>
  <cellStyleXfs count="14">
    <xf numFmtId="0" fontId="0" fillId="0" borderId="0"/>
    <xf numFmtId="0" fontId="2" fillId="0" borderId="1"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11" fillId="0" borderId="2" applyNumberFormat="0" applyFill="0" applyAlignment="0" applyProtection="0"/>
    <xf numFmtId="0" fontId="1" fillId="5" borderId="0" applyNumberFormat="0" applyBorder="0" applyAlignment="0" applyProtection="0"/>
    <xf numFmtId="0" fontId="13" fillId="0" borderId="0" applyNumberFormat="0" applyFill="0" applyBorder="0" applyAlignment="0" applyProtection="0"/>
    <xf numFmtId="0" fontId="16" fillId="0" borderId="0" applyNumberFormat="0" applyFill="0" applyBorder="0">
      <alignment horizontal="right"/>
    </xf>
    <xf numFmtId="0" fontId="5" fillId="0" borderId="3" applyNumberFormat="0" applyAlignment="0"/>
    <xf numFmtId="0" fontId="18" fillId="0" borderId="0"/>
    <xf numFmtId="0" fontId="17" fillId="0" borderId="4" applyNumberFormat="0">
      <alignment wrapText="1"/>
    </xf>
    <xf numFmtId="3" fontId="14" fillId="6" borderId="5" applyNumberFormat="0" applyFont="0" applyAlignment="0">
      <protection locked="0"/>
    </xf>
    <xf numFmtId="0" fontId="14" fillId="7" borderId="5" applyFont="0" applyAlignment="0">
      <protection locked="0"/>
    </xf>
    <xf numFmtId="0" fontId="20" fillId="0" borderId="6" applyNumberFormat="0" applyFill="0" applyAlignment="0" applyProtection="0"/>
  </cellStyleXfs>
  <cellXfs count="143">
    <xf numFmtId="0" fontId="0" fillId="0" borderId="0" xfId="0"/>
    <xf numFmtId="0" fontId="3" fillId="0" borderId="0" xfId="0" applyFont="1"/>
    <xf numFmtId="0" fontId="4" fillId="0" borderId="0" xfId="0" applyFont="1"/>
    <xf numFmtId="3" fontId="4" fillId="0" borderId="0" xfId="0" applyNumberFormat="1" applyFont="1"/>
    <xf numFmtId="2" fontId="4" fillId="0" borderId="0" xfId="0" applyNumberFormat="1" applyFont="1"/>
    <xf numFmtId="0" fontId="3" fillId="0" borderId="0" xfId="0" applyFont="1" applyAlignment="1">
      <alignment wrapText="1"/>
    </xf>
    <xf numFmtId="3" fontId="3" fillId="4" borderId="0" xfId="3" applyNumberFormat="1" applyFont="1" applyFill="1"/>
    <xf numFmtId="0" fontId="5" fillId="0" borderId="1" xfId="1" applyFont="1"/>
    <xf numFmtId="2" fontId="5" fillId="0" borderId="1" xfId="1" applyNumberFormat="1" applyFont="1"/>
    <xf numFmtId="164" fontId="4" fillId="0" borderId="0" xfId="0" applyNumberFormat="1" applyFont="1"/>
    <xf numFmtId="164" fontId="3" fillId="0" borderId="0" xfId="0" applyNumberFormat="1" applyFont="1" applyAlignment="1">
      <alignment wrapText="1"/>
    </xf>
    <xf numFmtId="164" fontId="5" fillId="0" borderId="1" xfId="1" applyNumberFormat="1" applyFont="1"/>
    <xf numFmtId="11" fontId="4" fillId="0" borderId="0" xfId="0" applyNumberFormat="1" applyFont="1"/>
    <xf numFmtId="165" fontId="4" fillId="0" borderId="0" xfId="0" applyNumberFormat="1" applyFont="1"/>
    <xf numFmtId="165" fontId="3" fillId="0" borderId="0" xfId="0" applyNumberFormat="1" applyFont="1" applyAlignment="1">
      <alignment wrapText="1"/>
    </xf>
    <xf numFmtId="165" fontId="5" fillId="0" borderId="1" xfId="1" applyNumberFormat="1" applyFont="1"/>
    <xf numFmtId="1" fontId="4" fillId="0" borderId="0" xfId="0" applyNumberFormat="1" applyFont="1" applyAlignment="1">
      <alignment horizontal="right"/>
    </xf>
    <xf numFmtId="1" fontId="3" fillId="0" borderId="0" xfId="0" applyNumberFormat="1" applyFont="1" applyAlignment="1">
      <alignment horizontal="left" wrapText="1"/>
    </xf>
    <xf numFmtId="1" fontId="5" fillId="0" borderId="1" xfId="1" applyNumberFormat="1" applyFont="1" applyAlignment="1">
      <alignment horizontal="right"/>
    </xf>
    <xf numFmtId="0" fontId="6" fillId="0" borderId="0" xfId="0" applyFont="1"/>
    <xf numFmtId="1" fontId="3" fillId="0" borderId="0" xfId="0" applyNumberFormat="1" applyFont="1" applyAlignment="1">
      <alignment horizontal="right" wrapText="1"/>
    </xf>
    <xf numFmtId="0" fontId="7" fillId="0" borderId="0" xfId="0" applyFont="1"/>
    <xf numFmtId="2" fontId="7" fillId="0" borderId="0" xfId="0" applyNumberFormat="1" applyFont="1"/>
    <xf numFmtId="164" fontId="7" fillId="0" borderId="0" xfId="0" applyNumberFormat="1" applyFont="1"/>
    <xf numFmtId="1" fontId="7" fillId="0" borderId="0" xfId="0" applyNumberFormat="1" applyFont="1" applyAlignment="1">
      <alignment horizontal="right"/>
    </xf>
    <xf numFmtId="165" fontId="7" fillId="0" borderId="0" xfId="0" applyNumberFormat="1" applyFont="1"/>
    <xf numFmtId="165" fontId="8" fillId="0" borderId="0" xfId="0" applyNumberFormat="1" applyFont="1"/>
    <xf numFmtId="166" fontId="4" fillId="0" borderId="0" xfId="0" applyNumberFormat="1" applyFont="1"/>
    <xf numFmtId="1" fontId="7" fillId="0" borderId="0" xfId="0" applyNumberFormat="1" applyFont="1"/>
    <xf numFmtId="0" fontId="10" fillId="0" borderId="0" xfId="0" applyFont="1"/>
    <xf numFmtId="0" fontId="7" fillId="0" borderId="0" xfId="0" applyFont="1" applyFill="1"/>
    <xf numFmtId="2" fontId="7" fillId="0" borderId="0" xfId="0" applyNumberFormat="1" applyFont="1" applyAlignment="1">
      <alignment wrapText="1"/>
    </xf>
    <xf numFmtId="0" fontId="11" fillId="0" borderId="2" xfId="4"/>
    <xf numFmtId="0" fontId="4" fillId="0" borderId="0" xfId="0" applyFont="1" applyAlignment="1">
      <alignment horizontal="right"/>
    </xf>
    <xf numFmtId="165" fontId="4" fillId="0" borderId="0" xfId="5" applyNumberFormat="1" applyFont="1" applyFill="1"/>
    <xf numFmtId="0" fontId="3" fillId="0" borderId="0" xfId="0" applyFont="1" applyAlignment="1">
      <alignment horizontal="center"/>
    </xf>
    <xf numFmtId="0" fontId="3" fillId="0" borderId="0" xfId="0" applyFont="1" applyAlignment="1">
      <alignment horizontal="left"/>
    </xf>
    <xf numFmtId="2" fontId="3" fillId="0" borderId="0" xfId="0" applyNumberFormat="1" applyFont="1"/>
    <xf numFmtId="0" fontId="3" fillId="0" borderId="0" xfId="0" applyFont="1" applyAlignment="1">
      <alignment horizontal="left" wrapText="1"/>
    </xf>
    <xf numFmtId="2" fontId="3" fillId="0" borderId="0" xfId="0" applyNumberFormat="1" applyFont="1" applyAlignment="1">
      <alignment wrapText="1"/>
    </xf>
    <xf numFmtId="0" fontId="5" fillId="0" borderId="1" xfId="1" applyFont="1" applyAlignment="1">
      <alignment horizontal="center"/>
    </xf>
    <xf numFmtId="0" fontId="5" fillId="0" borderId="1" xfId="1" applyFont="1" applyAlignment="1">
      <alignment horizontal="left"/>
    </xf>
    <xf numFmtId="0" fontId="4" fillId="0" borderId="0" xfId="0" applyFont="1" applyAlignment="1">
      <alignment horizontal="center"/>
    </xf>
    <xf numFmtId="0" fontId="4" fillId="0" borderId="0" xfId="0" applyFont="1" applyAlignment="1">
      <alignment horizontal="left"/>
    </xf>
    <xf numFmtId="0" fontId="7" fillId="4" borderId="0" xfId="0" applyFont="1" applyFill="1"/>
    <xf numFmtId="0" fontId="7" fillId="0" borderId="0" xfId="0" applyFont="1" applyAlignment="1">
      <alignment horizontal="center"/>
    </xf>
    <xf numFmtId="0" fontId="7" fillId="0" borderId="0" xfId="0" applyFont="1" applyAlignment="1">
      <alignment horizontal="left"/>
    </xf>
    <xf numFmtId="2" fontId="3" fillId="4" borderId="0" xfId="3" applyNumberFormat="1" applyFont="1" applyFill="1"/>
    <xf numFmtId="1" fontId="4" fillId="0" borderId="0" xfId="0" applyNumberFormat="1" applyFont="1" applyAlignment="1">
      <alignment horizontal="center"/>
    </xf>
    <xf numFmtId="0" fontId="7" fillId="0" borderId="0" xfId="0" applyFont="1" applyBorder="1"/>
    <xf numFmtId="1" fontId="4" fillId="4" borderId="0" xfId="2" applyNumberFormat="1" applyFont="1" applyFill="1" applyAlignment="1">
      <alignment horizontal="right"/>
    </xf>
    <xf numFmtId="165" fontId="7" fillId="0" borderId="0" xfId="0" applyNumberFormat="1" applyFont="1" applyAlignment="1">
      <alignment horizontal="right"/>
    </xf>
    <xf numFmtId="165" fontId="7" fillId="0" borderId="0" xfId="5" applyNumberFormat="1" applyFont="1" applyFill="1"/>
    <xf numFmtId="2" fontId="7" fillId="0" borderId="0" xfId="0" applyNumberFormat="1" applyFont="1" applyFill="1"/>
    <xf numFmtId="1" fontId="7" fillId="0" borderId="0" xfId="0" quotePrefix="1" applyNumberFormat="1" applyFont="1" applyAlignment="1">
      <alignment horizontal="right"/>
    </xf>
    <xf numFmtId="0" fontId="12" fillId="0" borderId="0" xfId="0" applyFont="1"/>
    <xf numFmtId="0" fontId="15" fillId="0" borderId="2" xfId="4" applyFont="1"/>
    <xf numFmtId="0" fontId="19" fillId="0" borderId="0" xfId="6" applyFont="1"/>
    <xf numFmtId="0" fontId="4" fillId="0" borderId="0" xfId="0" applyFont="1" applyAlignment="1"/>
    <xf numFmtId="14" fontId="4" fillId="0" borderId="0" xfId="0" applyNumberFormat="1" applyFont="1" applyAlignment="1">
      <alignment horizontal="left"/>
    </xf>
    <xf numFmtId="0" fontId="21" fillId="0" borderId="2" xfId="4" applyFont="1"/>
    <xf numFmtId="0" fontId="4" fillId="0" borderId="0" xfId="0" applyFont="1" applyAlignment="1">
      <alignment wrapText="1"/>
    </xf>
    <xf numFmtId="14" fontId="4" fillId="0" borderId="0" xfId="0" applyNumberFormat="1" applyFont="1"/>
    <xf numFmtId="0" fontId="19" fillId="0" borderId="0" xfId="6" applyFont="1" applyAlignment="1"/>
    <xf numFmtId="0" fontId="22" fillId="0" borderId="0" xfId="0" applyFont="1"/>
    <xf numFmtId="0" fontId="24" fillId="0" borderId="0" xfId="0" applyFont="1"/>
    <xf numFmtId="0" fontId="11" fillId="0" borderId="2" xfId="4" applyFont="1"/>
    <xf numFmtId="0" fontId="11" fillId="0" borderId="2" xfId="4" applyFont="1" applyAlignment="1">
      <alignment horizontal="center"/>
    </xf>
    <xf numFmtId="2" fontId="7" fillId="0" borderId="0" xfId="0" applyNumberFormat="1" applyFont="1" applyAlignment="1">
      <alignment horizontal="center"/>
    </xf>
    <xf numFmtId="2" fontId="4" fillId="0" borderId="0" xfId="0" applyNumberFormat="1" applyFont="1" applyAlignment="1">
      <alignment horizontal="center"/>
    </xf>
    <xf numFmtId="2" fontId="7" fillId="0" borderId="0" xfId="0" applyNumberFormat="1" applyFont="1" applyFill="1" applyAlignment="1">
      <alignment horizontal="center"/>
    </xf>
    <xf numFmtId="0" fontId="21" fillId="0" borderId="2" xfId="4" applyFont="1" applyAlignment="1">
      <alignment horizontal="center"/>
    </xf>
    <xf numFmtId="1" fontId="4" fillId="0" borderId="0" xfId="0" applyNumberFormat="1" applyFont="1" applyAlignment="1">
      <alignment horizontal="center" wrapText="1"/>
    </xf>
    <xf numFmtId="164" fontId="4" fillId="0" borderId="0" xfId="0" applyNumberFormat="1" applyFont="1" applyAlignment="1">
      <alignment horizontal="center"/>
    </xf>
    <xf numFmtId="164" fontId="5" fillId="0" borderId="1" xfId="1" applyNumberFormat="1" applyFont="1" applyAlignment="1">
      <alignment horizontal="center"/>
    </xf>
    <xf numFmtId="164" fontId="7" fillId="0" borderId="0" xfId="0" applyNumberFormat="1" applyFont="1" applyAlignment="1">
      <alignment horizontal="center"/>
    </xf>
    <xf numFmtId="166" fontId="4" fillId="0" borderId="0" xfId="0" applyNumberFormat="1" applyFont="1" applyAlignment="1">
      <alignment horizontal="center"/>
    </xf>
    <xf numFmtId="3" fontId="3" fillId="4" borderId="0" xfId="3" applyNumberFormat="1" applyFont="1" applyFill="1" applyAlignment="1">
      <alignment horizontal="center"/>
    </xf>
    <xf numFmtId="1" fontId="5" fillId="0" borderId="1" xfId="1" applyNumberFormat="1" applyFont="1" applyAlignment="1">
      <alignment horizontal="center"/>
    </xf>
    <xf numFmtId="1" fontId="7" fillId="0" borderId="0" xfId="0" applyNumberFormat="1" applyFont="1" applyAlignment="1">
      <alignment horizontal="center"/>
    </xf>
    <xf numFmtId="165" fontId="8" fillId="0" borderId="0" xfId="0" applyNumberFormat="1" applyFont="1" applyAlignment="1">
      <alignment horizontal="center"/>
    </xf>
    <xf numFmtId="1" fontId="4" fillId="4" borderId="0" xfId="2" applyNumberFormat="1" applyFont="1" applyFill="1" applyAlignment="1">
      <alignment horizontal="center"/>
    </xf>
    <xf numFmtId="1" fontId="7" fillId="0" borderId="0" xfId="0" quotePrefix="1" applyNumberFormat="1" applyFont="1" applyAlignment="1">
      <alignment horizontal="center"/>
    </xf>
    <xf numFmtId="165" fontId="7" fillId="0" borderId="0" xfId="0" applyNumberFormat="1" applyFont="1" applyAlignment="1">
      <alignment horizontal="center"/>
    </xf>
    <xf numFmtId="165" fontId="4" fillId="0" borderId="0" xfId="0" applyNumberFormat="1" applyFont="1" applyAlignment="1">
      <alignment horizontal="center"/>
    </xf>
    <xf numFmtId="165" fontId="5" fillId="0" borderId="1" xfId="1" applyNumberFormat="1" applyFont="1" applyAlignment="1">
      <alignment horizontal="center"/>
    </xf>
    <xf numFmtId="165" fontId="4" fillId="0" borderId="0" xfId="5" applyNumberFormat="1" applyFont="1" applyFill="1" applyAlignment="1">
      <alignment horizontal="center"/>
    </xf>
    <xf numFmtId="165" fontId="7" fillId="0" borderId="0" xfId="5" applyNumberFormat="1" applyFont="1" applyFill="1" applyAlignment="1">
      <alignment horizontal="center"/>
    </xf>
    <xf numFmtId="0" fontId="22" fillId="0" borderId="0" xfId="0" applyFont="1" applyAlignment="1">
      <alignment horizontal="right"/>
    </xf>
    <xf numFmtId="0" fontId="24" fillId="0" borderId="0" xfId="0" applyFont="1" applyAlignment="1">
      <alignment horizontal="right"/>
    </xf>
    <xf numFmtId="0" fontId="3" fillId="0" borderId="0" xfId="0" applyFont="1" applyAlignment="1">
      <alignment horizontal="right"/>
    </xf>
    <xf numFmtId="0" fontId="22" fillId="0" borderId="0" xfId="0" applyFont="1" applyAlignment="1"/>
    <xf numFmtId="0" fontId="24" fillId="0" borderId="0" xfId="0" applyFont="1" applyAlignment="1"/>
    <xf numFmtId="0" fontId="23" fillId="0" borderId="6" xfId="13" applyFont="1" applyAlignment="1"/>
    <xf numFmtId="0" fontId="3" fillId="0" borderId="0" xfId="0" applyFont="1" applyAlignment="1"/>
    <xf numFmtId="0" fontId="21" fillId="0" borderId="2" xfId="4" applyFont="1" applyAlignment="1">
      <alignment horizontal="left"/>
    </xf>
    <xf numFmtId="0" fontId="9" fillId="0" borderId="0" xfId="0" applyFont="1" applyAlignment="1">
      <alignment horizontal="left"/>
    </xf>
    <xf numFmtId="2" fontId="7" fillId="0" borderId="0" xfId="0" applyNumberFormat="1" applyFont="1" applyAlignment="1">
      <alignment horizontal="left"/>
    </xf>
    <xf numFmtId="0" fontId="12" fillId="0" borderId="0" xfId="0" applyFont="1" applyAlignment="1">
      <alignment horizontal="left"/>
    </xf>
    <xf numFmtId="0" fontId="26" fillId="0" borderId="0" xfId="0" applyFont="1"/>
    <xf numFmtId="0" fontId="27" fillId="0" borderId="0" xfId="0" applyFont="1"/>
    <xf numFmtId="0" fontId="25" fillId="0" borderId="0" xfId="0" applyFont="1"/>
    <xf numFmtId="0" fontId="28" fillId="0" borderId="1" xfId="1" applyFont="1"/>
    <xf numFmtId="0" fontId="29" fillId="0" borderId="2" xfId="4" applyFont="1" applyAlignment="1">
      <alignment horizontal="center"/>
    </xf>
    <xf numFmtId="164" fontId="7" fillId="0" borderId="0" xfId="0" applyNumberFormat="1" applyFont="1" applyAlignment="1">
      <alignment horizontal="right"/>
    </xf>
    <xf numFmtId="0" fontId="10" fillId="0" borderId="0" xfId="0" applyFont="1" applyAlignment="1">
      <alignment horizontal="left"/>
    </xf>
    <xf numFmtId="1" fontId="7" fillId="0" borderId="0" xfId="0" applyNumberFormat="1" applyFont="1" applyAlignment="1">
      <alignment horizontal="left"/>
    </xf>
    <xf numFmtId="2" fontId="7" fillId="0" borderId="0" xfId="0" applyNumberFormat="1" applyFont="1" applyBorder="1"/>
    <xf numFmtId="2" fontId="7" fillId="0" borderId="0" xfId="0" applyNumberFormat="1" applyFont="1" applyBorder="1" applyAlignment="1">
      <alignment horizontal="center"/>
    </xf>
    <xf numFmtId="164" fontId="7" fillId="0" borderId="0" xfId="0" applyNumberFormat="1" applyFont="1" applyBorder="1"/>
    <xf numFmtId="164" fontId="7" fillId="0" borderId="0" xfId="0" applyNumberFormat="1" applyFont="1" applyBorder="1" applyAlignment="1">
      <alignment horizontal="center"/>
    </xf>
    <xf numFmtId="0" fontId="7" fillId="0" borderId="0" xfId="0" applyFont="1" applyBorder="1" applyAlignment="1">
      <alignment horizontal="center"/>
    </xf>
    <xf numFmtId="1" fontId="7" fillId="0" borderId="0" xfId="0" applyNumberFormat="1" applyFont="1" applyBorder="1" applyAlignment="1">
      <alignment horizontal="right"/>
    </xf>
    <xf numFmtId="1" fontId="7" fillId="0" borderId="0" xfId="0" applyNumberFormat="1" applyFont="1" applyBorder="1" applyAlignment="1">
      <alignment horizontal="center"/>
    </xf>
    <xf numFmtId="165" fontId="7" fillId="0" borderId="0" xfId="0" applyNumberFormat="1" applyFont="1" applyBorder="1"/>
    <xf numFmtId="165" fontId="7" fillId="0" borderId="0" xfId="0" applyNumberFormat="1" applyFont="1" applyBorder="1" applyAlignment="1">
      <alignment horizontal="center"/>
    </xf>
    <xf numFmtId="0" fontId="7" fillId="0" borderId="0" xfId="0" applyFont="1" applyBorder="1" applyAlignment="1"/>
    <xf numFmtId="0" fontId="7" fillId="0" borderId="0" xfId="0" applyFont="1" applyAlignment="1">
      <alignment horizontal="right"/>
    </xf>
    <xf numFmtId="164" fontId="7" fillId="0" borderId="0" xfId="0" applyNumberFormat="1" applyFont="1" applyFill="1"/>
    <xf numFmtId="1" fontId="7" fillId="0" borderId="0" xfId="0" applyNumberFormat="1" applyFont="1" applyFill="1" applyAlignment="1">
      <alignment horizontal="right"/>
    </xf>
    <xf numFmtId="1" fontId="7" fillId="0" borderId="0" xfId="0" applyNumberFormat="1" applyFont="1" applyFill="1" applyAlignment="1">
      <alignment horizontal="center"/>
    </xf>
    <xf numFmtId="165" fontId="7" fillId="0" borderId="0" xfId="0" applyNumberFormat="1" applyFont="1" applyFill="1"/>
    <xf numFmtId="165" fontId="7" fillId="0" borderId="0" xfId="0" applyNumberFormat="1" applyFont="1" applyFill="1" applyAlignment="1">
      <alignment horizontal="center"/>
    </xf>
    <xf numFmtId="0" fontId="7" fillId="0" borderId="0" xfId="0" applyFont="1" applyFill="1" applyAlignment="1">
      <alignment horizontal="left"/>
    </xf>
    <xf numFmtId="164" fontId="7" fillId="0" borderId="0" xfId="0" applyNumberFormat="1" applyFont="1" applyFill="1" applyAlignment="1">
      <alignment horizontal="center"/>
    </xf>
    <xf numFmtId="3" fontId="7" fillId="0" borderId="0" xfId="0" applyNumberFormat="1" applyFont="1"/>
    <xf numFmtId="2" fontId="5" fillId="0" borderId="1" xfId="1" applyNumberFormat="1" applyFont="1" applyAlignment="1">
      <alignment horizontal="center"/>
    </xf>
    <xf numFmtId="2" fontId="3" fillId="0" borderId="0" xfId="0" applyNumberFormat="1" applyFont="1" applyAlignment="1">
      <alignment horizontal="center"/>
    </xf>
    <xf numFmtId="2" fontId="3" fillId="4" borderId="0" xfId="3" applyNumberFormat="1" applyFont="1" applyFill="1" applyAlignment="1">
      <alignment horizontal="center"/>
    </xf>
    <xf numFmtId="2" fontId="4" fillId="0" borderId="0" xfId="0" quotePrefix="1" applyNumberFormat="1" applyFont="1" applyAlignment="1">
      <alignment horizontal="right"/>
    </xf>
    <xf numFmtId="2" fontId="5" fillId="0" borderId="1" xfId="1" applyNumberFormat="1" applyFont="1" applyAlignment="1">
      <alignment horizontal="left"/>
    </xf>
    <xf numFmtId="2" fontId="3" fillId="4" borderId="0" xfId="3" applyNumberFormat="1" applyFont="1" applyFill="1" applyAlignment="1">
      <alignment horizontal="left"/>
    </xf>
    <xf numFmtId="2" fontId="4" fillId="0" borderId="0" xfId="0" applyNumberFormat="1" applyFont="1" applyAlignment="1">
      <alignment horizontal="left"/>
    </xf>
    <xf numFmtId="0" fontId="19" fillId="0" borderId="0" xfId="6" applyFont="1" applyFill="1"/>
    <xf numFmtId="0" fontId="30" fillId="0" borderId="0" xfId="0" applyFont="1" applyAlignment="1"/>
    <xf numFmtId="0" fontId="12" fillId="0" borderId="0" xfId="0" applyFont="1" applyAlignment="1"/>
    <xf numFmtId="0" fontId="31" fillId="0" borderId="6" xfId="13" applyFont="1" applyAlignment="1"/>
    <xf numFmtId="0" fontId="23" fillId="0" borderId="1" xfId="1" applyFont="1"/>
    <xf numFmtId="0" fontId="23" fillId="0" borderId="1" xfId="1" applyFont="1" applyAlignment="1"/>
    <xf numFmtId="0" fontId="23" fillId="0" borderId="1" xfId="1" applyFont="1" applyAlignment="1">
      <alignment horizontal="right"/>
    </xf>
    <xf numFmtId="0" fontId="23" fillId="0" borderId="1" xfId="1" applyFont="1" applyAlignment="1">
      <alignment horizontal="right" wrapText="1"/>
    </xf>
    <xf numFmtId="0" fontId="23" fillId="0" borderId="1" xfId="1" applyFont="1" applyAlignment="1">
      <alignment horizontal="left" wrapText="1"/>
    </xf>
    <xf numFmtId="164" fontId="3" fillId="0" borderId="0" xfId="0" applyNumberFormat="1" applyFont="1"/>
  </cellXfs>
  <cellStyles count="14">
    <cellStyle name="20% - Accent1" xfId="2" builtinId="30"/>
    <cellStyle name="20% - Accent2" xfId="3" builtinId="34"/>
    <cellStyle name="60% - Accent4" xfId="5" builtinId="44"/>
    <cellStyle name="Heading 1" xfId="4" builtinId="16"/>
    <cellStyle name="Heading 2" xfId="13" builtinId="17"/>
    <cellStyle name="Heading 3" xfId="1" builtinId="18"/>
    <cellStyle name="Hyperlink" xfId="6" builtinId="8"/>
    <cellStyle name="InputData" xfId="11" xr:uid="{5E1E6F90-AB1D-417D-8B6C-A4B6403E442F}"/>
    <cellStyle name="InputText" xfId="12" xr:uid="{ACF8EFA3-25A1-46E5-88F2-1046F2C2952D}"/>
    <cellStyle name="Normal" xfId="0" builtinId="0"/>
    <cellStyle name="Normal 8" xfId="9" xr:uid="{E93D9690-97C1-4C9B-A39F-51F212E26AE5}"/>
    <cellStyle name="RangeName" xfId="7" xr:uid="{81E1692E-F352-4719-9DBF-914BE41D4FB5}"/>
    <cellStyle name="TableHeader" xfId="10" xr:uid="{AABA25E9-34B6-4369-BBA5-7F27B7D848DF}"/>
    <cellStyle name="Title1" xfId="8" xr:uid="{DF1B221A-3313-43C6-A9E9-339B647BB132}"/>
  </cellStyles>
  <dxfs count="0"/>
  <tableStyles count="0" defaultTableStyle="TableStyleMedium2" defaultPivotStyle="PivotStyleLight16"/>
  <colors>
    <mruColors>
      <color rgb="FFFF7F00"/>
      <color rgb="FF4DAF4A"/>
      <color rgb="FFFFFF33"/>
      <color rgb="FF377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ebastian.sterl@vub.b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www.fao.org/3/ag188f/AG188F02.htm" TargetMode="External"/><Relationship Id="rId117" Type="http://schemas.openxmlformats.org/officeDocument/2006/relationships/hyperlink" Target="http://documents.shihang.org/curated/zh/464771468257936341/pdf/E206400VOL10401BOX0334127B01PUBLIC1.pdf" TargetMode="External"/><Relationship Id="rId21" Type="http://schemas.openxmlformats.org/officeDocument/2006/relationships/hyperlink" Target="http://www.ecowrex.org/project/amenagement-hydroelectrique-de-assante" TargetMode="External"/><Relationship Id="rId42" Type="http://schemas.openxmlformats.org/officeDocument/2006/relationships/hyperlink" Target="https://www.vra.com/our_mandate/kpong_hydro_plant.php" TargetMode="External"/><Relationship Id="rId47" Type="http://schemas.openxmlformats.org/officeDocument/2006/relationships/hyperlink" Target="https://www.invest.gov.gn/document/projet-hydroelectrique-de-souapiti" TargetMode="External"/><Relationship Id="rId63" Type="http://schemas.openxmlformats.org/officeDocument/2006/relationships/hyperlink" Target="https://www.invest.gov.gn/document/projet-hydroelectrique-de-morisanako" TargetMode="External"/><Relationship Id="rId68" Type="http://schemas.openxmlformats.org/officeDocument/2006/relationships/hyperlink" Target="http://ipsinternational.org/fr/_note.asp?idnews=6990" TargetMode="External"/><Relationship Id="rId84" Type="http://schemas.openxmlformats.org/officeDocument/2006/relationships/hyperlink" Target="http://www.ecowrex.org/fr/node/631" TargetMode="External"/><Relationship Id="rId89" Type="http://schemas.openxmlformats.org/officeDocument/2006/relationships/hyperlink" Target="http://www.sven-homscheid.com/wp-content/uploads/2016/11/References_20161118.pdf" TargetMode="External"/><Relationship Id="rId112" Type="http://schemas.openxmlformats.org/officeDocument/2006/relationships/hyperlink" Target="http://www.ecowrex.org/project/amenagement-hydroelectrique-de-tihalea" TargetMode="External"/><Relationship Id="rId133" Type="http://schemas.openxmlformats.org/officeDocument/2006/relationships/hyperlink" Target="http://www.ecowrex.org/project/centrale-solaire-de-niafunke" TargetMode="External"/><Relationship Id="rId138" Type="http://schemas.openxmlformats.org/officeDocument/2006/relationships/hyperlink" Target="http://www.ecowrex.org/news/commissioning-malbaza-7mw-solar-plant-niger" TargetMode="External"/><Relationship Id="rId154" Type="http://schemas.openxmlformats.org/officeDocument/2006/relationships/hyperlink" Target="http://www.taibaeolien.com/sn/a-propos/" TargetMode="External"/><Relationship Id="rId159" Type="http://schemas.openxmlformats.org/officeDocument/2006/relationships/hyperlink" Target="https://www.jeuneafrique.com/780416/economie/senegal-le-plus-grand-parc-eolien-dafrique-de-louest-prend-forme-a-taiba-ndiaye/" TargetMode="External"/><Relationship Id="rId16" Type="http://schemas.openxmlformats.org/officeDocument/2006/relationships/hyperlink" Target="http://www.ecowrex.org/fr/node/11920" TargetMode="External"/><Relationship Id="rId107" Type="http://schemas.openxmlformats.org/officeDocument/2006/relationships/hyperlink" Target="http://www.cebnet.org/pdfs/prospectus%20%201re%20pierre%20adjarala36ea.pdf" TargetMode="External"/><Relationship Id="rId11" Type="http://schemas.openxmlformats.org/officeDocument/2006/relationships/hyperlink" Target="http://www.fao.org/3/t0360e/T0360E03.htm" TargetMode="External"/><Relationship Id="rId32" Type="http://schemas.openxmlformats.org/officeDocument/2006/relationships/hyperlink" Target="http://library.mampam.com/Final%20ESIA%20-%20Bui%20HEP.pdf" TargetMode="External"/><Relationship Id="rId37" Type="http://schemas.openxmlformats.org/officeDocument/2006/relationships/hyperlink" Target="https://www.marketresearch.com/Timetric-v3917/MoE-Daboya-Hydroelectric-Power-Plant-11458850/" TargetMode="External"/><Relationship Id="rId53" Type="http://schemas.openxmlformats.org/officeDocument/2006/relationships/hyperlink" Target="https://www.invest.gov.gn/document/projet-hydroelectrique-de-balassa" TargetMode="External"/><Relationship Id="rId58" Type="http://schemas.openxmlformats.org/officeDocument/2006/relationships/hyperlink" Target="https://core.ac.uk/download/pdf/77617075.pdf" TargetMode="External"/><Relationship Id="rId74" Type="http://schemas.openxmlformats.org/officeDocument/2006/relationships/hyperlink" Target="https://www.invest.gov.gn/document/projet-hydroelectrique-de-lokoua-boffa" TargetMode="External"/><Relationship Id="rId79" Type="http://schemas.openxmlformats.org/officeDocument/2006/relationships/hyperlink" Target="http://www.sogem-omvs.org/barrage.html" TargetMode="External"/><Relationship Id="rId102" Type="http://schemas.openxmlformats.org/officeDocument/2006/relationships/hyperlink" Target="http://ijera.com/papers/Vol6_issue9/Part-3/B0609031425.pdf" TargetMode="External"/><Relationship Id="rId123" Type="http://schemas.openxmlformats.org/officeDocument/2006/relationships/hyperlink" Target="https://www.ghanaweb.com/GhanaHomePage/business/BXC-adds-20MW-solar-power-to-grid-454815" TargetMode="External"/><Relationship Id="rId128" Type="http://schemas.openxmlformats.org/officeDocument/2006/relationships/hyperlink" Target="http://www.ecowrex.org/project/bamako-pv-project" TargetMode="External"/><Relationship Id="rId144" Type="http://schemas.openxmlformats.org/officeDocument/2006/relationships/hyperlink" Target="https://www.jeuneafrique.com/mag/626271/economie/le-senegal-donne-du-souffle-a-son-mix-energetique/" TargetMode="External"/><Relationship Id="rId149" Type="http://schemas.openxmlformats.org/officeDocument/2006/relationships/hyperlink" Target="http://www.ecowrex.org/project/tujereng-wind-farm-project-gambia" TargetMode="External"/><Relationship Id="rId5" Type="http://schemas.openxmlformats.org/officeDocument/2006/relationships/hyperlink" Target="http://www.ecowapp.org/sites/default/files/volume_0.pdf" TargetMode="External"/><Relationship Id="rId90" Type="http://schemas.openxmlformats.org/officeDocument/2006/relationships/hyperlink" Target="http://dx.doi.org/10.4314/njt.v36i4.3" TargetMode="External"/><Relationship Id="rId95" Type="http://schemas.openxmlformats.org/officeDocument/2006/relationships/hyperlink" Target="https://www.academia.edu/15055340/Evaluation_of_Operational_Efficiency_of_Shiroro_Hydro-Electric_Plant_in_Nigeria" TargetMode="External"/><Relationship Id="rId160" Type="http://schemas.openxmlformats.org/officeDocument/2006/relationships/printerSettings" Target="../printerSettings/printerSettings4.bin"/><Relationship Id="rId22" Type="http://schemas.openxmlformats.org/officeDocument/2006/relationships/hyperlink" Target="http://www.ecowrex.org/project/amenagement-hydroelectrique-de-sokologbo" TargetMode="External"/><Relationship Id="rId27" Type="http://schemas.openxmlformats.org/officeDocument/2006/relationships/hyperlink" Target="http://www.gouv.ci/_actualite-article.php?recordID=8261" TargetMode="External"/><Relationship Id="rId43" Type="http://schemas.openxmlformats.org/officeDocument/2006/relationships/hyperlink" Target="https://doi.org/10.1016/j.ejrh.2017.09.002" TargetMode="External"/><Relationship Id="rId48" Type="http://schemas.openxmlformats.org/officeDocument/2006/relationships/hyperlink" Target="http://www.ecowapp.org/sites/default/files/mp_wapp_volume_3.pdf" TargetMode="External"/><Relationship Id="rId64" Type="http://schemas.openxmlformats.org/officeDocument/2006/relationships/hyperlink" Target="https://www.invest.gov.gn/document/projet-hydroelectrique-de-diaraguela" TargetMode="External"/><Relationship Id="rId69" Type="http://schemas.openxmlformats.org/officeDocument/2006/relationships/hyperlink" Target="https://www.jeuneafrique.com/mag/500796/economie/hydraulique-la-guinee-souhaite-exploiter-pleinement-son-potentiel/" TargetMode="External"/><Relationship Id="rId113" Type="http://schemas.openxmlformats.org/officeDocument/2006/relationships/hyperlink" Target="http://www.ecowrex.org/project/amenagement-hydroelectrique-de-titira" TargetMode="External"/><Relationship Id="rId118" Type="http://schemas.openxmlformats.org/officeDocument/2006/relationships/hyperlink" Target="http://www.ecowrex.org/eg/grandes-chutes-kale" TargetMode="External"/><Relationship Id="rId134" Type="http://schemas.openxmlformats.org/officeDocument/2006/relationships/hyperlink" Target="http://www.ecowrex.org/project/centrale-solaire-de-m-pessoba" TargetMode="External"/><Relationship Id="rId139" Type="http://schemas.openxmlformats.org/officeDocument/2006/relationships/hyperlink" Target="https://www.jeuneafrique.com/657072/economie/niger-une-centrale-electrique-solaire-bientot-construite-a-niamey/" TargetMode="External"/><Relationship Id="rId80" Type="http://schemas.openxmlformats.org/officeDocument/2006/relationships/hyperlink" Target="https://www.encyclopedie-energie.org/sites/default/files/fichiers_joints/articles/art043_Bagneres-Jacques_am%C3%A9nagement-Selingue-Mali.pdf" TargetMode="External"/><Relationship Id="rId85" Type="http://schemas.openxmlformats.org/officeDocument/2006/relationships/hyperlink" Target="http://documents.worldbank.org/curated/pt/856671468006608446/text/E29650v10EA0P1020Box367849B03305663.txt" TargetMode="External"/><Relationship Id="rId150" Type="http://schemas.openxmlformats.org/officeDocument/2006/relationships/hyperlink" Target="http://www.ecowrex.org/project/tombouctou-wind-power-project-mali" TargetMode="External"/><Relationship Id="rId155" Type="http://schemas.openxmlformats.org/officeDocument/2006/relationships/hyperlink" Target="http://www.ecowrex.org/project/centrale-eolienne-de-leona" TargetMode="External"/><Relationship Id="rId12" Type="http://schemas.openxmlformats.org/officeDocument/2006/relationships/hyperlink" Target="https://core.ac.uk/download/pdf/84886671.pdf" TargetMode="External"/><Relationship Id="rId17" Type="http://schemas.openxmlformats.org/officeDocument/2006/relationships/hyperlink" Target="http://www.ecowrex.org/project/amenagement-hydroelectrique-de-dyodyonga" TargetMode="External"/><Relationship Id="rId33" Type="http://schemas.openxmlformats.org/officeDocument/2006/relationships/hyperlink" Target="https://www.water-technology.net/projects/bui-dam-hydro-power-ghana/" TargetMode="External"/><Relationship Id="rId38" Type="http://schemas.openxmlformats.org/officeDocument/2006/relationships/hyperlink" Target="http://africaaustraliaconference.com/wp-content/uploads/2016/09/ENERGY-POWER-INVESTMENT-OPPORTUNITIES-IN-GHANA.pdf" TargetMode="External"/><Relationship Id="rId59" Type="http://schemas.openxmlformats.org/officeDocument/2006/relationships/hyperlink" Target="https://www.invest.gov.gn/document/projet-hydroelectrique-de-kassa" TargetMode="External"/><Relationship Id="rId103" Type="http://schemas.openxmlformats.org/officeDocument/2006/relationships/hyperlink" Target="https://www.eib.org/attachments/registers/60471102.pdf" TargetMode="External"/><Relationship Id="rId108" Type="http://schemas.openxmlformats.org/officeDocument/2006/relationships/hyperlink" Target="https://www.researchgate.net/publication/293592987_EIA_of_the_Adjarala_hydroelectric_project_Togo-Benin_The_aquatic_environment_component" TargetMode="External"/><Relationship Id="rId124" Type="http://schemas.openxmlformats.org/officeDocument/2006/relationships/hyperlink" Target="http://www.ecreee.org/stakeholder/blue-energy-co" TargetMode="External"/><Relationship Id="rId129" Type="http://schemas.openxmlformats.org/officeDocument/2006/relationships/hyperlink" Target="http://www.ecowrex.org/project/centrale-solaire-de-mopti" TargetMode="External"/><Relationship Id="rId20" Type="http://schemas.openxmlformats.org/officeDocument/2006/relationships/hyperlink" Target="http://www.ecowrex.org/project/amenagement-hydroelectrique-de-cove" TargetMode="External"/><Relationship Id="rId41" Type="http://schemas.openxmlformats.org/officeDocument/2006/relationships/hyperlink" Target="http://ir.knust.edu.gh/bitstream/123456789/7974/1/edited%20after%20defense%201-10-2015%20with%20new%20referencing%20style.pdf" TargetMode="External"/><Relationship Id="rId54" Type="http://schemas.openxmlformats.org/officeDocument/2006/relationships/hyperlink" Target="https://www.invest.gov.gn/document/projet-hydroelectrique-de-boureya" TargetMode="External"/><Relationship Id="rId62" Type="http://schemas.openxmlformats.org/officeDocument/2006/relationships/hyperlink" Target="http://www.ecowrex.org/project/morisanako-guinee" TargetMode="External"/><Relationship Id="rId70" Type="http://schemas.openxmlformats.org/officeDocument/2006/relationships/hyperlink" Target="https://www.invest.gov.gn/document/projet-hydroelectrique-de-fomi" TargetMode="External"/><Relationship Id="rId75" Type="http://schemas.openxmlformats.org/officeDocument/2006/relationships/hyperlink" Target="https://www.invest.gov.gn/document/projet-hydroelectrique-de-keno-makona" TargetMode="External"/><Relationship Id="rId83" Type="http://schemas.openxmlformats.org/officeDocument/2006/relationships/hyperlink" Target="http://siteresources.worldbank.org/EXTWAT/Resources/4602122-1213366294492/5106220-1234469721549/6.3_Hydro_Development_Senegal_River.pdf" TargetMode="External"/><Relationship Id="rId88" Type="http://schemas.openxmlformats.org/officeDocument/2006/relationships/hyperlink" Target="https://www.nsenergybusiness.com/projects/mambilla-hydropower-project-nigeria/" TargetMode="External"/><Relationship Id="rId91" Type="http://schemas.openxmlformats.org/officeDocument/2006/relationships/hyperlink" Target="http://dx.doi.org/10.5897/AJEST2013.1474" TargetMode="External"/><Relationship Id="rId96" Type="http://schemas.openxmlformats.org/officeDocument/2006/relationships/hyperlink" Target="http://www.fao.org/3/T1230E/T1230E07.htm" TargetMode="External"/><Relationship Id="rId111" Type="http://schemas.openxmlformats.org/officeDocument/2006/relationships/hyperlink" Target="http://www.ecowrex.org/project/amenagement-hydroelectrique-de-djamde" TargetMode="External"/><Relationship Id="rId132" Type="http://schemas.openxmlformats.org/officeDocument/2006/relationships/hyperlink" Target="http://www.ecowrex.org/project/centrale-solaire-de-kolokani" TargetMode="External"/><Relationship Id="rId140" Type="http://schemas.openxmlformats.org/officeDocument/2006/relationships/hyperlink" Target="http://www.se4all.ecreee.org/sites/default/files/Nigeria_IP.pdf" TargetMode="External"/><Relationship Id="rId145" Type="http://schemas.openxmlformats.org/officeDocument/2006/relationships/hyperlink" Target="https://awoko.org/2017/05/10/sierra-leone-news-12-6m-solar-park-project-to-boost-electricity-supply/" TargetMode="External"/><Relationship Id="rId153" Type="http://schemas.openxmlformats.org/officeDocument/2006/relationships/hyperlink" Target="http://www.ecowrex.org/sites/default/files/documents/projects/2012_katsina-wind-farm_vergnet.pdf" TargetMode="External"/><Relationship Id="rId1" Type="http://schemas.openxmlformats.org/officeDocument/2006/relationships/hyperlink" Target="https://globalsolaratlas.info/&amp;h=1" TargetMode="External"/><Relationship Id="rId6" Type="http://schemas.openxmlformats.org/officeDocument/2006/relationships/hyperlink" Target="http://globaldamwatch.org/fhred/" TargetMode="External"/><Relationship Id="rId15" Type="http://schemas.openxmlformats.org/officeDocument/2006/relationships/hyperlink" Target="https://www.jeuneafrique.com/mag/433527/economie/burkina-faso-chantier-barrage-de-samendeni-relance/" TargetMode="External"/><Relationship Id="rId23" Type="http://schemas.openxmlformats.org/officeDocument/2006/relationships/hyperlink" Target="http://www.ecreee.org/sites/default/files/cote_d_ivoire.pdf" TargetMode="External"/><Relationship Id="rId28" Type="http://schemas.openxmlformats.org/officeDocument/2006/relationships/hyperlink" Target="https://www.afdb.org/fileadmin/uploads/afdb/Documents/Environmental-and-Social-Assessments/Cote_Ivoire-projet_de_barrage_hydroelectrique_de_singrobo-Resume_PCR_10_2017.pdf" TargetMode="External"/><Relationship Id="rId36" Type="http://schemas.openxmlformats.org/officeDocument/2006/relationships/hyperlink" Target="http://www.iwmi.cgiar.org/Publications/IWMI_Research_Reports/PDF/PUB146/RR146.pdf" TargetMode="External"/><Relationship Id="rId49" Type="http://schemas.openxmlformats.org/officeDocument/2006/relationships/hyperlink" Target="http://guineesignal.com/vers-la-construction-dun-nouveau-barrage-dune-capacite-de-300-mw-en-basse-guinee/" TargetMode="External"/><Relationship Id="rId57" Type="http://schemas.openxmlformats.org/officeDocument/2006/relationships/hyperlink" Target="http://www.ecowrex.org/eg/garafiri" TargetMode="External"/><Relationship Id="rId106" Type="http://schemas.openxmlformats.org/officeDocument/2006/relationships/hyperlink" Target="http://documents.worldbank.org/curated/en/964961468334857145/pdf/31844.pdf" TargetMode="External"/><Relationship Id="rId114" Type="http://schemas.openxmlformats.org/officeDocument/2006/relationships/hyperlink" Target="http://www.ecowrex.org/project/amenagement-hydroelectrique-de-gban-hou" TargetMode="External"/><Relationship Id="rId119" Type="http://schemas.openxmlformats.org/officeDocument/2006/relationships/hyperlink" Target="https://ec.europa.eu/europeaid/felou-hydropower_en" TargetMode="External"/><Relationship Id="rId127" Type="http://schemas.openxmlformats.org/officeDocument/2006/relationships/hyperlink" Target="https://www.se4all-africa.org/fileadmin/uploads/se4all/Documents/Country_PANER/Mali_Plan_d_Actions_National_pour_les_Energies_Renouvelables_.pdf" TargetMode="External"/><Relationship Id="rId10" Type="http://schemas.openxmlformats.org/officeDocument/2006/relationships/hyperlink" Target="http://www.iwmi.cgiar.org/Publications/Working_Papers/working/wor166-french.pdf" TargetMode="External"/><Relationship Id="rId31" Type="http://schemas.openxmlformats.org/officeDocument/2006/relationships/hyperlink" Target="http://buipower.com/node/144" TargetMode="External"/><Relationship Id="rId44" Type="http://schemas.openxmlformats.org/officeDocument/2006/relationships/hyperlink" Target="http://www.ecowrex.org/system/files/web_agenda_de_acao_optimized.pdf" TargetMode="External"/><Relationship Id="rId52" Type="http://schemas.openxmlformats.org/officeDocument/2006/relationships/hyperlink" Target="https://www.unece.org/fileadmin/DAM/env/documents/2014/WAT/04April_9-10_Geneva/presentations/2.1_OMVS_Bedredine_UNECE-04-2014_Fawzi.pdf" TargetMode="External"/><Relationship Id="rId60" Type="http://schemas.openxmlformats.org/officeDocument/2006/relationships/hyperlink" Target="http://www.invest.gov.gn/document/projet-hydroelectrique-de-tiopo" TargetMode="External"/><Relationship Id="rId65" Type="http://schemas.openxmlformats.org/officeDocument/2006/relationships/hyperlink" Target="http://www.ecowrex.org/project/gozonguezia-guinee" TargetMode="External"/><Relationship Id="rId73" Type="http://schemas.openxmlformats.org/officeDocument/2006/relationships/hyperlink" Target="https://www.invest.gov.gn/document/projet-hydroelectrique-de-lokoua-boffa" TargetMode="External"/><Relationship Id="rId78" Type="http://schemas.openxmlformats.org/officeDocument/2006/relationships/hyperlink" Target="https://www.invest.gov.gn/document/projet-hydroelectrique-de-lougambe-tanto" TargetMode="External"/><Relationship Id="rId81" Type="http://schemas.openxmlformats.org/officeDocument/2006/relationships/hyperlink" Target="http://www.fao.org/3/V4110E/V4110E04.htm" TargetMode="External"/><Relationship Id="rId86" Type="http://schemas.openxmlformats.org/officeDocument/2006/relationships/hyperlink" Target="http://documents.worldbank.org/curated/en/727481468194348456/pdf/E29650FRENCH0v0R0EA0SUMMARY0P130174.pdf" TargetMode="External"/><Relationship Id="rId94" Type="http://schemas.openxmlformats.org/officeDocument/2006/relationships/hyperlink" Target="http://www.journal.au.edu/au_techno/2008/jul08/journal121_article05.pdf" TargetMode="External"/><Relationship Id="rId99" Type="http://schemas.openxmlformats.org/officeDocument/2006/relationships/hyperlink" Target="http://eprints.lmu.edu.ng/1663/1/Ralph%20AJAST%202016.pdf" TargetMode="External"/><Relationship Id="rId101" Type="http://schemas.openxmlformats.org/officeDocument/2006/relationships/hyperlink" Target="http://www.ecowrex.org/eg/gurara" TargetMode="External"/><Relationship Id="rId122" Type="http://schemas.openxmlformats.org/officeDocument/2006/relationships/hyperlink" Target="http://www.ecowrex.org/project/brikama-solar-gambia" TargetMode="External"/><Relationship Id="rId130" Type="http://schemas.openxmlformats.org/officeDocument/2006/relationships/hyperlink" Target="http://www.ecowrex.org/project/centrale-pv-gao-hybride-diesel-mali" TargetMode="External"/><Relationship Id="rId135" Type="http://schemas.openxmlformats.org/officeDocument/2006/relationships/hyperlink" Target="http://www.ecowrex.org/project/centrale-solaire-de-san" TargetMode="External"/><Relationship Id="rId143" Type="http://schemas.openxmlformats.org/officeDocument/2006/relationships/hyperlink" Target="http://www.se4all.ecreee.org/sites/default/files/plan_dactions_national_des_energies_renouvelables_paner.pdf" TargetMode="External"/><Relationship Id="rId148" Type="http://schemas.openxmlformats.org/officeDocument/2006/relationships/hyperlink" Target="http://www.ecowrex.org/project/parc-eolien-de-20-mw-benin" TargetMode="External"/><Relationship Id="rId151" Type="http://schemas.openxmlformats.org/officeDocument/2006/relationships/hyperlink" Target="http://www.ecowrex.org/project/champ-eolien-de-gao" TargetMode="External"/><Relationship Id="rId156" Type="http://schemas.openxmlformats.org/officeDocument/2006/relationships/hyperlink" Target="http://www.ecowrex.org/project/parc-eolien-de-saint-louis" TargetMode="External"/><Relationship Id="rId4" Type="http://schemas.openxmlformats.org/officeDocument/2006/relationships/hyperlink" Target="http://www.gwsp.org/products/grand-database.html" TargetMode="External"/><Relationship Id="rId9" Type="http://schemas.openxmlformats.org/officeDocument/2006/relationships/hyperlink" Target="http://www.fao.org/nr/water/aquastat/dams/region/Africa-dams_eng.xlsx" TargetMode="External"/><Relationship Id="rId13" Type="http://schemas.openxmlformats.org/officeDocument/2006/relationships/hyperlink" Target="https://cmsdata.iucn.org/downloads/etat_des_lieux_autour_du_barrage_de_bagre_au_burkina_faso.pdf" TargetMode="External"/><Relationship Id="rId18" Type="http://schemas.openxmlformats.org/officeDocument/2006/relationships/hyperlink" Target="https://books.google.de/books?id=LBSWMyoKm4gC&amp;dq=dyodyonga+barrage&amp;source=gbs_navlinks_s&amp;redir_esc=y" TargetMode="External"/><Relationship Id="rId39" Type="http://schemas.openxmlformats.org/officeDocument/2006/relationships/hyperlink" Target="https://www.marketresearch.com/Timetric-v3917/MoE-Kulpawn-Hydroelectric-Power-Plant-11458937/" TargetMode="External"/><Relationship Id="rId109" Type="http://schemas.openxmlformats.org/officeDocument/2006/relationships/hyperlink" Target="https://www.africardv.com/developpement/benin-togo-4-millions-deuros-pour-nangbeto/" TargetMode="External"/><Relationship Id="rId34" Type="http://schemas.openxmlformats.org/officeDocument/2006/relationships/hyperlink" Target="https://repository.tudelft.nl/islandora/object/uuid:b1fddcbe-9847-41a8-bc81-e0e32e7ef946/datastream/OBJ/download" TargetMode="External"/><Relationship Id="rId50" Type="http://schemas.openxmlformats.org/officeDocument/2006/relationships/hyperlink" Target="https://www.invest.gov.gn/document/projet-hydroelectrique-de-amaria" TargetMode="External"/><Relationship Id="rId55" Type="http://schemas.openxmlformats.org/officeDocument/2006/relationships/hyperlink" Target="https://onisdin.info/en/hydrology/hydrological-infrastructure" TargetMode="External"/><Relationship Id="rId76" Type="http://schemas.openxmlformats.org/officeDocument/2006/relationships/hyperlink" Target="https://www.invest.gov.gn/document/projet-d-amenagement-hydroelectrique-de-touba-saranwol" TargetMode="External"/><Relationship Id="rId97" Type="http://schemas.openxmlformats.org/officeDocument/2006/relationships/hyperlink" Target="https://www.ajol.info/index.php/ajb/article/viewFile/128970/118524" TargetMode="External"/><Relationship Id="rId104" Type="http://schemas.openxmlformats.org/officeDocument/2006/relationships/hyperlink" Target="http://www.ecowrex.org/eg/sambangalou" TargetMode="External"/><Relationship Id="rId120" Type="http://schemas.openxmlformats.org/officeDocument/2006/relationships/hyperlink" Target="https://doi.org/10.1029/2018EF000923" TargetMode="External"/><Relationship Id="rId125" Type="http://schemas.openxmlformats.org/officeDocument/2006/relationships/hyperlink" Target="http://www.ecreee.org/sites/default/files/documents/news/web_plano_de_investimento_optimized.pdf" TargetMode="External"/><Relationship Id="rId141" Type="http://schemas.openxmlformats.org/officeDocument/2006/relationships/hyperlink" Target="http://www.ecowrex.org/project/centrale-solaire-de-ziguinchor-senegal" TargetMode="External"/><Relationship Id="rId146" Type="http://schemas.openxmlformats.org/officeDocument/2006/relationships/hyperlink" Target="https://www.esi-africa.com/industry-sectors/future-energy/25mw-solar-pv-project-to-boost-sierra-leones-bo-district/" TargetMode="External"/><Relationship Id="rId7" Type="http://schemas.openxmlformats.org/officeDocument/2006/relationships/hyperlink" Target="http://repository.uneca.org/bitstream/handle/10855/20898/Bib-68807.pdf?sequence=1" TargetMode="External"/><Relationship Id="rId71" Type="http://schemas.openxmlformats.org/officeDocument/2006/relationships/hyperlink" Target="https://doi.org/10.1016/j.ejrh.2018.12.006" TargetMode="External"/><Relationship Id="rId92" Type="http://schemas.openxmlformats.org/officeDocument/2006/relationships/hyperlink" Target="http://www.ijmer.com/papers/Vol7_issue5/Version-2/H7525258.pdf" TargetMode="External"/><Relationship Id="rId2" Type="http://schemas.openxmlformats.org/officeDocument/2006/relationships/hyperlink" Target="http://www.hydropower-dams.com/pdfs/2017_Africa_Map.pdf" TargetMode="External"/><Relationship Id="rId29" Type="http://schemas.openxmlformats.org/officeDocument/2006/relationships/hyperlink" Target="https://cotedivoirenews.info/cote-divoire-alassane-ouattara-pose-la-1ere-pierre-du-barrage-de-gribo-popoli/" TargetMode="External"/><Relationship Id="rId24" Type="http://schemas.openxmlformats.org/officeDocument/2006/relationships/hyperlink" Target="http://www.fao.org/3/V4110E/V4110E03.htm" TargetMode="External"/><Relationship Id="rId40" Type="http://schemas.openxmlformats.org/officeDocument/2006/relationships/hyperlink" Target="http://www.ecreee.org/sites/default/files/ghana.pdf" TargetMode="External"/><Relationship Id="rId45" Type="http://schemas.openxmlformats.org/officeDocument/2006/relationships/hyperlink" Target="http://www.ecowrex.org/project/central-hidroelectrica-de-saltinho-guine-bissau" TargetMode="External"/><Relationship Id="rId66" Type="http://schemas.openxmlformats.org/officeDocument/2006/relationships/hyperlink" Target="https://www.invest.gov.gn/document/projet-hydroelectrique-de-gozoguezia" TargetMode="External"/><Relationship Id="rId87" Type="http://schemas.openxmlformats.org/officeDocument/2006/relationships/hyperlink" Target="https://www.ircwash.org/sites/default/files/824-NE01-16999.pdf" TargetMode="External"/><Relationship Id="rId110" Type="http://schemas.openxmlformats.org/officeDocument/2006/relationships/hyperlink" Target="https://doi.org/10.1016/j.ocecoaman.2017.11.008" TargetMode="External"/><Relationship Id="rId115" Type="http://schemas.openxmlformats.org/officeDocument/2006/relationships/hyperlink" Target="http://www.ecowrex.org/project/amenagement-hydroelectrique-de-dotekope" TargetMode="External"/><Relationship Id="rId131" Type="http://schemas.openxmlformats.org/officeDocument/2006/relationships/hyperlink" Target="http://www.ecowrex.org/project/centrale-soalire-photovoltaique-de-diabaly" TargetMode="External"/><Relationship Id="rId136" Type="http://schemas.openxmlformats.org/officeDocument/2006/relationships/hyperlink" Target="https://www.greenbuildingafrica.co.za/first-utility-scale-solar-pv-plant-commissioned-in-niger/" TargetMode="External"/><Relationship Id="rId157" Type="http://schemas.openxmlformats.org/officeDocument/2006/relationships/hyperlink" Target="http://www.ecowrex.org/project/parc-eolien-de-devego-togo-delta-wind-togo" TargetMode="External"/><Relationship Id="rId61" Type="http://schemas.openxmlformats.org/officeDocument/2006/relationships/hyperlink" Target="http://www.ecowrex.org/project/korafindi-guinee" TargetMode="External"/><Relationship Id="rId82" Type="http://schemas.openxmlformats.org/officeDocument/2006/relationships/hyperlink" Target="http://bamada.net/barrage-de-taoussa-et-de-lelectricite-pour-les-localites" TargetMode="External"/><Relationship Id="rId152" Type="http://schemas.openxmlformats.org/officeDocument/2006/relationships/hyperlink" Target="http://www.ecowrex.org/project/parc-eolien-de-30-mw" TargetMode="External"/><Relationship Id="rId19" Type="http://schemas.openxmlformats.org/officeDocument/2006/relationships/hyperlink" Target="http://www.ecowrex.org/project/amenagement-hydroelectrique-de-beterou" TargetMode="External"/><Relationship Id="rId14" Type="http://schemas.openxmlformats.org/officeDocument/2006/relationships/hyperlink" Target="https://www.eauburkina.org/images/GIRE/Synthese_du_suivi_des_ressources_en_eau_du_Burkina_Faso_2004.pdf" TargetMode="External"/><Relationship Id="rId30" Type="http://schemas.openxmlformats.org/officeDocument/2006/relationships/hyperlink" Target="https://www.vra.com/our_mandate/akosombo_hydro_plant.php" TargetMode="External"/><Relationship Id="rId35" Type="http://schemas.openxmlformats.org/officeDocument/2006/relationships/hyperlink" Target="https://www.irena.org/documentdownloads/publications/irena_rra_ghana_nov_2015.pdf" TargetMode="External"/><Relationship Id="rId56" Type="http://schemas.openxmlformats.org/officeDocument/2006/relationships/hyperlink" Target="https://www.lombardi.ch/en-gb/Pages/References/Hydroelectric%20plants/References_5113.aspx" TargetMode="External"/><Relationship Id="rId77" Type="http://schemas.openxmlformats.org/officeDocument/2006/relationships/hyperlink" Target="https://docplayer.fr/45399057-5-3-contexte-de-la-demande.html" TargetMode="External"/><Relationship Id="rId100" Type="http://schemas.openxmlformats.org/officeDocument/2006/relationships/hyperlink" Target="http://documents.worldbank.org/curated/en/792351468099582004/pdf/E44540V10P123100Box382151B00PUBLIC0.pdf" TargetMode="External"/><Relationship Id="rId105" Type="http://schemas.openxmlformats.org/officeDocument/2006/relationships/hyperlink" Target="http://selihydropower.sl/Content/documents/2.%20BBII%20ESHIA_Volume%201.pdf" TargetMode="External"/><Relationship Id="rId126" Type="http://schemas.openxmlformats.org/officeDocument/2006/relationships/hyperlink" Target="http://www.se4all.ecreee.org/sites/default/files/plano_de_acao_nacional_no_sector_das_energias_renovaveis_paner_para_a_guine-bissau.pdf" TargetMode="External"/><Relationship Id="rId147" Type="http://schemas.openxmlformats.org/officeDocument/2006/relationships/hyperlink" Target="http://www.ecreee.org/sites/default/files/events/presentation_se4all_action_agenda_sierra_leone.pdf" TargetMode="External"/><Relationship Id="rId8" Type="http://schemas.openxmlformats.org/officeDocument/2006/relationships/hyperlink" Target="http://www.ecowrex.org/mapView/index.php?lang=eng" TargetMode="External"/><Relationship Id="rId51" Type="http://schemas.openxmlformats.org/officeDocument/2006/relationships/hyperlink" Target="https://www.invest.gov.gn/document/projet-hydroelectrique-de-koukoutamba" TargetMode="External"/><Relationship Id="rId72" Type="http://schemas.openxmlformats.org/officeDocument/2006/relationships/hyperlink" Target="http://www.ecowrex.org/project/nongoa-guinee" TargetMode="External"/><Relationship Id="rId93" Type="http://schemas.openxmlformats.org/officeDocument/2006/relationships/hyperlink" Target="https://punchng.com/n473bn-zungeru-hydropower-plant-at-47-completion-cneec/" TargetMode="External"/><Relationship Id="rId98" Type="http://schemas.openxmlformats.org/officeDocument/2006/relationships/hyperlink" Target="https://www.aurecongroup.com/projects/energy/kashimbila-hydropower-station" TargetMode="External"/><Relationship Id="rId121" Type="http://schemas.openxmlformats.org/officeDocument/2006/relationships/hyperlink" Target="https://bj.ambafrance.org/La-France-et-l-Union-europeenne-s-engagent-aux-cotes-du-Benin-pour-construire" TargetMode="External"/><Relationship Id="rId142" Type="http://schemas.openxmlformats.org/officeDocument/2006/relationships/hyperlink" Target="http://www.ecowrex.org/project/centrale-solaire-sakal-pv-project-senegal" TargetMode="External"/><Relationship Id="rId3" Type="http://schemas.openxmlformats.org/officeDocument/2006/relationships/hyperlink" Target="https://www.irena.org/publications/2018/Nov/Planning-and-prospects-for-renewable-power" TargetMode="External"/><Relationship Id="rId25" Type="http://schemas.openxmlformats.org/officeDocument/2006/relationships/hyperlink" Target="http://globalenergyobservatory.org/form.php?pid=42579" TargetMode="External"/><Relationship Id="rId46" Type="http://schemas.openxmlformats.org/officeDocument/2006/relationships/hyperlink" Target="http://www.ecowrex.org/project/souapiti-guinee" TargetMode="External"/><Relationship Id="rId67" Type="http://schemas.openxmlformats.org/officeDocument/2006/relationships/hyperlink" Target="https://www.invest.gov.gn/document/projet-hydroelectrique-de-gozoguezia" TargetMode="External"/><Relationship Id="rId116" Type="http://schemas.openxmlformats.org/officeDocument/2006/relationships/hyperlink" Target="http://www.ecowrex.org/project/singuega-guinee" TargetMode="External"/><Relationship Id="rId137" Type="http://schemas.openxmlformats.org/officeDocument/2006/relationships/hyperlink" Target="https://www.vivafrik.com/2018/11/06/la-centrale-solaire-de-gorou-banda-mise-en-service-en-2021-au-niger-a20367.html" TargetMode="External"/><Relationship Id="rId158" Type="http://schemas.openxmlformats.org/officeDocument/2006/relationships/hyperlink" Target="http://www.ecowrex.org/sites/default/files/documents/projects/2012_communique-de-presse_eco-del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8F193-A14F-4F18-8A61-93DDE74752B6}">
  <sheetPr>
    <tabColor rgb="FFFF7F00"/>
  </sheetPr>
  <dimension ref="B2:AC40"/>
  <sheetViews>
    <sheetView showGridLines="0" tabSelected="1" zoomScale="85" zoomScaleNormal="85" workbookViewId="0">
      <selection activeCell="B14" sqref="B14"/>
    </sheetView>
  </sheetViews>
  <sheetFormatPr defaultRowHeight="13.5" x14ac:dyDescent="0.3"/>
  <cols>
    <col min="1" max="1" width="8.7265625" style="2"/>
    <col min="2" max="2" width="12.36328125" style="2" customWidth="1"/>
    <col min="3" max="3" width="33.6328125" style="2" bestFit="1" customWidth="1"/>
    <col min="4" max="16384" width="8.7265625" style="2"/>
  </cols>
  <sheetData>
    <row r="2" spans="2:29" ht="21" thickBot="1" x14ac:dyDescent="0.5">
      <c r="B2" s="56" t="s">
        <v>427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29" ht="14" thickTop="1" x14ac:dyDescent="0.3">
      <c r="B3" s="2" t="s">
        <v>430</v>
      </c>
    </row>
    <row r="5" spans="2:29" x14ac:dyDescent="0.3">
      <c r="C5" s="55" t="s">
        <v>414</v>
      </c>
      <c r="D5" s="2" t="s">
        <v>429</v>
      </c>
    </row>
    <row r="6" spans="2:29" x14ac:dyDescent="0.3">
      <c r="C6" s="55" t="s">
        <v>431</v>
      </c>
      <c r="D6" s="2" t="s">
        <v>1239</v>
      </c>
    </row>
    <row r="7" spans="2:29" x14ac:dyDescent="0.3">
      <c r="C7" s="55" t="s">
        <v>432</v>
      </c>
      <c r="D7" s="57" t="s">
        <v>428</v>
      </c>
    </row>
    <row r="8" spans="2:29" x14ac:dyDescent="0.3">
      <c r="C8" s="55" t="s">
        <v>415</v>
      </c>
      <c r="D8" s="2" t="s">
        <v>444</v>
      </c>
    </row>
    <row r="9" spans="2:29" x14ac:dyDescent="0.3">
      <c r="C9" s="55" t="s">
        <v>416</v>
      </c>
      <c r="D9" s="2" t="s">
        <v>433</v>
      </c>
    </row>
    <row r="10" spans="2:29" x14ac:dyDescent="0.3">
      <c r="D10" s="2" t="s">
        <v>434</v>
      </c>
    </row>
    <row r="11" spans="2:29" x14ac:dyDescent="0.3">
      <c r="D11" s="58" t="s">
        <v>435</v>
      </c>
    </row>
    <row r="14" spans="2:29" ht="21" thickBot="1" x14ac:dyDescent="0.5">
      <c r="B14" s="56" t="s">
        <v>417</v>
      </c>
      <c r="C14" s="32"/>
      <c r="D14" s="32"/>
      <c r="E14" s="32"/>
      <c r="F14" s="32"/>
      <c r="G14" s="32"/>
      <c r="H14" s="32"/>
      <c r="I14" s="32"/>
      <c r="J14" s="32"/>
      <c r="K14" s="32"/>
      <c r="L14" s="32"/>
      <c r="M14" s="32"/>
      <c r="N14" s="32"/>
      <c r="O14" s="32"/>
      <c r="P14" s="32"/>
      <c r="Q14" s="32"/>
      <c r="R14" s="32"/>
      <c r="S14" s="32"/>
    </row>
    <row r="15" spans="2:29" ht="14" thickTop="1" x14ac:dyDescent="0.3"/>
    <row r="16" spans="2:29" x14ac:dyDescent="0.3">
      <c r="B16" s="2" t="s">
        <v>445</v>
      </c>
    </row>
    <row r="17" spans="2:19" x14ac:dyDescent="0.3">
      <c r="B17" s="2" t="s">
        <v>1241</v>
      </c>
    </row>
    <row r="19" spans="2:19" x14ac:dyDescent="0.3">
      <c r="B19" s="2" t="s">
        <v>1220</v>
      </c>
    </row>
    <row r="20" spans="2:19" x14ac:dyDescent="0.3">
      <c r="B20" s="2" t="s">
        <v>446</v>
      </c>
    </row>
    <row r="21" spans="2:19" x14ac:dyDescent="0.3">
      <c r="B21" s="2" t="s">
        <v>1229</v>
      </c>
    </row>
    <row r="23" spans="2:19" x14ac:dyDescent="0.3">
      <c r="B23" s="2" t="s">
        <v>447</v>
      </c>
    </row>
    <row r="24" spans="2:19" x14ac:dyDescent="0.3">
      <c r="B24" s="2" t="s">
        <v>815</v>
      </c>
    </row>
    <row r="25" spans="2:19" x14ac:dyDescent="0.3">
      <c r="B25" s="2" t="s">
        <v>981</v>
      </c>
    </row>
    <row r="26" spans="2:19" x14ac:dyDescent="0.3">
      <c r="B26" s="1" t="s">
        <v>481</v>
      </c>
    </row>
    <row r="29" spans="2:19" ht="21" thickBot="1" x14ac:dyDescent="0.5">
      <c r="B29" s="56" t="s">
        <v>418</v>
      </c>
      <c r="C29" s="32"/>
      <c r="D29" s="32"/>
      <c r="E29" s="32"/>
      <c r="F29" s="32"/>
      <c r="G29" s="32"/>
      <c r="H29" s="32"/>
      <c r="I29" s="32"/>
      <c r="J29" s="32"/>
      <c r="K29" s="32"/>
      <c r="L29" s="32"/>
      <c r="M29" s="32"/>
      <c r="N29" s="32"/>
      <c r="O29" s="32"/>
      <c r="P29" s="32"/>
      <c r="Q29" s="32"/>
      <c r="R29" s="32"/>
      <c r="S29" s="32"/>
    </row>
    <row r="30" spans="2:19" ht="14" thickTop="1" x14ac:dyDescent="0.3"/>
    <row r="31" spans="2:19" x14ac:dyDescent="0.3">
      <c r="B31" s="2" t="s">
        <v>419</v>
      </c>
      <c r="C31" s="57" t="s">
        <v>425</v>
      </c>
    </row>
    <row r="32" spans="2:19" x14ac:dyDescent="0.3">
      <c r="B32" s="2" t="s">
        <v>420</v>
      </c>
      <c r="C32" s="133" t="s">
        <v>1217</v>
      </c>
    </row>
    <row r="33" spans="2:19" x14ac:dyDescent="0.3">
      <c r="B33" s="2" t="s">
        <v>421</v>
      </c>
      <c r="C33" s="57" t="s">
        <v>1219</v>
      </c>
    </row>
    <row r="34" spans="2:19" x14ac:dyDescent="0.3">
      <c r="B34" s="2" t="s">
        <v>1218</v>
      </c>
      <c r="C34" s="57" t="s">
        <v>426</v>
      </c>
    </row>
    <row r="37" spans="2:19" ht="21" thickBot="1" x14ac:dyDescent="0.5">
      <c r="B37" s="56" t="s">
        <v>422</v>
      </c>
      <c r="C37" s="32"/>
      <c r="D37" s="32"/>
      <c r="E37" s="32"/>
      <c r="F37" s="32"/>
      <c r="G37" s="32"/>
      <c r="H37" s="32"/>
      <c r="I37" s="32"/>
      <c r="J37" s="32"/>
      <c r="K37" s="32"/>
      <c r="L37" s="32"/>
      <c r="M37" s="32"/>
      <c r="N37" s="32"/>
      <c r="O37" s="32"/>
      <c r="P37" s="32"/>
      <c r="Q37" s="32"/>
      <c r="R37" s="32"/>
      <c r="S37" s="32"/>
    </row>
    <row r="38" spans="2:19" ht="14" thickTop="1" x14ac:dyDescent="0.3"/>
    <row r="39" spans="2:19" x14ac:dyDescent="0.3">
      <c r="B39" s="55" t="s">
        <v>423</v>
      </c>
      <c r="C39" s="55" t="s">
        <v>424</v>
      </c>
      <c r="D39" s="55"/>
      <c r="E39" s="55"/>
      <c r="F39" s="55"/>
      <c r="G39" s="55"/>
    </row>
    <row r="40" spans="2:19" x14ac:dyDescent="0.3">
      <c r="B40" s="59">
        <v>43783</v>
      </c>
      <c r="C40" s="2" t="s">
        <v>427</v>
      </c>
    </row>
  </sheetData>
  <hyperlinks>
    <hyperlink ref="D7" r:id="rId1" xr:uid="{714B272F-8C0C-4AB1-930B-2C4ECB812B35}"/>
    <hyperlink ref="C31" location="Hydro!A1" display="Hydropower plant database" xr:uid="{ACECD2C2-30F0-4215-87E1-2E5FD45FF028}"/>
    <hyperlink ref="C34" location="'Data sources'!A1" display="Sources" xr:uid="{A537B975-E76C-4512-9BFF-7D0EA6766900}"/>
    <hyperlink ref="C33" location="Wind!A1" display="Wind power plant database" xr:uid="{5FBA4EBB-1CEB-448B-B8DF-72D8A41FF1C1}"/>
    <hyperlink ref="C32" location="'Solar PV'!A1" display="Solar power plant database" xr:uid="{DCFF0A92-14F3-4E68-B219-19F5FD24AB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377EB8"/>
  </sheetPr>
  <dimension ref="A1:AD295"/>
  <sheetViews>
    <sheetView showGridLines="0" zoomScale="70" zoomScaleNormal="70" workbookViewId="0">
      <pane xSplit="3" ySplit="3" topLeftCell="D4" activePane="bottomRight" state="frozen"/>
      <selection pane="topRight" activeCell="D1" sqref="D1"/>
      <selection pane="bottomLeft" activeCell="A4" sqref="A4"/>
      <selection pane="bottomRight"/>
    </sheetView>
  </sheetViews>
  <sheetFormatPr defaultColWidth="8.7265625" defaultRowHeight="13.5" outlineLevelRow="1" x14ac:dyDescent="0.3"/>
  <cols>
    <col min="1" max="1" width="3.453125" style="21" customWidth="1"/>
    <col min="2" max="2" width="30.26953125" style="2" customWidth="1"/>
    <col min="3" max="3" width="16.81640625" style="2" customWidth="1"/>
    <col min="4" max="4" width="13.81640625" style="2" customWidth="1"/>
    <col min="5" max="5" width="11.81640625" style="4" customWidth="1"/>
    <col min="6" max="6" width="11.81640625" style="2" customWidth="1"/>
    <col min="7" max="7" width="7.453125" style="42" customWidth="1"/>
    <col min="8" max="8" width="16.453125" style="4" bestFit="1" customWidth="1"/>
    <col min="9" max="9" width="13.90625" style="4" bestFit="1" customWidth="1"/>
    <col min="10" max="10" width="12.453125" style="2" customWidth="1"/>
    <col min="11" max="11" width="9.7265625" style="9" bestFit="1" customWidth="1"/>
    <col min="12" max="12" width="15.1796875" style="73" bestFit="1" customWidth="1"/>
    <col min="13" max="13" width="12.7265625" style="2" bestFit="1" customWidth="1"/>
    <col min="14" max="14" width="8.08984375" style="42" bestFit="1" customWidth="1"/>
    <col min="15" max="15" width="11.6328125" style="16" customWidth="1"/>
    <col min="16" max="16" width="8.08984375" style="48" bestFit="1" customWidth="1"/>
    <col min="17" max="17" width="12" style="16" customWidth="1"/>
    <col min="18" max="18" width="15.54296875" style="13" customWidth="1"/>
    <col min="19" max="19" width="8.08984375" style="84" bestFit="1" customWidth="1"/>
    <col min="20" max="20" width="13.08984375" style="13" bestFit="1" customWidth="1"/>
    <col min="21" max="21" width="8.08984375" style="84" bestFit="1" customWidth="1"/>
    <col min="22" max="22" width="7.453125" style="13" customWidth="1"/>
    <col min="23" max="23" width="40.1796875" style="43" bestFit="1" customWidth="1"/>
    <col min="24" max="24" width="11.1796875" style="2" customWidth="1"/>
    <col min="25" max="25" width="14.7265625" style="2" customWidth="1"/>
    <col min="26" max="26" width="18" style="2" bestFit="1" customWidth="1"/>
    <col min="27" max="27" width="24.6328125" style="2" bestFit="1" customWidth="1"/>
    <col min="28" max="28" width="25.81640625" style="2" customWidth="1"/>
    <col min="29" max="29" width="11.1796875" style="13" customWidth="1"/>
    <col min="30" max="16384" width="8.7265625" style="2"/>
  </cols>
  <sheetData>
    <row r="1" spans="2:29" x14ac:dyDescent="0.3">
      <c r="B1" s="1"/>
      <c r="C1" s="1"/>
      <c r="D1" s="1"/>
      <c r="E1" s="1"/>
      <c r="F1" s="1"/>
      <c r="G1" s="35"/>
      <c r="H1" s="2"/>
      <c r="I1" s="2"/>
      <c r="J1" s="1"/>
      <c r="K1" s="1"/>
      <c r="L1" s="35"/>
      <c r="W1" s="36"/>
      <c r="X1" s="1"/>
    </row>
    <row r="2" spans="2:29" ht="20" thickBot="1" x14ac:dyDescent="0.5">
      <c r="B2" s="60" t="s">
        <v>487</v>
      </c>
      <c r="C2" s="66"/>
      <c r="D2" s="1"/>
      <c r="E2" s="60" t="s">
        <v>449</v>
      </c>
      <c r="F2" s="32"/>
      <c r="G2" s="67"/>
      <c r="H2" s="32"/>
      <c r="I2" s="32"/>
      <c r="J2" s="1"/>
      <c r="K2" s="60" t="s">
        <v>0</v>
      </c>
      <c r="L2" s="71"/>
      <c r="M2" s="32"/>
      <c r="N2" s="67"/>
      <c r="O2" s="32"/>
      <c r="P2" s="67"/>
      <c r="R2" s="60" t="s">
        <v>450</v>
      </c>
      <c r="S2" s="67"/>
      <c r="T2" s="32"/>
      <c r="U2" s="67"/>
      <c r="W2" s="95" t="s">
        <v>576</v>
      </c>
      <c r="X2" s="1"/>
      <c r="Y2" s="95" t="s">
        <v>1235</v>
      </c>
      <c r="Z2" s="103"/>
      <c r="AA2" s="103"/>
      <c r="AB2" s="60"/>
    </row>
    <row r="3" spans="2:29" ht="41" thickTop="1" x14ac:dyDescent="0.3">
      <c r="B3" s="1" t="s">
        <v>448</v>
      </c>
      <c r="C3" s="61" t="s">
        <v>591</v>
      </c>
      <c r="D3" s="1"/>
      <c r="E3" s="1" t="s">
        <v>2</v>
      </c>
      <c r="F3" s="1" t="s">
        <v>1</v>
      </c>
      <c r="G3" s="42" t="s">
        <v>342</v>
      </c>
      <c r="H3" s="5" t="s">
        <v>53</v>
      </c>
      <c r="I3" s="5" t="s">
        <v>107</v>
      </c>
      <c r="J3" s="1"/>
      <c r="K3" s="10" t="s">
        <v>261</v>
      </c>
      <c r="L3" s="72" t="s">
        <v>342</v>
      </c>
      <c r="M3" s="17" t="s">
        <v>54</v>
      </c>
      <c r="N3" s="72" t="s">
        <v>342</v>
      </c>
      <c r="O3" s="20" t="s">
        <v>99</v>
      </c>
      <c r="P3" s="72" t="s">
        <v>342</v>
      </c>
      <c r="R3" s="14" t="s">
        <v>243</v>
      </c>
      <c r="S3" s="72" t="s">
        <v>342</v>
      </c>
      <c r="T3" s="14" t="s">
        <v>244</v>
      </c>
      <c r="U3" s="72" t="s">
        <v>342</v>
      </c>
      <c r="W3" s="38" t="s">
        <v>703</v>
      </c>
      <c r="X3" s="1"/>
      <c r="Y3" s="5" t="s">
        <v>1030</v>
      </c>
      <c r="Z3" s="1" t="s">
        <v>1032</v>
      </c>
      <c r="AA3" s="1" t="s">
        <v>1033</v>
      </c>
      <c r="AB3" s="5" t="s">
        <v>1077</v>
      </c>
    </row>
    <row r="4" spans="2:29" x14ac:dyDescent="0.3">
      <c r="D4" s="1"/>
      <c r="J4" s="1"/>
      <c r="X4" s="1"/>
    </row>
    <row r="5" spans="2:29" ht="14.5" thickBot="1" x14ac:dyDescent="0.35">
      <c r="B5" s="7" t="s">
        <v>23</v>
      </c>
      <c r="C5" s="7"/>
      <c r="D5" s="1"/>
      <c r="E5" s="8"/>
      <c r="F5" s="7"/>
      <c r="G5" s="40"/>
      <c r="H5" s="8"/>
      <c r="I5" s="8"/>
      <c r="J5" s="1"/>
      <c r="K5" s="11"/>
      <c r="L5" s="74"/>
      <c r="M5" s="7"/>
      <c r="N5" s="40"/>
      <c r="O5" s="18"/>
      <c r="P5" s="78"/>
      <c r="R5" s="15"/>
      <c r="S5" s="85"/>
      <c r="T5" s="15"/>
      <c r="U5" s="85"/>
      <c r="W5" s="41"/>
      <c r="X5" s="1"/>
      <c r="Y5" s="102"/>
      <c r="Z5" s="102"/>
      <c r="AA5" s="102"/>
      <c r="AB5" s="7"/>
    </row>
    <row r="6" spans="2:29" s="21" customFormat="1" outlineLevel="1" x14ac:dyDescent="0.3">
      <c r="B6" s="21" t="s">
        <v>1076</v>
      </c>
      <c r="C6" s="21" t="s">
        <v>506</v>
      </c>
      <c r="D6" s="1"/>
      <c r="E6" s="22">
        <v>9.7426999999999992</v>
      </c>
      <c r="F6" s="22">
        <v>-2.7913000000000001</v>
      </c>
      <c r="G6" s="68" t="s">
        <v>451</v>
      </c>
      <c r="H6" s="21" t="s">
        <v>176</v>
      </c>
      <c r="I6" s="21" t="s">
        <v>65</v>
      </c>
      <c r="J6" s="1"/>
      <c r="K6" s="23">
        <v>60</v>
      </c>
      <c r="L6" s="75" t="s">
        <v>440</v>
      </c>
      <c r="N6" s="45"/>
      <c r="O6" s="24">
        <v>21.1</v>
      </c>
      <c r="P6" s="79" t="s">
        <v>562</v>
      </c>
      <c r="Q6" s="16"/>
      <c r="R6" s="25">
        <f>11300*10^6</f>
        <v>11300000000</v>
      </c>
      <c r="S6" s="83" t="s">
        <v>563</v>
      </c>
      <c r="T6" s="25">
        <f>850*10^6</f>
        <v>850000000</v>
      </c>
      <c r="U6" s="83" t="s">
        <v>573</v>
      </c>
      <c r="V6" s="13"/>
      <c r="W6" s="46" t="s">
        <v>1075</v>
      </c>
      <c r="X6" s="1"/>
      <c r="Y6" s="2" t="s">
        <v>1031</v>
      </c>
      <c r="Z6" s="2" t="s">
        <v>1042</v>
      </c>
      <c r="AA6" s="2"/>
      <c r="AB6" s="21" t="s">
        <v>4</v>
      </c>
      <c r="AC6" s="13"/>
    </row>
    <row r="7" spans="2:29" s="21" customFormat="1" outlineLevel="1" x14ac:dyDescent="0.3">
      <c r="B7" s="21" t="s">
        <v>347</v>
      </c>
      <c r="C7" s="21" t="s">
        <v>556</v>
      </c>
      <c r="D7" s="1"/>
      <c r="E7" s="22">
        <v>11.47700764304</v>
      </c>
      <c r="F7" s="22">
        <v>-0.54687023163631898</v>
      </c>
      <c r="G7" s="68" t="s">
        <v>437</v>
      </c>
      <c r="H7" s="21" t="s">
        <v>114</v>
      </c>
      <c r="I7" s="21" t="s">
        <v>65</v>
      </c>
      <c r="J7" s="1"/>
      <c r="K7" s="23">
        <v>14.4</v>
      </c>
      <c r="L7" s="75" t="s">
        <v>437</v>
      </c>
      <c r="M7" s="24">
        <v>41</v>
      </c>
      <c r="N7" s="79" t="s">
        <v>443</v>
      </c>
      <c r="O7" s="24">
        <v>20</v>
      </c>
      <c r="P7" s="79" t="s">
        <v>581</v>
      </c>
      <c r="Q7" s="16"/>
      <c r="R7" s="25">
        <f>1.7*10^9</f>
        <v>1700000000</v>
      </c>
      <c r="S7" s="83" t="s">
        <v>582</v>
      </c>
      <c r="T7" s="25">
        <f>150*10^6</f>
        <v>150000000</v>
      </c>
      <c r="U7" s="83" t="s">
        <v>573</v>
      </c>
      <c r="V7" s="13"/>
      <c r="W7" s="46"/>
      <c r="X7" s="1"/>
      <c r="Y7" s="2" t="s">
        <v>1031</v>
      </c>
      <c r="Z7" s="2" t="s">
        <v>1042</v>
      </c>
      <c r="AA7" s="2"/>
      <c r="AB7" s="21" t="s">
        <v>1231</v>
      </c>
      <c r="AC7" s="13"/>
    </row>
    <row r="8" spans="2:29" s="21" customFormat="1" outlineLevel="1" x14ac:dyDescent="0.3">
      <c r="B8" s="21" t="s">
        <v>24</v>
      </c>
      <c r="C8" s="21" t="s">
        <v>514</v>
      </c>
      <c r="D8" s="1"/>
      <c r="E8" s="22">
        <v>11.0845286758139</v>
      </c>
      <c r="F8" s="22">
        <v>0.70158004761527004</v>
      </c>
      <c r="G8" s="68" t="s">
        <v>437</v>
      </c>
      <c r="H8" s="21" t="s">
        <v>230</v>
      </c>
      <c r="I8" s="21" t="s">
        <v>65</v>
      </c>
      <c r="J8" s="1"/>
      <c r="K8" s="23">
        <v>12</v>
      </c>
      <c r="L8" s="75" t="s">
        <v>437</v>
      </c>
      <c r="M8" s="24">
        <v>50</v>
      </c>
      <c r="N8" s="79" t="s">
        <v>443</v>
      </c>
      <c r="O8" s="24">
        <v>30</v>
      </c>
      <c r="P8" s="83" t="s">
        <v>582</v>
      </c>
      <c r="Q8" s="16"/>
      <c r="R8" s="25">
        <f>2.05*10^9</f>
        <v>2049999999.9999998</v>
      </c>
      <c r="S8" s="83" t="s">
        <v>582</v>
      </c>
      <c r="T8" s="25">
        <f>150*10^6</f>
        <v>150000000</v>
      </c>
      <c r="U8" s="83" t="s">
        <v>573</v>
      </c>
      <c r="V8" s="13"/>
      <c r="W8" s="46"/>
      <c r="X8" s="1"/>
      <c r="Y8" s="2" t="s">
        <v>1031</v>
      </c>
      <c r="Z8" s="2" t="s">
        <v>1042</v>
      </c>
      <c r="AA8" s="2"/>
      <c r="AB8" s="21" t="s">
        <v>1231</v>
      </c>
      <c r="AC8" s="13"/>
    </row>
    <row r="9" spans="2:29" s="21" customFormat="1" outlineLevel="1" x14ac:dyDescent="0.3">
      <c r="B9" s="21" t="s">
        <v>183</v>
      </c>
      <c r="C9" s="21" t="s">
        <v>557</v>
      </c>
      <c r="D9" s="29"/>
      <c r="E9" s="22"/>
      <c r="F9" s="22"/>
      <c r="G9" s="68"/>
      <c r="H9" s="21" t="s">
        <v>176</v>
      </c>
      <c r="I9" s="21" t="s">
        <v>65</v>
      </c>
      <c r="J9" s="29"/>
      <c r="K9" s="23">
        <v>21</v>
      </c>
      <c r="L9" s="75" t="s">
        <v>442</v>
      </c>
      <c r="N9" s="45"/>
      <c r="O9" s="24"/>
      <c r="P9" s="79"/>
      <c r="Q9" s="24"/>
      <c r="R9" s="25"/>
      <c r="S9" s="83"/>
      <c r="T9" s="25"/>
      <c r="U9" s="83"/>
      <c r="V9" s="25"/>
      <c r="W9" s="46"/>
      <c r="X9" s="29"/>
      <c r="Y9" s="21" t="s">
        <v>1031</v>
      </c>
      <c r="Z9" s="21" t="s">
        <v>1034</v>
      </c>
      <c r="AB9" s="30" t="s">
        <v>198</v>
      </c>
      <c r="AC9" s="25"/>
    </row>
    <row r="10" spans="2:29" s="21" customFormat="1" outlineLevel="1" x14ac:dyDescent="0.3">
      <c r="B10" s="21" t="s">
        <v>410</v>
      </c>
      <c r="C10" s="21" t="s">
        <v>515</v>
      </c>
      <c r="D10" s="29"/>
      <c r="E10" s="22">
        <v>10.9542</v>
      </c>
      <c r="F10" s="22">
        <v>-3.2494999999999998</v>
      </c>
      <c r="G10" s="68" t="s">
        <v>443</v>
      </c>
      <c r="H10" s="21" t="s">
        <v>236</v>
      </c>
      <c r="I10" s="21" t="s">
        <v>65</v>
      </c>
      <c r="J10" s="29"/>
      <c r="K10" s="23">
        <v>15</v>
      </c>
      <c r="L10" s="75" t="s">
        <v>443</v>
      </c>
      <c r="N10" s="45"/>
      <c r="O10" s="24"/>
      <c r="P10" s="79"/>
      <c r="Q10" s="24"/>
      <c r="S10" s="45"/>
      <c r="T10" s="25"/>
      <c r="U10" s="83"/>
      <c r="V10" s="25"/>
      <c r="W10" s="46"/>
      <c r="X10" s="29"/>
      <c r="Y10" s="21" t="s">
        <v>1031</v>
      </c>
      <c r="Z10" s="21" t="s">
        <v>1034</v>
      </c>
      <c r="AB10" s="30" t="s">
        <v>198</v>
      </c>
      <c r="AC10" s="25"/>
    </row>
    <row r="11" spans="2:29" s="21" customFormat="1" outlineLevel="1" x14ac:dyDescent="0.3">
      <c r="B11" s="21" t="s">
        <v>182</v>
      </c>
      <c r="C11" s="21" t="s">
        <v>555</v>
      </c>
      <c r="D11" s="29"/>
      <c r="E11" s="22"/>
      <c r="F11" s="22"/>
      <c r="G11" s="68"/>
      <c r="H11" s="21" t="s">
        <v>182</v>
      </c>
      <c r="I11" s="21" t="s">
        <v>65</v>
      </c>
      <c r="J11" s="29"/>
      <c r="K11" s="23">
        <v>12</v>
      </c>
      <c r="L11" s="75" t="s">
        <v>440</v>
      </c>
      <c r="N11" s="45"/>
      <c r="O11" s="24"/>
      <c r="P11" s="79"/>
      <c r="Q11" s="24"/>
      <c r="S11" s="45"/>
      <c r="T11" s="25"/>
      <c r="U11" s="83"/>
      <c r="V11" s="25"/>
      <c r="W11" s="46"/>
      <c r="X11" s="29"/>
      <c r="Y11" s="21" t="s">
        <v>1031</v>
      </c>
      <c r="Z11" s="21" t="s">
        <v>1034</v>
      </c>
      <c r="AB11" s="30" t="s">
        <v>198</v>
      </c>
      <c r="AC11" s="25"/>
    </row>
    <row r="12" spans="2:29" s="21" customFormat="1" outlineLevel="1" x14ac:dyDescent="0.3">
      <c r="B12" s="21" t="s">
        <v>364</v>
      </c>
      <c r="C12" s="21" t="s">
        <v>442</v>
      </c>
      <c r="D12" s="29"/>
      <c r="E12" s="22"/>
      <c r="F12" s="22"/>
      <c r="G12" s="68"/>
      <c r="H12" s="21" t="s">
        <v>236</v>
      </c>
      <c r="I12" s="21" t="s">
        <v>236</v>
      </c>
      <c r="J12" s="29"/>
      <c r="K12" s="23">
        <v>10.8</v>
      </c>
      <c r="L12" s="75" t="s">
        <v>442</v>
      </c>
      <c r="N12" s="45"/>
      <c r="O12" s="24"/>
      <c r="P12" s="79"/>
      <c r="Q12" s="24"/>
      <c r="R12" s="25"/>
      <c r="S12" s="83"/>
      <c r="T12" s="25"/>
      <c r="U12" s="83"/>
      <c r="V12" s="25"/>
      <c r="W12" s="46"/>
      <c r="X12" s="29"/>
      <c r="Y12" s="21" t="s">
        <v>1031</v>
      </c>
      <c r="Z12" s="21" t="s">
        <v>1034</v>
      </c>
      <c r="AB12" s="30" t="s">
        <v>198</v>
      </c>
      <c r="AC12" s="25"/>
    </row>
    <row r="13" spans="2:29" s="21" customFormat="1" outlineLevel="1" x14ac:dyDescent="0.3">
      <c r="B13" s="21" t="s">
        <v>564</v>
      </c>
      <c r="C13" s="21" t="s">
        <v>474</v>
      </c>
      <c r="D13" s="29"/>
      <c r="E13" s="22"/>
      <c r="F13" s="22"/>
      <c r="G13" s="68"/>
      <c r="H13" s="21" t="s">
        <v>114</v>
      </c>
      <c r="I13" s="21" t="s">
        <v>65</v>
      </c>
      <c r="J13" s="29"/>
      <c r="K13" s="23">
        <v>14</v>
      </c>
      <c r="L13" s="75" t="s">
        <v>440</v>
      </c>
      <c r="N13" s="45"/>
      <c r="O13" s="24">
        <v>23.95</v>
      </c>
      <c r="P13" s="79" t="s">
        <v>592</v>
      </c>
      <c r="Q13" s="24"/>
      <c r="R13" s="25">
        <f>64.5*10^6</f>
        <v>64500000</v>
      </c>
      <c r="S13" s="83" t="s">
        <v>592</v>
      </c>
      <c r="T13" s="25"/>
      <c r="U13" s="83"/>
      <c r="V13" s="25"/>
      <c r="W13" s="46"/>
      <c r="X13" s="29"/>
      <c r="Y13" s="21" t="s">
        <v>1035</v>
      </c>
      <c r="AA13" s="21" t="s">
        <v>1038</v>
      </c>
      <c r="AB13" s="30" t="s">
        <v>4</v>
      </c>
      <c r="AC13" s="25"/>
    </row>
    <row r="14" spans="2:29" s="21" customFormat="1" outlineLevel="1" x14ac:dyDescent="0.3">
      <c r="B14" s="21" t="s">
        <v>181</v>
      </c>
      <c r="C14" s="21" t="s">
        <v>558</v>
      </c>
      <c r="D14" s="29"/>
      <c r="E14" s="22">
        <v>11.3881517241349</v>
      </c>
      <c r="F14" s="22">
        <v>-4.5758056640553004</v>
      </c>
      <c r="G14" s="68" t="s">
        <v>437</v>
      </c>
      <c r="H14" s="21" t="s">
        <v>176</v>
      </c>
      <c r="I14" s="21" t="s">
        <v>65</v>
      </c>
      <c r="J14" s="29"/>
      <c r="K14" s="23">
        <v>2.5</v>
      </c>
      <c r="L14" s="75" t="s">
        <v>437</v>
      </c>
      <c r="M14" s="24">
        <v>23</v>
      </c>
      <c r="N14" s="79" t="s">
        <v>438</v>
      </c>
      <c r="O14" s="24"/>
      <c r="P14" s="79"/>
      <c r="Q14" s="24"/>
      <c r="R14" s="25">
        <f>1.3*10^9</f>
        <v>1300000000</v>
      </c>
      <c r="S14" s="83" t="s">
        <v>583</v>
      </c>
      <c r="T14" s="25"/>
      <c r="U14" s="83"/>
      <c r="V14" s="25"/>
      <c r="W14" s="46"/>
      <c r="X14" s="29"/>
      <c r="Y14" s="21" t="s">
        <v>1035</v>
      </c>
      <c r="AA14" s="21" t="s">
        <v>1036</v>
      </c>
      <c r="AB14" s="21" t="s">
        <v>1232</v>
      </c>
      <c r="AC14" s="25"/>
    </row>
    <row r="15" spans="2:29" s="21" customFormat="1" outlineLevel="1" x14ac:dyDescent="0.3">
      <c r="B15" s="21" t="s">
        <v>1044</v>
      </c>
      <c r="C15" s="21" t="s">
        <v>479</v>
      </c>
      <c r="D15" s="29"/>
      <c r="E15" s="22">
        <v>10.7134843413799</v>
      </c>
      <c r="F15" s="22">
        <v>-5.112676620487</v>
      </c>
      <c r="G15" s="68" t="s">
        <v>437</v>
      </c>
      <c r="H15" s="21" t="s">
        <v>176</v>
      </c>
      <c r="I15" s="21" t="s">
        <v>65</v>
      </c>
      <c r="J15" s="29"/>
      <c r="K15" s="23">
        <v>1.68</v>
      </c>
      <c r="L15" s="75" t="s">
        <v>437</v>
      </c>
      <c r="N15" s="45"/>
      <c r="O15" s="24"/>
      <c r="P15" s="79"/>
      <c r="Q15" s="24"/>
      <c r="R15" s="51" t="s">
        <v>1029</v>
      </c>
      <c r="S15" s="83" t="s">
        <v>440</v>
      </c>
      <c r="T15" s="25"/>
      <c r="U15" s="83"/>
      <c r="V15" s="25"/>
      <c r="W15" s="46"/>
      <c r="X15" s="29"/>
      <c r="Y15" s="21" t="s">
        <v>1035</v>
      </c>
      <c r="AA15" s="21" t="s">
        <v>1037</v>
      </c>
      <c r="AB15" s="21" t="s">
        <v>1231</v>
      </c>
      <c r="AC15" s="25"/>
    </row>
    <row r="16" spans="2:29" s="21" customFormat="1" outlineLevel="1" x14ac:dyDescent="0.3">
      <c r="B16" s="21" t="s">
        <v>1045</v>
      </c>
      <c r="C16" s="21" t="s">
        <v>479</v>
      </c>
      <c r="D16" s="29"/>
      <c r="E16" s="22">
        <v>10.7713586772309</v>
      </c>
      <c r="F16" s="22">
        <v>-5.1570054888680898</v>
      </c>
      <c r="G16" s="68" t="s">
        <v>437</v>
      </c>
      <c r="H16" s="21" t="s">
        <v>176</v>
      </c>
      <c r="I16" s="21" t="s">
        <v>65</v>
      </c>
      <c r="J16" s="29"/>
      <c r="K16" s="23">
        <v>0.6</v>
      </c>
      <c r="L16" s="75" t="s">
        <v>437</v>
      </c>
      <c r="N16" s="45"/>
      <c r="O16" s="24"/>
      <c r="P16" s="79"/>
      <c r="Q16" s="24"/>
      <c r="R16" s="51" t="s">
        <v>1029</v>
      </c>
      <c r="S16" s="83" t="s">
        <v>440</v>
      </c>
      <c r="T16" s="25"/>
      <c r="U16" s="83"/>
      <c r="V16" s="25"/>
      <c r="W16" s="46"/>
      <c r="X16" s="29"/>
      <c r="Y16" s="21" t="s">
        <v>1035</v>
      </c>
      <c r="AA16" s="21" t="s">
        <v>1037</v>
      </c>
      <c r="AB16" s="21" t="s">
        <v>1231</v>
      </c>
      <c r="AC16" s="25"/>
    </row>
    <row r="17" spans="1:29" s="21" customFormat="1" outlineLevel="1" x14ac:dyDescent="0.3">
      <c r="B17" s="21" t="s">
        <v>177</v>
      </c>
      <c r="C17" s="21" t="s">
        <v>439</v>
      </c>
      <c r="D17" s="29"/>
      <c r="E17" s="22"/>
      <c r="F17" s="22"/>
      <c r="G17" s="68"/>
      <c r="H17" s="21" t="s">
        <v>180</v>
      </c>
      <c r="I17" s="21" t="s">
        <v>236</v>
      </c>
      <c r="J17" s="29"/>
      <c r="K17" s="104">
        <v>52</v>
      </c>
      <c r="L17" s="75" t="s">
        <v>439</v>
      </c>
      <c r="N17" s="45"/>
      <c r="O17" s="24"/>
      <c r="P17" s="79"/>
      <c r="Q17" s="24"/>
      <c r="R17" s="25"/>
      <c r="S17" s="83"/>
      <c r="T17" s="25"/>
      <c r="U17" s="83"/>
      <c r="V17" s="25"/>
      <c r="W17" s="46"/>
      <c r="X17" s="29"/>
      <c r="Y17" s="21" t="s">
        <v>1035</v>
      </c>
      <c r="AA17" s="21" t="s">
        <v>1036</v>
      </c>
      <c r="AB17" s="21" t="s">
        <v>198</v>
      </c>
      <c r="AC17" s="25"/>
    </row>
    <row r="18" spans="1:29" x14ac:dyDescent="0.3">
      <c r="J18" s="1"/>
    </row>
    <row r="19" spans="1:29" x14ac:dyDescent="0.3">
      <c r="D19" s="1"/>
      <c r="J19" s="1"/>
      <c r="X19" s="1"/>
    </row>
    <row r="20" spans="1:29" ht="14.5" thickBot="1" x14ac:dyDescent="0.35">
      <c r="A20" s="2"/>
      <c r="B20" s="7" t="s">
        <v>105</v>
      </c>
      <c r="C20" s="7"/>
      <c r="D20" s="1"/>
      <c r="E20" s="8"/>
      <c r="F20" s="7"/>
      <c r="G20" s="40"/>
      <c r="H20" s="8"/>
      <c r="I20" s="8"/>
      <c r="J20" s="1"/>
      <c r="K20" s="11"/>
      <c r="L20" s="74"/>
      <c r="M20" s="7"/>
      <c r="N20" s="40"/>
      <c r="O20" s="18"/>
      <c r="P20" s="78"/>
      <c r="R20" s="15"/>
      <c r="S20" s="85"/>
      <c r="T20" s="15"/>
      <c r="U20" s="85"/>
      <c r="W20" s="41"/>
      <c r="X20" s="1"/>
      <c r="Y20" s="102"/>
      <c r="Z20" s="102"/>
      <c r="AA20" s="102"/>
      <c r="AB20" s="7"/>
    </row>
    <row r="21" spans="1:29" outlineLevel="1" x14ac:dyDescent="0.3">
      <c r="A21" s="2"/>
      <c r="B21" s="2" t="s">
        <v>145</v>
      </c>
      <c r="C21" s="2" t="s">
        <v>464</v>
      </c>
      <c r="D21" s="1"/>
      <c r="E21" s="4">
        <v>7.6927969999999997</v>
      </c>
      <c r="F21" s="4">
        <v>2.4903729999999999</v>
      </c>
      <c r="G21" s="69" t="s">
        <v>560</v>
      </c>
      <c r="H21" s="2" t="s">
        <v>146</v>
      </c>
      <c r="I21" s="2" t="s">
        <v>138</v>
      </c>
      <c r="J21" s="1"/>
      <c r="K21" s="9">
        <v>29</v>
      </c>
      <c r="L21" s="73" t="s">
        <v>439</v>
      </c>
      <c r="M21" s="16">
        <v>54</v>
      </c>
      <c r="N21" s="48" t="s">
        <v>596</v>
      </c>
      <c r="O21" s="26"/>
      <c r="P21" s="80"/>
      <c r="R21" s="13">
        <f>2300*10^6</f>
        <v>2300000000</v>
      </c>
      <c r="S21" s="48" t="s">
        <v>596</v>
      </c>
      <c r="W21" s="46"/>
      <c r="X21" s="1"/>
      <c r="Y21" s="2" t="s">
        <v>1031</v>
      </c>
      <c r="Z21" s="2" t="s">
        <v>1042</v>
      </c>
      <c r="AB21" s="2" t="s">
        <v>4</v>
      </c>
    </row>
    <row r="22" spans="1:29" outlineLevel="1" x14ac:dyDescent="0.3">
      <c r="A22" s="2"/>
      <c r="B22" s="2" t="s">
        <v>346</v>
      </c>
      <c r="C22" s="2" t="s">
        <v>505</v>
      </c>
      <c r="D22" s="1"/>
      <c r="E22" s="4">
        <v>12.1645</v>
      </c>
      <c r="F22" s="4">
        <v>2.3858999999999999</v>
      </c>
      <c r="G22" s="69" t="s">
        <v>601</v>
      </c>
      <c r="H22" s="2" t="s">
        <v>102</v>
      </c>
      <c r="I22" s="2" t="s">
        <v>25</v>
      </c>
      <c r="J22" s="1"/>
      <c r="K22" s="9">
        <v>26</v>
      </c>
      <c r="L22" s="73" t="s">
        <v>440</v>
      </c>
      <c r="M22" s="2">
        <v>55</v>
      </c>
      <c r="N22" s="42" t="s">
        <v>601</v>
      </c>
      <c r="O22" s="24">
        <f>219-189</f>
        <v>30</v>
      </c>
      <c r="P22" s="79" t="s">
        <v>601</v>
      </c>
      <c r="R22" s="13">
        <f>840*10^6</f>
        <v>840000000</v>
      </c>
      <c r="S22" s="84" t="s">
        <v>601</v>
      </c>
      <c r="W22" s="43" t="s">
        <v>1074</v>
      </c>
      <c r="X22" s="1"/>
      <c r="Y22" s="2" t="s">
        <v>1031</v>
      </c>
      <c r="Z22" s="2" t="s">
        <v>1042</v>
      </c>
      <c r="AB22" s="2" t="s">
        <v>4</v>
      </c>
    </row>
    <row r="23" spans="1:29" outlineLevel="1" x14ac:dyDescent="0.3">
      <c r="B23" s="2" t="s">
        <v>140</v>
      </c>
      <c r="C23" s="2" t="s">
        <v>545</v>
      </c>
      <c r="D23" s="1"/>
      <c r="E23" s="4">
        <v>9.2077777800000007</v>
      </c>
      <c r="F23" s="4">
        <v>2.2708333299999999</v>
      </c>
      <c r="G23" s="69" t="s">
        <v>608</v>
      </c>
      <c r="H23" s="2" t="s">
        <v>138</v>
      </c>
      <c r="I23" s="2" t="s">
        <v>138</v>
      </c>
      <c r="J23" s="1"/>
      <c r="K23" s="9">
        <v>23</v>
      </c>
      <c r="L23" s="73" t="s">
        <v>439</v>
      </c>
      <c r="M23" s="16">
        <v>40</v>
      </c>
      <c r="N23" s="48" t="s">
        <v>612</v>
      </c>
      <c r="O23" s="26"/>
      <c r="P23" s="80"/>
      <c r="R23" s="25">
        <f>2870*10^6</f>
        <v>2870000000</v>
      </c>
      <c r="S23" s="48" t="s">
        <v>612</v>
      </c>
      <c r="T23" s="25"/>
      <c r="U23" s="83"/>
      <c r="X23" s="1"/>
      <c r="Y23" s="2" t="s">
        <v>1031</v>
      </c>
      <c r="Z23" s="2" t="s">
        <v>1042</v>
      </c>
      <c r="AB23" s="2" t="s">
        <v>4</v>
      </c>
    </row>
    <row r="24" spans="1:29" s="21" customFormat="1" outlineLevel="1" x14ac:dyDescent="0.3">
      <c r="B24" s="21" t="s">
        <v>250</v>
      </c>
      <c r="C24" s="21" t="s">
        <v>464</v>
      </c>
      <c r="D24" s="1"/>
      <c r="E24" s="22">
        <v>7.170147</v>
      </c>
      <c r="F24" s="22">
        <v>2.3017669999999999</v>
      </c>
      <c r="G24" s="69" t="s">
        <v>560</v>
      </c>
      <c r="H24" s="21" t="s">
        <v>251</v>
      </c>
      <c r="I24" s="21" t="s">
        <v>138</v>
      </c>
      <c r="J24" s="1"/>
      <c r="K24" s="23">
        <v>13</v>
      </c>
      <c r="L24" s="75" t="s">
        <v>439</v>
      </c>
      <c r="M24" s="28">
        <v>39</v>
      </c>
      <c r="N24" s="79" t="s">
        <v>615</v>
      </c>
      <c r="O24" s="26"/>
      <c r="P24" s="80"/>
      <c r="Q24" s="16"/>
      <c r="R24" s="25">
        <f>1575*10^6</f>
        <v>1575000000</v>
      </c>
      <c r="S24" s="83" t="s">
        <v>615</v>
      </c>
      <c r="T24" s="25"/>
      <c r="U24" s="83"/>
      <c r="V24" s="13"/>
      <c r="W24" s="43"/>
      <c r="X24" s="1"/>
      <c r="Y24" s="2" t="s">
        <v>1031</v>
      </c>
      <c r="Z24" s="2" t="s">
        <v>1042</v>
      </c>
      <c r="AA24" s="2"/>
      <c r="AB24" s="21" t="s">
        <v>4</v>
      </c>
      <c r="AC24" s="13"/>
    </row>
    <row r="25" spans="1:29" s="21" customFormat="1" outlineLevel="1" x14ac:dyDescent="0.3">
      <c r="B25" s="21" t="s">
        <v>359</v>
      </c>
      <c r="C25" s="21" t="s">
        <v>464</v>
      </c>
      <c r="D25" s="1"/>
      <c r="E25" s="22">
        <v>9.2237709999999993</v>
      </c>
      <c r="F25" s="22">
        <v>2.2498049999999998</v>
      </c>
      <c r="G25" s="69" t="s">
        <v>560</v>
      </c>
      <c r="H25" s="21" t="s">
        <v>138</v>
      </c>
      <c r="I25" s="21" t="s">
        <v>138</v>
      </c>
      <c r="J25" s="1"/>
      <c r="K25" s="23">
        <v>20</v>
      </c>
      <c r="L25" s="75" t="s">
        <v>439</v>
      </c>
      <c r="M25" s="28">
        <v>41</v>
      </c>
      <c r="N25" s="79" t="s">
        <v>618</v>
      </c>
      <c r="O25" s="26"/>
      <c r="P25" s="80"/>
      <c r="Q25" s="16"/>
      <c r="R25" s="25">
        <f>1250*10^6</f>
        <v>1250000000</v>
      </c>
      <c r="S25" s="79" t="s">
        <v>618</v>
      </c>
      <c r="T25" s="25"/>
      <c r="U25" s="83"/>
      <c r="V25" s="13"/>
      <c r="W25" s="43"/>
      <c r="X25" s="1"/>
      <c r="Y25" s="2" t="s">
        <v>1031</v>
      </c>
      <c r="Z25" s="2" t="s">
        <v>1042</v>
      </c>
      <c r="AA25" s="2"/>
      <c r="AB25" s="21" t="s">
        <v>4</v>
      </c>
      <c r="AC25" s="13"/>
    </row>
    <row r="26" spans="1:29" s="21" customFormat="1" outlineLevel="1" x14ac:dyDescent="0.3">
      <c r="B26" s="21" t="s">
        <v>363</v>
      </c>
      <c r="C26" s="21" t="s">
        <v>475</v>
      </c>
      <c r="D26" s="1"/>
      <c r="E26" s="22">
        <v>7.6527777800000001</v>
      </c>
      <c r="F26" s="22">
        <v>2.4741666699999998</v>
      </c>
      <c r="G26" s="68" t="s">
        <v>608</v>
      </c>
      <c r="H26" s="21" t="s">
        <v>138</v>
      </c>
      <c r="I26" s="21" t="s">
        <v>138</v>
      </c>
      <c r="J26" s="1"/>
      <c r="K26" s="23">
        <v>128</v>
      </c>
      <c r="L26" s="75" t="s">
        <v>440</v>
      </c>
      <c r="M26" s="24"/>
      <c r="N26" s="79"/>
      <c r="O26" s="24">
        <v>28</v>
      </c>
      <c r="P26" s="68" t="s">
        <v>608</v>
      </c>
      <c r="Q26" s="16"/>
      <c r="R26" s="25">
        <f>1740*10^6</f>
        <v>1740000000</v>
      </c>
      <c r="S26" s="68" t="s">
        <v>608</v>
      </c>
      <c r="T26" s="25"/>
      <c r="U26" s="83"/>
      <c r="V26" s="13"/>
      <c r="W26" s="43"/>
      <c r="X26" s="1"/>
      <c r="Y26" s="2" t="s">
        <v>1031</v>
      </c>
      <c r="Z26" s="2" t="s">
        <v>1042</v>
      </c>
      <c r="AA26" s="2"/>
      <c r="AB26" s="21" t="s">
        <v>4</v>
      </c>
      <c r="AC26" s="13"/>
    </row>
    <row r="27" spans="1:29" outlineLevel="1" x14ac:dyDescent="0.3">
      <c r="B27" s="2" t="s">
        <v>106</v>
      </c>
      <c r="C27" s="2" t="s">
        <v>546</v>
      </c>
      <c r="D27" s="1"/>
      <c r="E27" s="4">
        <v>8.4563888899999995</v>
      </c>
      <c r="F27" s="4">
        <v>2.3177777800000001</v>
      </c>
      <c r="G27" s="68" t="s">
        <v>608</v>
      </c>
      <c r="H27" s="2" t="s">
        <v>138</v>
      </c>
      <c r="I27" s="2" t="s">
        <v>138</v>
      </c>
      <c r="J27" s="1"/>
      <c r="K27" s="9">
        <v>79</v>
      </c>
      <c r="L27" s="73" t="s">
        <v>439</v>
      </c>
      <c r="M27" s="16"/>
      <c r="N27" s="48"/>
      <c r="O27" s="24">
        <f>195-163</f>
        <v>32</v>
      </c>
      <c r="P27" s="79" t="s">
        <v>608</v>
      </c>
      <c r="R27" s="13">
        <f>2320*10^6</f>
        <v>2320000000</v>
      </c>
      <c r="S27" s="79" t="s">
        <v>608</v>
      </c>
      <c r="X27" s="1"/>
      <c r="Y27" s="2" t="s">
        <v>1031</v>
      </c>
      <c r="Z27" s="2" t="s">
        <v>1042</v>
      </c>
      <c r="AB27" s="2" t="s">
        <v>4</v>
      </c>
    </row>
    <row r="28" spans="1:29" s="21" customFormat="1" outlineLevel="1" x14ac:dyDescent="0.3">
      <c r="B28" s="21" t="s">
        <v>358</v>
      </c>
      <c r="C28" s="21" t="s">
        <v>527</v>
      </c>
      <c r="D28" s="1"/>
      <c r="E28" s="22">
        <v>8.2338920000000009</v>
      </c>
      <c r="F28" s="22">
        <v>2.3461880000000002</v>
      </c>
      <c r="G28" s="68" t="s">
        <v>560</v>
      </c>
      <c r="H28" s="21" t="s">
        <v>138</v>
      </c>
      <c r="I28" s="21" t="s">
        <v>138</v>
      </c>
      <c r="J28" s="1"/>
      <c r="K28" s="23">
        <v>24</v>
      </c>
      <c r="L28" s="75" t="s">
        <v>621</v>
      </c>
      <c r="M28" s="28">
        <v>36</v>
      </c>
      <c r="N28" s="79" t="s">
        <v>621</v>
      </c>
      <c r="O28" s="26"/>
      <c r="P28" s="80"/>
      <c r="Q28" s="16"/>
      <c r="R28" s="25">
        <f>1350*10^6</f>
        <v>1350000000</v>
      </c>
      <c r="S28" s="79" t="s">
        <v>621</v>
      </c>
      <c r="T28" s="25"/>
      <c r="U28" s="83"/>
      <c r="V28" s="13"/>
      <c r="W28" s="43"/>
      <c r="X28" s="1"/>
      <c r="Y28" s="2" t="s">
        <v>1031</v>
      </c>
      <c r="Z28" s="2" t="s">
        <v>1042</v>
      </c>
      <c r="AA28" s="2"/>
      <c r="AB28" s="21" t="s">
        <v>4</v>
      </c>
      <c r="AC28" s="13"/>
    </row>
    <row r="29" spans="1:29" s="21" customFormat="1" outlineLevel="1" x14ac:dyDescent="0.3">
      <c r="B29" s="21" t="s">
        <v>255</v>
      </c>
      <c r="C29" s="21" t="s">
        <v>439</v>
      </c>
      <c r="D29" s="1"/>
      <c r="E29" s="22">
        <v>7.4473690000000001</v>
      </c>
      <c r="F29" s="22">
        <v>2.4079809999999999</v>
      </c>
      <c r="G29" s="68" t="s">
        <v>560</v>
      </c>
      <c r="H29" s="21" t="s">
        <v>138</v>
      </c>
      <c r="I29" s="21" t="s">
        <v>138</v>
      </c>
      <c r="J29" s="1"/>
      <c r="K29" s="23">
        <v>15</v>
      </c>
      <c r="L29" s="75" t="s">
        <v>439</v>
      </c>
      <c r="M29" s="28">
        <v>38</v>
      </c>
      <c r="N29" s="83" t="s">
        <v>627</v>
      </c>
      <c r="O29" s="26"/>
      <c r="P29" s="80"/>
      <c r="Q29" s="16"/>
      <c r="R29" s="25">
        <f>630*10^6</f>
        <v>630000000</v>
      </c>
      <c r="S29" s="83" t="s">
        <v>627</v>
      </c>
      <c r="T29" s="25"/>
      <c r="U29" s="83"/>
      <c r="V29" s="13"/>
      <c r="W29" s="43"/>
      <c r="X29" s="1"/>
      <c r="Y29" s="2" t="s">
        <v>1031</v>
      </c>
      <c r="Z29" s="2" t="s">
        <v>1042</v>
      </c>
      <c r="AA29" s="2"/>
      <c r="AB29" s="21" t="s">
        <v>4</v>
      </c>
      <c r="AC29" s="13"/>
    </row>
    <row r="30" spans="1:29" s="21" customFormat="1" outlineLevel="1" x14ac:dyDescent="0.3">
      <c r="A30" s="2"/>
      <c r="B30" s="21" t="s">
        <v>259</v>
      </c>
      <c r="C30" s="21" t="s">
        <v>439</v>
      </c>
      <c r="D30" s="1"/>
      <c r="E30" s="22">
        <v>11.606508</v>
      </c>
      <c r="F30" s="22">
        <v>3.378304</v>
      </c>
      <c r="G30" s="68" t="s">
        <v>560</v>
      </c>
      <c r="H30" s="21" t="s">
        <v>258</v>
      </c>
      <c r="I30" s="21" t="s">
        <v>25</v>
      </c>
      <c r="J30" s="1"/>
      <c r="K30" s="23">
        <v>12</v>
      </c>
      <c r="L30" s="75" t="s">
        <v>439</v>
      </c>
      <c r="M30" s="28">
        <v>31</v>
      </c>
      <c r="N30" s="79" t="s">
        <v>630</v>
      </c>
      <c r="O30" s="26"/>
      <c r="P30" s="80"/>
      <c r="Q30" s="16"/>
      <c r="R30" s="25">
        <f>1200*10^6</f>
        <v>1200000000</v>
      </c>
      <c r="S30" s="79" t="s">
        <v>630</v>
      </c>
      <c r="T30" s="25"/>
      <c r="U30" s="83"/>
      <c r="V30" s="13"/>
      <c r="W30" s="43"/>
      <c r="X30" s="1"/>
      <c r="Y30" s="2" t="s">
        <v>1031</v>
      </c>
      <c r="Z30" s="2" t="s">
        <v>1042</v>
      </c>
      <c r="AA30" s="2"/>
      <c r="AB30" s="21" t="s">
        <v>4</v>
      </c>
      <c r="AC30" s="13"/>
    </row>
    <row r="31" spans="1:29" s="21" customFormat="1" outlineLevel="1" x14ac:dyDescent="0.3">
      <c r="B31" s="21" t="s">
        <v>137</v>
      </c>
      <c r="C31" s="21" t="s">
        <v>547</v>
      </c>
      <c r="D31" s="29"/>
      <c r="E31" s="22">
        <v>7.4850000000000003</v>
      </c>
      <c r="F31" s="22">
        <v>2.4209999999999998</v>
      </c>
      <c r="G31" s="68" t="s">
        <v>443</v>
      </c>
      <c r="H31" s="21" t="s">
        <v>138</v>
      </c>
      <c r="I31" s="21" t="s">
        <v>138</v>
      </c>
      <c r="J31" s="29"/>
      <c r="K31" s="23">
        <v>108.8</v>
      </c>
      <c r="L31" s="75" t="s">
        <v>439</v>
      </c>
      <c r="M31" s="24"/>
      <c r="N31" s="79"/>
      <c r="O31" s="24"/>
      <c r="P31" s="79"/>
      <c r="Q31" s="24"/>
      <c r="R31" s="25"/>
      <c r="S31" s="83"/>
      <c r="T31" s="25"/>
      <c r="U31" s="83"/>
      <c r="V31" s="25"/>
      <c r="W31" s="46"/>
      <c r="X31" s="29"/>
      <c r="Y31" s="21" t="s">
        <v>1031</v>
      </c>
      <c r="Z31" s="21" t="s">
        <v>1034</v>
      </c>
      <c r="AB31" s="21" t="s">
        <v>198</v>
      </c>
      <c r="AC31" s="25"/>
    </row>
    <row r="32" spans="1:29" s="21" customFormat="1" outlineLevel="1" x14ac:dyDescent="0.3">
      <c r="B32" s="21" t="s">
        <v>139</v>
      </c>
      <c r="C32" s="21" t="s">
        <v>511</v>
      </c>
      <c r="D32" s="29"/>
      <c r="E32" s="22">
        <v>8.7958999999999996</v>
      </c>
      <c r="F32" s="22">
        <v>2.2606000000000002</v>
      </c>
      <c r="G32" s="68" t="s">
        <v>443</v>
      </c>
      <c r="H32" s="21" t="s">
        <v>138</v>
      </c>
      <c r="I32" s="21" t="s">
        <v>138</v>
      </c>
      <c r="J32" s="29"/>
      <c r="K32" s="23">
        <v>29.4</v>
      </c>
      <c r="L32" s="75" t="s">
        <v>439</v>
      </c>
      <c r="M32" s="24"/>
      <c r="N32" s="79"/>
      <c r="O32" s="24"/>
      <c r="P32" s="79"/>
      <c r="Q32" s="24"/>
      <c r="R32" s="25"/>
      <c r="S32" s="83"/>
      <c r="T32" s="25"/>
      <c r="U32" s="83"/>
      <c r="V32" s="25"/>
      <c r="W32" s="46"/>
      <c r="X32" s="29"/>
      <c r="Y32" s="21" t="s">
        <v>1031</v>
      </c>
      <c r="Z32" s="21" t="s">
        <v>1034</v>
      </c>
      <c r="AB32" s="21" t="s">
        <v>198</v>
      </c>
      <c r="AC32" s="25"/>
    </row>
    <row r="33" spans="1:29" s="21" customFormat="1" outlineLevel="1" x14ac:dyDescent="0.3">
      <c r="B33" s="21" t="s">
        <v>409</v>
      </c>
      <c r="C33" s="21" t="s">
        <v>515</v>
      </c>
      <c r="D33" s="29"/>
      <c r="E33" s="22">
        <v>11.207700000000001</v>
      </c>
      <c r="F33" s="22">
        <v>1.8027</v>
      </c>
      <c r="G33" s="68" t="s">
        <v>443</v>
      </c>
      <c r="H33" s="21" t="s">
        <v>236</v>
      </c>
      <c r="I33" s="21" t="s">
        <v>65</v>
      </c>
      <c r="J33" s="29"/>
      <c r="K33" s="23">
        <v>15</v>
      </c>
      <c r="L33" s="75" t="s">
        <v>443</v>
      </c>
      <c r="M33" s="24"/>
      <c r="N33" s="79"/>
      <c r="O33" s="24"/>
      <c r="P33" s="79"/>
      <c r="Q33" s="24"/>
      <c r="R33" s="25"/>
      <c r="S33" s="83"/>
      <c r="T33" s="25"/>
      <c r="U33" s="83"/>
      <c r="V33" s="25"/>
      <c r="W33" s="46"/>
      <c r="X33" s="29"/>
      <c r="Y33" s="21" t="s">
        <v>1031</v>
      </c>
      <c r="Z33" s="21" t="s">
        <v>1034</v>
      </c>
      <c r="AB33" s="21" t="s">
        <v>198</v>
      </c>
      <c r="AC33" s="25"/>
    </row>
    <row r="34" spans="1:29" s="21" customFormat="1" outlineLevel="1" x14ac:dyDescent="0.3">
      <c r="B34" s="21" t="s">
        <v>143</v>
      </c>
      <c r="C34" s="21" t="s">
        <v>553</v>
      </c>
      <c r="D34" s="29"/>
      <c r="E34" s="22"/>
      <c r="F34" s="22"/>
      <c r="G34" s="68"/>
      <c r="H34" s="21" t="s">
        <v>138</v>
      </c>
      <c r="I34" s="21" t="s">
        <v>138</v>
      </c>
      <c r="J34" s="29"/>
      <c r="K34" s="23">
        <v>42</v>
      </c>
      <c r="L34" s="75" t="s">
        <v>439</v>
      </c>
      <c r="M34" s="24"/>
      <c r="N34" s="79"/>
      <c r="O34" s="24"/>
      <c r="P34" s="79"/>
      <c r="Q34" s="24"/>
      <c r="R34" s="25"/>
      <c r="S34" s="83"/>
      <c r="T34" s="25"/>
      <c r="U34" s="83"/>
      <c r="V34" s="25"/>
      <c r="W34" s="46"/>
      <c r="X34" s="29"/>
      <c r="Y34" s="21" t="s">
        <v>1031</v>
      </c>
      <c r="Z34" s="21" t="s">
        <v>1034</v>
      </c>
      <c r="AB34" s="21" t="s">
        <v>198</v>
      </c>
      <c r="AC34" s="25"/>
    </row>
    <row r="35" spans="1:29" s="21" customFormat="1" outlineLevel="1" x14ac:dyDescent="0.3">
      <c r="B35" s="21" t="s">
        <v>179</v>
      </c>
      <c r="C35" s="21" t="s">
        <v>439</v>
      </c>
      <c r="D35" s="29"/>
      <c r="E35" s="22"/>
      <c r="F35" s="22"/>
      <c r="G35" s="68"/>
      <c r="H35" s="21" t="s">
        <v>138</v>
      </c>
      <c r="I35" s="21" t="s">
        <v>138</v>
      </c>
      <c r="J35" s="29"/>
      <c r="K35" s="23">
        <v>35</v>
      </c>
      <c r="L35" s="75" t="s">
        <v>439</v>
      </c>
      <c r="M35" s="24"/>
      <c r="N35" s="79"/>
      <c r="O35" s="24"/>
      <c r="P35" s="79"/>
      <c r="Q35" s="24"/>
      <c r="R35" s="25"/>
      <c r="S35" s="83"/>
      <c r="T35" s="25"/>
      <c r="U35" s="83"/>
      <c r="V35" s="25"/>
      <c r="W35" s="46"/>
      <c r="X35" s="29"/>
      <c r="Y35" s="21" t="s">
        <v>1031</v>
      </c>
      <c r="Z35" s="21" t="s">
        <v>1034</v>
      </c>
      <c r="AB35" s="21" t="s">
        <v>198</v>
      </c>
      <c r="AC35" s="25"/>
    </row>
    <row r="36" spans="1:29" s="21" customFormat="1" outlineLevel="1" x14ac:dyDescent="0.3">
      <c r="B36" s="21" t="s">
        <v>144</v>
      </c>
      <c r="C36" s="21" t="s">
        <v>464</v>
      </c>
      <c r="D36" s="29"/>
      <c r="E36" s="22"/>
      <c r="F36" s="22"/>
      <c r="G36" s="68"/>
      <c r="H36" s="21" t="s">
        <v>138</v>
      </c>
      <c r="I36" s="21" t="s">
        <v>138</v>
      </c>
      <c r="J36" s="29"/>
      <c r="K36" s="23">
        <v>24</v>
      </c>
      <c r="L36" s="75" t="s">
        <v>439</v>
      </c>
      <c r="M36" s="24"/>
      <c r="N36" s="79"/>
      <c r="O36" s="24"/>
      <c r="P36" s="79"/>
      <c r="Q36" s="24"/>
      <c r="R36" s="25"/>
      <c r="S36" s="83"/>
      <c r="T36" s="25"/>
      <c r="U36" s="83"/>
      <c r="V36" s="25"/>
      <c r="W36" s="46"/>
      <c r="X36" s="29"/>
      <c r="Y36" s="21" t="s">
        <v>1031</v>
      </c>
      <c r="Z36" s="21" t="s">
        <v>1034</v>
      </c>
      <c r="AB36" s="21" t="s">
        <v>198</v>
      </c>
      <c r="AC36" s="25"/>
    </row>
    <row r="37" spans="1:29" s="21" customFormat="1" outlineLevel="1" x14ac:dyDescent="0.3">
      <c r="B37" s="21" t="s">
        <v>135</v>
      </c>
      <c r="C37" s="21" t="s">
        <v>439</v>
      </c>
      <c r="D37" s="29"/>
      <c r="E37" s="22"/>
      <c r="F37" s="22"/>
      <c r="G37" s="68"/>
      <c r="H37" s="21" t="s">
        <v>136</v>
      </c>
      <c r="I37" s="21" t="s">
        <v>236</v>
      </c>
      <c r="J37" s="29"/>
      <c r="K37" s="23">
        <v>0.5</v>
      </c>
      <c r="L37" s="75" t="s">
        <v>439</v>
      </c>
      <c r="M37" s="24"/>
      <c r="N37" s="79"/>
      <c r="O37" s="24">
        <v>130</v>
      </c>
      <c r="P37" s="79" t="s">
        <v>439</v>
      </c>
      <c r="Q37" s="24"/>
      <c r="R37" s="25"/>
      <c r="S37" s="83"/>
      <c r="T37" s="25"/>
      <c r="U37" s="83"/>
      <c r="V37" s="25"/>
      <c r="W37" s="46"/>
      <c r="X37" s="29"/>
      <c r="Y37" s="21" t="s">
        <v>1035</v>
      </c>
      <c r="AA37" s="21" t="s">
        <v>1036</v>
      </c>
      <c r="AB37" s="21" t="s">
        <v>1231</v>
      </c>
      <c r="AC37" s="25"/>
    </row>
    <row r="38" spans="1:29" s="21" customFormat="1" outlineLevel="1" x14ac:dyDescent="0.3">
      <c r="B38" s="21" t="s">
        <v>177</v>
      </c>
      <c r="C38" s="21" t="s">
        <v>439</v>
      </c>
      <c r="D38" s="29"/>
      <c r="E38" s="22"/>
      <c r="F38" s="22"/>
      <c r="G38" s="68"/>
      <c r="H38" s="21" t="s">
        <v>180</v>
      </c>
      <c r="I38" s="21" t="s">
        <v>236</v>
      </c>
      <c r="J38" s="29"/>
      <c r="K38" s="104">
        <v>80</v>
      </c>
      <c r="L38" s="75" t="s">
        <v>439</v>
      </c>
      <c r="M38" s="24"/>
      <c r="N38" s="79"/>
      <c r="O38" s="24"/>
      <c r="P38" s="79"/>
      <c r="Q38" s="24"/>
      <c r="R38" s="25"/>
      <c r="S38" s="83"/>
      <c r="T38" s="25"/>
      <c r="U38" s="83"/>
      <c r="V38" s="25"/>
      <c r="W38" s="46"/>
      <c r="X38" s="29"/>
      <c r="Y38" s="21" t="s">
        <v>1035</v>
      </c>
      <c r="AA38" s="21" t="s">
        <v>1036</v>
      </c>
      <c r="AB38" s="21" t="s">
        <v>198</v>
      </c>
      <c r="AC38" s="25"/>
    </row>
    <row r="39" spans="1:29" x14ac:dyDescent="0.3">
      <c r="D39" s="1"/>
      <c r="J39" s="1"/>
      <c r="X39" s="1"/>
    </row>
    <row r="40" spans="1:29" x14ac:dyDescent="0.3">
      <c r="D40" s="1"/>
      <c r="J40" s="1"/>
      <c r="X40" s="1"/>
    </row>
    <row r="41" spans="1:29" ht="14.5" thickBot="1" x14ac:dyDescent="0.35">
      <c r="B41" s="7" t="s">
        <v>208</v>
      </c>
      <c r="C41" s="7"/>
      <c r="D41" s="1"/>
      <c r="E41" s="8"/>
      <c r="F41" s="7"/>
      <c r="G41" s="40"/>
      <c r="H41" s="8"/>
      <c r="I41" s="8"/>
      <c r="J41" s="1"/>
      <c r="K41" s="11"/>
      <c r="L41" s="74"/>
      <c r="M41" s="7"/>
      <c r="N41" s="40"/>
      <c r="O41" s="18"/>
      <c r="P41" s="78"/>
      <c r="R41" s="15"/>
      <c r="S41" s="85"/>
      <c r="T41" s="15"/>
      <c r="U41" s="85"/>
      <c r="W41" s="41"/>
      <c r="X41" s="1"/>
      <c r="Y41" s="102"/>
      <c r="Z41" s="102"/>
      <c r="AA41" s="102"/>
      <c r="AB41" s="7"/>
    </row>
    <row r="42" spans="1:29" outlineLevel="1" x14ac:dyDescent="0.3">
      <c r="B42" s="2" t="s">
        <v>30</v>
      </c>
      <c r="C42" s="2" t="s">
        <v>495</v>
      </c>
      <c r="E42" s="4">
        <v>7.0260913995368002</v>
      </c>
      <c r="F42" s="4">
        <v>-5.47121286392629</v>
      </c>
      <c r="G42" s="69" t="s">
        <v>437</v>
      </c>
      <c r="H42" s="2" t="s">
        <v>64</v>
      </c>
      <c r="I42" s="2" t="s">
        <v>64</v>
      </c>
      <c r="J42" s="1"/>
      <c r="K42" s="9">
        <v>175</v>
      </c>
      <c r="L42" s="73" t="s">
        <v>437</v>
      </c>
      <c r="M42" s="16">
        <v>58</v>
      </c>
      <c r="N42" s="48" t="s">
        <v>443</v>
      </c>
      <c r="O42" s="16">
        <v>49.5</v>
      </c>
      <c r="P42" s="48" t="s">
        <v>634</v>
      </c>
      <c r="R42" s="13">
        <f>28.8*10^9</f>
        <v>28800000000</v>
      </c>
      <c r="S42" s="84" t="s">
        <v>635</v>
      </c>
      <c r="T42" s="34">
        <f>863*10^6</f>
        <v>863000000</v>
      </c>
      <c r="U42" s="86" t="s">
        <v>622</v>
      </c>
      <c r="X42" s="1"/>
      <c r="Y42" s="2" t="s">
        <v>1031</v>
      </c>
      <c r="Z42" s="2" t="s">
        <v>1042</v>
      </c>
      <c r="AB42" s="2" t="s">
        <v>1231</v>
      </c>
    </row>
    <row r="43" spans="1:29" s="21" customFormat="1" outlineLevel="1" x14ac:dyDescent="0.3">
      <c r="B43" s="21" t="s">
        <v>28</v>
      </c>
      <c r="C43" s="21" t="s">
        <v>519</v>
      </c>
      <c r="E43" s="22">
        <v>6.2446000000000002</v>
      </c>
      <c r="F43" s="22">
        <v>-7.0274999999999901</v>
      </c>
      <c r="G43" s="68" t="s">
        <v>437</v>
      </c>
      <c r="H43" s="21" t="s">
        <v>62</v>
      </c>
      <c r="I43" s="21" t="s">
        <v>62</v>
      </c>
      <c r="J43" s="1"/>
      <c r="K43" s="23">
        <v>165</v>
      </c>
      <c r="L43" s="75" t="s">
        <v>437</v>
      </c>
      <c r="M43" s="24">
        <v>37</v>
      </c>
      <c r="N43" s="79" t="s">
        <v>443</v>
      </c>
      <c r="O43" s="24">
        <v>36.1</v>
      </c>
      <c r="P43" s="48" t="s">
        <v>634</v>
      </c>
      <c r="Q43" s="16"/>
      <c r="R43" s="25">
        <f>8.3*10^9</f>
        <v>8300000000.000001</v>
      </c>
      <c r="S43" s="83" t="s">
        <v>636</v>
      </c>
      <c r="T43" s="52">
        <f>900*10^6</f>
        <v>900000000</v>
      </c>
      <c r="U43" s="86" t="s">
        <v>622</v>
      </c>
      <c r="V43" s="13"/>
      <c r="W43" s="46"/>
      <c r="X43" s="1"/>
      <c r="Y43" s="2" t="s">
        <v>1031</v>
      </c>
      <c r="Z43" s="2" t="s">
        <v>1042</v>
      </c>
      <c r="AA43" s="2"/>
      <c r="AB43" s="21" t="s">
        <v>1231</v>
      </c>
      <c r="AC43" s="13"/>
    </row>
    <row r="44" spans="1:29" s="19" customFormat="1" outlineLevel="1" x14ac:dyDescent="0.3">
      <c r="A44" s="21"/>
      <c r="B44" s="21" t="s">
        <v>31</v>
      </c>
      <c r="C44" s="21" t="s">
        <v>520</v>
      </c>
      <c r="D44" s="21"/>
      <c r="E44" s="22">
        <v>5.6069479756687004</v>
      </c>
      <c r="F44" s="22">
        <v>-3.1692123413078002</v>
      </c>
      <c r="G44" s="68" t="s">
        <v>437</v>
      </c>
      <c r="H44" s="21" t="s">
        <v>56</v>
      </c>
      <c r="I44" s="21" t="s">
        <v>116</v>
      </c>
      <c r="J44" s="1"/>
      <c r="K44" s="23">
        <v>20</v>
      </c>
      <c r="L44" s="75" t="s">
        <v>437</v>
      </c>
      <c r="M44" s="24">
        <v>30</v>
      </c>
      <c r="N44" s="79" t="s">
        <v>443</v>
      </c>
      <c r="O44" s="16">
        <v>25</v>
      </c>
      <c r="P44" s="48" t="s">
        <v>634</v>
      </c>
      <c r="Q44" s="16"/>
      <c r="R44" s="13">
        <f>710*10^6</f>
        <v>710000000</v>
      </c>
      <c r="S44" s="84" t="s">
        <v>637</v>
      </c>
      <c r="T44" s="34">
        <f>150*10^6</f>
        <v>150000000</v>
      </c>
      <c r="U44" s="86" t="s">
        <v>638</v>
      </c>
      <c r="V44" s="13"/>
      <c r="W44" s="96"/>
      <c r="X44" s="1"/>
      <c r="Y44" s="2" t="s">
        <v>1031</v>
      </c>
      <c r="Z44" s="2" t="s">
        <v>1042</v>
      </c>
      <c r="AA44" s="2"/>
      <c r="AB44" s="21" t="s">
        <v>1231</v>
      </c>
      <c r="AC44" s="13"/>
    </row>
    <row r="45" spans="1:29" outlineLevel="1" x14ac:dyDescent="0.3">
      <c r="B45" s="2" t="s">
        <v>246</v>
      </c>
      <c r="C45" s="2" t="s">
        <v>495</v>
      </c>
      <c r="E45" s="4">
        <v>6.2106574361589901</v>
      </c>
      <c r="F45" s="4">
        <v>-5.0838804244959004</v>
      </c>
      <c r="G45" s="69" t="s">
        <v>437</v>
      </c>
      <c r="H45" s="2" t="s">
        <v>64</v>
      </c>
      <c r="I45" s="2" t="s">
        <v>64</v>
      </c>
      <c r="J45" s="1"/>
      <c r="K45" s="9">
        <v>210.6</v>
      </c>
      <c r="L45" s="73" t="s">
        <v>437</v>
      </c>
      <c r="M45" s="16">
        <v>34</v>
      </c>
      <c r="N45" s="79" t="s">
        <v>443</v>
      </c>
      <c r="O45" s="16">
        <v>59</v>
      </c>
      <c r="P45" s="48" t="s">
        <v>634</v>
      </c>
      <c r="R45" s="13">
        <f>630*10^6</f>
        <v>630000000</v>
      </c>
      <c r="S45" s="84" t="s">
        <v>639</v>
      </c>
      <c r="T45" s="34">
        <f>62*10^6</f>
        <v>62000000</v>
      </c>
      <c r="U45" s="86" t="s">
        <v>638</v>
      </c>
      <c r="W45" s="96"/>
      <c r="X45" s="1"/>
      <c r="Y45" s="2" t="s">
        <v>1031</v>
      </c>
      <c r="Z45" s="2" t="s">
        <v>1042</v>
      </c>
      <c r="AB45" s="2" t="s">
        <v>1231</v>
      </c>
    </row>
    <row r="46" spans="1:29" s="21" customFormat="1" outlineLevel="1" x14ac:dyDescent="0.3">
      <c r="B46" s="21" t="s">
        <v>413</v>
      </c>
      <c r="C46" s="21" t="s">
        <v>513</v>
      </c>
      <c r="E46" s="22">
        <v>5.7906189020031</v>
      </c>
      <c r="F46" s="22">
        <v>-6.6355276107799002</v>
      </c>
      <c r="G46" s="68" t="s">
        <v>437</v>
      </c>
      <c r="H46" s="21" t="s">
        <v>62</v>
      </c>
      <c r="I46" s="21" t="s">
        <v>62</v>
      </c>
      <c r="J46" s="1"/>
      <c r="K46" s="23">
        <v>275</v>
      </c>
      <c r="L46" s="73" t="s">
        <v>437</v>
      </c>
      <c r="M46" s="24"/>
      <c r="N46" s="79"/>
      <c r="O46" s="24">
        <v>43</v>
      </c>
      <c r="P46" s="79" t="s">
        <v>640</v>
      </c>
      <c r="Q46" s="16"/>
      <c r="R46" s="25">
        <f>83*10^6</f>
        <v>83000000</v>
      </c>
      <c r="S46" s="79" t="s">
        <v>640</v>
      </c>
      <c r="T46" s="25"/>
      <c r="U46" s="83"/>
      <c r="V46" s="13"/>
      <c r="W46" s="46"/>
      <c r="X46" s="1"/>
      <c r="Y46" s="2" t="s">
        <v>1031</v>
      </c>
      <c r="Z46" s="2" t="s">
        <v>1042</v>
      </c>
      <c r="AA46" s="2"/>
      <c r="AB46" s="21" t="s">
        <v>1231</v>
      </c>
      <c r="AC46" s="13"/>
    </row>
    <row r="47" spans="1:29" s="19" customFormat="1" outlineLevel="1" x14ac:dyDescent="0.3">
      <c r="A47" s="21"/>
      <c r="B47" s="21" t="s">
        <v>118</v>
      </c>
      <c r="C47" s="21" t="s">
        <v>464</v>
      </c>
      <c r="D47" s="21"/>
      <c r="E47" s="22">
        <v>7.9286111100000003</v>
      </c>
      <c r="F47" s="22">
        <v>-7.4222222200000001</v>
      </c>
      <c r="G47" s="68" t="s">
        <v>624</v>
      </c>
      <c r="H47" s="21" t="s">
        <v>57</v>
      </c>
      <c r="I47" s="21" t="s">
        <v>62</v>
      </c>
      <c r="J47" s="1"/>
      <c r="K47" s="23">
        <v>150</v>
      </c>
      <c r="L47" s="68" t="s">
        <v>624</v>
      </c>
      <c r="M47" s="24"/>
      <c r="N47" s="79"/>
      <c r="O47" s="16">
        <v>60</v>
      </c>
      <c r="P47" s="68" t="s">
        <v>624</v>
      </c>
      <c r="Q47" s="16"/>
      <c r="R47" s="13">
        <f>1.4*10^9</f>
        <v>1400000000</v>
      </c>
      <c r="S47" s="68" t="s">
        <v>624</v>
      </c>
      <c r="T47" s="13"/>
      <c r="U47" s="84"/>
      <c r="V47" s="13"/>
      <c r="W47" s="96"/>
      <c r="X47" s="1"/>
      <c r="Y47" s="2" t="s">
        <v>1031</v>
      </c>
      <c r="Z47" s="2" t="s">
        <v>1042</v>
      </c>
      <c r="AA47" s="2"/>
      <c r="AB47" s="2" t="s">
        <v>4</v>
      </c>
      <c r="AC47" s="13"/>
    </row>
    <row r="48" spans="1:29" s="21" customFormat="1" outlineLevel="1" x14ac:dyDescent="0.3">
      <c r="B48" s="21" t="s">
        <v>354</v>
      </c>
      <c r="C48" s="21" t="s">
        <v>511</v>
      </c>
      <c r="E48" s="22">
        <v>7.1083333299999998</v>
      </c>
      <c r="F48" s="22">
        <v>-7.0627777800000002</v>
      </c>
      <c r="G48" s="68" t="s">
        <v>443</v>
      </c>
      <c r="H48" s="21" t="s">
        <v>62</v>
      </c>
      <c r="I48" s="21" t="s">
        <v>62</v>
      </c>
      <c r="J48" s="1"/>
      <c r="K48" s="23">
        <v>150</v>
      </c>
      <c r="L48" s="68" t="s">
        <v>624</v>
      </c>
      <c r="M48" s="24"/>
      <c r="N48" s="79"/>
      <c r="O48" s="24">
        <v>20</v>
      </c>
      <c r="P48" s="68" t="s">
        <v>624</v>
      </c>
      <c r="Q48" s="16"/>
      <c r="R48" s="25">
        <f>1.4*10^9</f>
        <v>1400000000</v>
      </c>
      <c r="S48" s="68" t="s">
        <v>624</v>
      </c>
      <c r="T48" s="25"/>
      <c r="U48" s="83"/>
      <c r="V48" s="13"/>
      <c r="W48" s="96"/>
      <c r="X48" s="1"/>
      <c r="Y48" s="2" t="s">
        <v>1031</v>
      </c>
      <c r="Z48" s="2" t="s">
        <v>1042</v>
      </c>
      <c r="AA48" s="2"/>
      <c r="AB48" s="21" t="s">
        <v>4</v>
      </c>
      <c r="AC48" s="13"/>
    </row>
    <row r="49" spans="2:29" s="21" customFormat="1" outlineLevel="1" x14ac:dyDescent="0.3">
      <c r="B49" s="21" t="s">
        <v>355</v>
      </c>
      <c r="C49" s="21" t="s">
        <v>518</v>
      </c>
      <c r="E49" s="22">
        <v>6.0824088735924002</v>
      </c>
      <c r="F49" s="22">
        <v>-4.9486032128317898</v>
      </c>
      <c r="G49" s="68" t="s">
        <v>437</v>
      </c>
      <c r="H49" s="21" t="s">
        <v>64</v>
      </c>
      <c r="I49" s="21" t="s">
        <v>64</v>
      </c>
      <c r="J49" s="1"/>
      <c r="K49" s="23">
        <v>44</v>
      </c>
      <c r="L49" s="73" t="s">
        <v>437</v>
      </c>
      <c r="M49" s="24"/>
      <c r="N49" s="79"/>
      <c r="O49" s="28">
        <v>26.58</v>
      </c>
      <c r="P49" s="83" t="s">
        <v>641</v>
      </c>
      <c r="Q49" s="16"/>
      <c r="R49" s="25">
        <f>105*10^6</f>
        <v>105000000</v>
      </c>
      <c r="S49" s="83" t="s">
        <v>641</v>
      </c>
      <c r="T49" s="25"/>
      <c r="U49" s="83"/>
      <c r="V49" s="13"/>
      <c r="W49" s="96"/>
      <c r="X49" s="1"/>
      <c r="Y49" s="2" t="s">
        <v>1031</v>
      </c>
      <c r="Z49" s="2" t="s">
        <v>1042</v>
      </c>
      <c r="AA49" s="2"/>
      <c r="AB49" s="21" t="s">
        <v>4</v>
      </c>
      <c r="AC49" s="13"/>
    </row>
    <row r="50" spans="2:29" s="21" customFormat="1" outlineLevel="1" x14ac:dyDescent="0.3">
      <c r="B50" s="21" t="s">
        <v>131</v>
      </c>
      <c r="C50" s="21" t="s">
        <v>505</v>
      </c>
      <c r="E50" s="22">
        <v>5.05</v>
      </c>
      <c r="F50" s="22">
        <v>-6.2167000000000003</v>
      </c>
      <c r="G50" s="68" t="s">
        <v>443</v>
      </c>
      <c r="H50" s="21" t="s">
        <v>62</v>
      </c>
      <c r="I50" s="21" t="s">
        <v>62</v>
      </c>
      <c r="J50" s="29"/>
      <c r="K50" s="23">
        <v>280</v>
      </c>
      <c r="L50" s="75" t="s">
        <v>440</v>
      </c>
      <c r="M50" s="24"/>
      <c r="N50" s="79"/>
      <c r="P50" s="45"/>
      <c r="Q50" s="24"/>
      <c r="S50" s="45"/>
      <c r="U50" s="45"/>
      <c r="V50" s="25"/>
      <c r="W50" s="46"/>
      <c r="X50" s="29"/>
      <c r="Y50" s="21" t="s">
        <v>1031</v>
      </c>
      <c r="Z50" s="21" t="s">
        <v>1034</v>
      </c>
      <c r="AB50" s="21" t="s">
        <v>198</v>
      </c>
      <c r="AC50" s="25"/>
    </row>
    <row r="51" spans="2:29" s="21" customFormat="1" outlineLevel="1" x14ac:dyDescent="0.3">
      <c r="B51" s="21" t="s">
        <v>1069</v>
      </c>
      <c r="C51" s="21" t="s">
        <v>468</v>
      </c>
      <c r="E51" s="22">
        <v>4.8459744392350901</v>
      </c>
      <c r="F51" s="22">
        <v>-7.5902223587127002</v>
      </c>
      <c r="G51" s="68" t="s">
        <v>437</v>
      </c>
      <c r="H51" s="21" t="s">
        <v>63</v>
      </c>
      <c r="I51" s="21" t="s">
        <v>63</v>
      </c>
      <c r="J51" s="29"/>
      <c r="K51" s="23">
        <v>220</v>
      </c>
      <c r="L51" s="75" t="s">
        <v>437</v>
      </c>
      <c r="M51" s="24"/>
      <c r="N51" s="79"/>
      <c r="O51" s="24"/>
      <c r="P51" s="79"/>
      <c r="Q51" s="24"/>
      <c r="R51" s="25"/>
      <c r="S51" s="83"/>
      <c r="T51" s="25"/>
      <c r="U51" s="83"/>
      <c r="V51" s="25"/>
      <c r="W51" s="46" t="s">
        <v>675</v>
      </c>
      <c r="X51" s="29"/>
      <c r="Y51" s="21" t="s">
        <v>1031</v>
      </c>
      <c r="Z51" s="21" t="s">
        <v>1034</v>
      </c>
      <c r="AB51" s="21" t="s">
        <v>198</v>
      </c>
      <c r="AC51" s="25"/>
    </row>
    <row r="52" spans="2:29" s="21" customFormat="1" outlineLevel="1" x14ac:dyDescent="0.3">
      <c r="B52" s="21" t="s">
        <v>117</v>
      </c>
      <c r="C52" s="21" t="s">
        <v>506</v>
      </c>
      <c r="E52" s="22">
        <v>5.5453720000000004</v>
      </c>
      <c r="F52" s="22">
        <v>-6.4837319999999998</v>
      </c>
      <c r="G52" s="68" t="s">
        <v>443</v>
      </c>
      <c r="H52" s="21" t="s">
        <v>62</v>
      </c>
      <c r="I52" s="21" t="s">
        <v>62</v>
      </c>
      <c r="J52" s="29"/>
      <c r="K52" s="23">
        <v>156</v>
      </c>
      <c r="L52" s="75" t="s">
        <v>440</v>
      </c>
      <c r="M52" s="24">
        <v>33</v>
      </c>
      <c r="N52" s="79" t="s">
        <v>443</v>
      </c>
      <c r="O52" s="24"/>
      <c r="P52" s="79"/>
      <c r="Q52" s="24"/>
      <c r="R52" s="25"/>
      <c r="S52" s="83"/>
      <c r="T52" s="25"/>
      <c r="U52" s="83"/>
      <c r="V52" s="25"/>
      <c r="W52" s="46"/>
      <c r="X52" s="29"/>
      <c r="Y52" s="21" t="s">
        <v>1031</v>
      </c>
      <c r="Z52" s="21" t="s">
        <v>1034</v>
      </c>
      <c r="AB52" s="21" t="s">
        <v>198</v>
      </c>
      <c r="AC52" s="25"/>
    </row>
    <row r="53" spans="2:29" s="21" customFormat="1" outlineLevel="1" x14ac:dyDescent="0.3">
      <c r="B53" s="21" t="s">
        <v>29</v>
      </c>
      <c r="C53" s="21" t="s">
        <v>521</v>
      </c>
      <c r="E53" s="22">
        <v>5.7143395460194899</v>
      </c>
      <c r="F53" s="22">
        <v>-6.5710258483865003</v>
      </c>
      <c r="G53" s="68" t="s">
        <v>437</v>
      </c>
      <c r="H53" s="21" t="s">
        <v>62</v>
      </c>
      <c r="I53" s="21" t="s">
        <v>62</v>
      </c>
      <c r="J53" s="29"/>
      <c r="K53" s="23">
        <v>112</v>
      </c>
      <c r="L53" s="75" t="s">
        <v>437</v>
      </c>
      <c r="M53" s="24"/>
      <c r="N53" s="79"/>
      <c r="O53" s="24">
        <v>18</v>
      </c>
      <c r="P53" s="79" t="s">
        <v>676</v>
      </c>
      <c r="Q53" s="24"/>
      <c r="R53" s="25"/>
      <c r="S53" s="83"/>
      <c r="T53" s="25"/>
      <c r="U53" s="83"/>
      <c r="V53" s="25"/>
      <c r="W53" s="46"/>
      <c r="X53" s="29"/>
      <c r="Y53" s="21" t="s">
        <v>1031</v>
      </c>
      <c r="Z53" s="21" t="s">
        <v>1034</v>
      </c>
      <c r="AB53" s="21" t="s">
        <v>198</v>
      </c>
      <c r="AC53" s="25"/>
    </row>
    <row r="54" spans="2:29" s="21" customFormat="1" outlineLevel="1" x14ac:dyDescent="0.3">
      <c r="B54" s="21" t="s">
        <v>124</v>
      </c>
      <c r="C54" s="21" t="s">
        <v>522</v>
      </c>
      <c r="E54" s="22">
        <v>5.9536319999999998</v>
      </c>
      <c r="F54" s="22">
        <v>-4.8474599999999999</v>
      </c>
      <c r="G54" s="68" t="s">
        <v>443</v>
      </c>
      <c r="H54" s="21" t="s">
        <v>62</v>
      </c>
      <c r="I54" s="21" t="s">
        <v>62</v>
      </c>
      <c r="J54" s="29"/>
      <c r="K54" s="23">
        <v>91</v>
      </c>
      <c r="L54" s="75" t="s">
        <v>439</v>
      </c>
      <c r="M54" s="24"/>
      <c r="N54" s="79"/>
      <c r="O54" s="24"/>
      <c r="P54" s="79"/>
      <c r="Q54" s="24"/>
      <c r="R54" s="25"/>
      <c r="S54" s="83"/>
      <c r="T54" s="25"/>
      <c r="U54" s="83"/>
      <c r="V54" s="25"/>
      <c r="W54" s="46"/>
      <c r="X54" s="29"/>
      <c r="Y54" s="21" t="s">
        <v>1031</v>
      </c>
      <c r="Z54" s="21" t="s">
        <v>1034</v>
      </c>
      <c r="AB54" s="21" t="s">
        <v>198</v>
      </c>
      <c r="AC54" s="25"/>
    </row>
    <row r="55" spans="2:29" s="21" customFormat="1" outlineLevel="1" x14ac:dyDescent="0.3">
      <c r="B55" s="21" t="s">
        <v>119</v>
      </c>
      <c r="C55" s="21" t="s">
        <v>523</v>
      </c>
      <c r="E55" s="22">
        <v>5.9411110000000003</v>
      </c>
      <c r="F55" s="22">
        <v>-3.424722</v>
      </c>
      <c r="G55" s="68" t="s">
        <v>443</v>
      </c>
      <c r="H55" s="21" t="s">
        <v>120</v>
      </c>
      <c r="I55" s="21" t="s">
        <v>120</v>
      </c>
      <c r="J55" s="29"/>
      <c r="K55" s="23">
        <v>100</v>
      </c>
      <c r="L55" s="75" t="s">
        <v>439</v>
      </c>
      <c r="M55" s="24"/>
      <c r="N55" s="79"/>
      <c r="O55" s="24"/>
      <c r="P55" s="79"/>
      <c r="Q55" s="24"/>
      <c r="R55" s="25"/>
      <c r="S55" s="83"/>
      <c r="T55" s="25"/>
      <c r="U55" s="83"/>
      <c r="V55" s="25"/>
      <c r="W55" s="46"/>
      <c r="X55" s="29"/>
      <c r="Y55" s="21" t="s">
        <v>1031</v>
      </c>
      <c r="Z55" s="21" t="s">
        <v>1034</v>
      </c>
      <c r="AB55" s="21" t="s">
        <v>198</v>
      </c>
      <c r="AC55" s="25"/>
    </row>
    <row r="56" spans="2:29" s="21" customFormat="1" outlineLevel="1" x14ac:dyDescent="0.3">
      <c r="B56" s="21" t="s">
        <v>121</v>
      </c>
      <c r="C56" s="21" t="s">
        <v>523</v>
      </c>
      <c r="E56" s="22">
        <v>5.7670399999999997</v>
      </c>
      <c r="F56" s="22">
        <v>-3.4332600000000002</v>
      </c>
      <c r="G56" s="68" t="s">
        <v>443</v>
      </c>
      <c r="H56" s="21" t="s">
        <v>120</v>
      </c>
      <c r="I56" s="21" t="s">
        <v>120</v>
      </c>
      <c r="J56" s="29"/>
      <c r="K56" s="23">
        <v>90</v>
      </c>
      <c r="L56" s="75" t="s">
        <v>439</v>
      </c>
      <c r="M56" s="24"/>
      <c r="N56" s="79"/>
      <c r="O56" s="24"/>
      <c r="P56" s="79"/>
      <c r="Q56" s="24"/>
      <c r="R56" s="25"/>
      <c r="S56" s="83"/>
      <c r="T56" s="25"/>
      <c r="U56" s="83"/>
      <c r="V56" s="25"/>
      <c r="W56" s="46"/>
      <c r="X56" s="29"/>
      <c r="Y56" s="21" t="s">
        <v>1031</v>
      </c>
      <c r="Z56" s="21" t="s">
        <v>1034</v>
      </c>
      <c r="AB56" s="21" t="s">
        <v>198</v>
      </c>
      <c r="AC56" s="25"/>
    </row>
    <row r="57" spans="2:29" s="21" customFormat="1" outlineLevel="1" x14ac:dyDescent="0.3">
      <c r="B57" s="21" t="s">
        <v>122</v>
      </c>
      <c r="C57" s="21" t="s">
        <v>523</v>
      </c>
      <c r="E57" s="22">
        <v>6.5833300000000001</v>
      </c>
      <c r="F57" s="22">
        <v>-5.3166700000000002</v>
      </c>
      <c r="G57" s="68" t="s">
        <v>443</v>
      </c>
      <c r="H57" s="21" t="s">
        <v>64</v>
      </c>
      <c r="I57" s="21" t="s">
        <v>64</v>
      </c>
      <c r="J57" s="29"/>
      <c r="K57" s="23">
        <v>78</v>
      </c>
      <c r="L57" s="75" t="s">
        <v>439</v>
      </c>
      <c r="M57" s="24"/>
      <c r="N57" s="79"/>
      <c r="O57" s="24"/>
      <c r="P57" s="79"/>
      <c r="Q57" s="24"/>
      <c r="R57" s="25"/>
      <c r="S57" s="83"/>
      <c r="T57" s="25"/>
      <c r="U57" s="83"/>
      <c r="V57" s="25"/>
      <c r="W57" s="46"/>
      <c r="X57" s="29"/>
      <c r="Y57" s="21" t="s">
        <v>1031</v>
      </c>
      <c r="Z57" s="21" t="s">
        <v>1034</v>
      </c>
      <c r="AB57" s="21" t="s">
        <v>198</v>
      </c>
      <c r="AC57" s="25"/>
    </row>
    <row r="58" spans="2:29" s="21" customFormat="1" outlineLevel="1" x14ac:dyDescent="0.3">
      <c r="B58" s="21" t="s">
        <v>125</v>
      </c>
      <c r="C58" s="21" t="s">
        <v>489</v>
      </c>
      <c r="E58" s="22">
        <v>6.6833299999999998</v>
      </c>
      <c r="F58" s="22">
        <v>-3.8</v>
      </c>
      <c r="G58" s="68" t="s">
        <v>443</v>
      </c>
      <c r="H58" s="21" t="s">
        <v>64</v>
      </c>
      <c r="I58" s="21" t="s">
        <v>64</v>
      </c>
      <c r="J58" s="29"/>
      <c r="K58" s="23">
        <v>90</v>
      </c>
      <c r="L58" s="75" t="s">
        <v>439</v>
      </c>
      <c r="M58" s="24"/>
      <c r="N58" s="79"/>
      <c r="O58" s="24"/>
      <c r="P58" s="79"/>
      <c r="Q58" s="24"/>
      <c r="R58" s="25"/>
      <c r="S58" s="83"/>
      <c r="T58" s="25"/>
      <c r="U58" s="83"/>
      <c r="V58" s="25"/>
      <c r="W58" s="46"/>
      <c r="X58" s="29"/>
      <c r="Y58" s="21" t="s">
        <v>1031</v>
      </c>
      <c r="Z58" s="21" t="s">
        <v>1034</v>
      </c>
      <c r="AB58" s="21" t="s">
        <v>198</v>
      </c>
      <c r="AC58" s="25"/>
    </row>
    <row r="59" spans="2:29" s="21" customFormat="1" outlineLevel="1" x14ac:dyDescent="0.3">
      <c r="B59" s="21" t="s">
        <v>26</v>
      </c>
      <c r="C59" s="21" t="s">
        <v>466</v>
      </c>
      <c r="E59" s="22">
        <v>6.6216758971610901</v>
      </c>
      <c r="F59" s="22">
        <v>-8.2703876495314006</v>
      </c>
      <c r="G59" s="68" t="s">
        <v>437</v>
      </c>
      <c r="H59" s="21" t="s">
        <v>63</v>
      </c>
      <c r="I59" s="21" t="s">
        <v>63</v>
      </c>
      <c r="J59" s="29"/>
      <c r="K59" s="23">
        <v>19.5</v>
      </c>
      <c r="L59" s="75" t="s">
        <v>437</v>
      </c>
      <c r="M59" s="24"/>
      <c r="N59" s="79"/>
      <c r="P59" s="45"/>
      <c r="Q59" s="24"/>
      <c r="R59" s="25"/>
      <c r="S59" s="83"/>
      <c r="T59" s="25"/>
      <c r="U59" s="83"/>
      <c r="V59" s="25"/>
      <c r="W59" s="46"/>
      <c r="X59" s="29"/>
      <c r="Y59" s="21" t="s">
        <v>1031</v>
      </c>
      <c r="Z59" s="21" t="s">
        <v>1034</v>
      </c>
      <c r="AB59" s="21" t="s">
        <v>198</v>
      </c>
      <c r="AC59" s="25"/>
    </row>
    <row r="60" spans="2:29" s="21" customFormat="1" outlineLevel="1" x14ac:dyDescent="0.3">
      <c r="B60" s="21" t="s">
        <v>126</v>
      </c>
      <c r="C60" s="21" t="s">
        <v>490</v>
      </c>
      <c r="E60" s="22"/>
      <c r="F60" s="22"/>
      <c r="G60" s="68"/>
      <c r="H60" s="21" t="s">
        <v>120</v>
      </c>
      <c r="I60" s="21" t="s">
        <v>120</v>
      </c>
      <c r="J60" s="29"/>
      <c r="K60" s="23">
        <v>150</v>
      </c>
      <c r="L60" s="75" t="s">
        <v>439</v>
      </c>
      <c r="M60" s="24"/>
      <c r="N60" s="79"/>
      <c r="O60" s="24"/>
      <c r="P60" s="79"/>
      <c r="Q60" s="24"/>
      <c r="R60" s="25"/>
      <c r="S60" s="83"/>
      <c r="T60" s="25"/>
      <c r="U60" s="83"/>
      <c r="V60" s="25"/>
      <c r="W60" s="46"/>
      <c r="X60" s="29"/>
      <c r="Y60" s="21" t="s">
        <v>1031</v>
      </c>
      <c r="Z60" s="21" t="s">
        <v>1034</v>
      </c>
      <c r="AB60" s="21" t="s">
        <v>198</v>
      </c>
      <c r="AC60" s="25"/>
    </row>
    <row r="61" spans="2:29" s="21" customFormat="1" outlineLevel="1" x14ac:dyDescent="0.3">
      <c r="B61" s="21" t="s">
        <v>123</v>
      </c>
      <c r="C61" s="21" t="s">
        <v>439</v>
      </c>
      <c r="E61" s="22"/>
      <c r="F61" s="22"/>
      <c r="G61" s="68"/>
      <c r="H61" s="21" t="s">
        <v>62</v>
      </c>
      <c r="I61" s="21" t="s">
        <v>62</v>
      </c>
      <c r="J61" s="29"/>
      <c r="K61" s="23">
        <v>156</v>
      </c>
      <c r="L61" s="75" t="s">
        <v>439</v>
      </c>
      <c r="M61" s="24"/>
      <c r="N61" s="79"/>
      <c r="O61" s="24"/>
      <c r="P61" s="79"/>
      <c r="Q61" s="24"/>
      <c r="R61" s="25"/>
      <c r="S61" s="83"/>
      <c r="T61" s="25"/>
      <c r="U61" s="83"/>
      <c r="V61" s="25"/>
      <c r="W61" s="46"/>
      <c r="X61" s="29"/>
      <c r="Y61" s="21" t="s">
        <v>1031</v>
      </c>
      <c r="Z61" s="21" t="s">
        <v>1034</v>
      </c>
      <c r="AB61" s="21" t="s">
        <v>198</v>
      </c>
      <c r="AC61" s="25"/>
    </row>
    <row r="62" spans="2:29" s="21" customFormat="1" outlineLevel="1" x14ac:dyDescent="0.3">
      <c r="B62" s="21" t="s">
        <v>128</v>
      </c>
      <c r="C62" s="21" t="s">
        <v>439</v>
      </c>
      <c r="E62" s="22"/>
      <c r="F62" s="22"/>
      <c r="G62" s="68"/>
      <c r="H62" s="21" t="s">
        <v>62</v>
      </c>
      <c r="I62" s="21" t="s">
        <v>62</v>
      </c>
      <c r="J62" s="29"/>
      <c r="K62" s="23">
        <v>32</v>
      </c>
      <c r="L62" s="75" t="s">
        <v>439</v>
      </c>
      <c r="M62" s="24"/>
      <c r="N62" s="79"/>
      <c r="O62" s="24"/>
      <c r="P62" s="79"/>
      <c r="Q62" s="24"/>
      <c r="R62" s="25"/>
      <c r="S62" s="83"/>
      <c r="T62" s="25"/>
      <c r="U62" s="83"/>
      <c r="V62" s="25"/>
      <c r="W62" s="46"/>
      <c r="X62" s="29"/>
      <c r="Y62" s="21" t="s">
        <v>1031</v>
      </c>
      <c r="Z62" s="21" t="s">
        <v>1034</v>
      </c>
      <c r="AB62" s="21" t="s">
        <v>198</v>
      </c>
      <c r="AC62" s="25"/>
    </row>
    <row r="63" spans="2:29" s="21" customFormat="1" outlineLevel="1" x14ac:dyDescent="0.3">
      <c r="B63" s="21" t="s">
        <v>1043</v>
      </c>
      <c r="C63" s="21" t="s">
        <v>491</v>
      </c>
      <c r="E63" s="22">
        <v>5.9</v>
      </c>
      <c r="F63" s="22">
        <v>-4.8166700000000002</v>
      </c>
      <c r="G63" s="68" t="s">
        <v>443</v>
      </c>
      <c r="H63" s="21" t="s">
        <v>64</v>
      </c>
      <c r="I63" s="21" t="s">
        <v>64</v>
      </c>
      <c r="J63" s="29"/>
      <c r="K63" s="23">
        <v>51</v>
      </c>
      <c r="L63" s="75" t="s">
        <v>439</v>
      </c>
      <c r="M63" s="24"/>
      <c r="N63" s="79"/>
      <c r="O63" s="24"/>
      <c r="P63" s="79"/>
      <c r="Q63" s="24"/>
      <c r="R63" s="51" t="s">
        <v>1029</v>
      </c>
      <c r="S63" s="83" t="s">
        <v>440</v>
      </c>
      <c r="T63" s="25"/>
      <c r="U63" s="83"/>
      <c r="V63" s="25"/>
      <c r="W63" s="46"/>
      <c r="X63" s="29"/>
      <c r="Y63" s="21" t="s">
        <v>1035</v>
      </c>
      <c r="AA63" s="21" t="s">
        <v>1037</v>
      </c>
      <c r="AB63" s="21" t="s">
        <v>4</v>
      </c>
      <c r="AC63" s="25"/>
    </row>
    <row r="64" spans="2:29" s="21" customFormat="1" outlineLevel="1" x14ac:dyDescent="0.3">
      <c r="B64" s="21" t="s">
        <v>384</v>
      </c>
      <c r="C64" s="21" t="s">
        <v>495</v>
      </c>
      <c r="E64" s="22">
        <v>5.5812506613500004</v>
      </c>
      <c r="F64" s="22">
        <v>-3.1591621041293001</v>
      </c>
      <c r="G64" s="68" t="s">
        <v>437</v>
      </c>
      <c r="H64" s="21" t="s">
        <v>56</v>
      </c>
      <c r="I64" s="21" t="s">
        <v>116</v>
      </c>
      <c r="J64" s="29"/>
      <c r="K64" s="23">
        <v>30</v>
      </c>
      <c r="L64" s="75" t="s">
        <v>437</v>
      </c>
      <c r="M64" s="24">
        <v>35</v>
      </c>
      <c r="N64" s="79"/>
      <c r="O64" s="24">
        <v>32.5</v>
      </c>
      <c r="P64" s="79" t="s">
        <v>634</v>
      </c>
      <c r="Q64" s="24"/>
      <c r="R64" s="25"/>
      <c r="S64" s="83"/>
      <c r="T64" s="25"/>
      <c r="U64" s="83"/>
      <c r="V64" s="25"/>
      <c r="W64" s="46"/>
      <c r="X64" s="29"/>
      <c r="Y64" s="21" t="s">
        <v>1035</v>
      </c>
      <c r="AA64" s="21" t="s">
        <v>1038</v>
      </c>
      <c r="AB64" s="21" t="s">
        <v>1231</v>
      </c>
      <c r="AC64" s="25"/>
    </row>
    <row r="65" spans="1:30" s="21" customFormat="1" outlineLevel="1" x14ac:dyDescent="0.3">
      <c r="B65" s="21" t="s">
        <v>127</v>
      </c>
      <c r="C65" s="21" t="s">
        <v>439</v>
      </c>
      <c r="E65" s="22"/>
      <c r="F65" s="22"/>
      <c r="G65" s="68"/>
      <c r="H65" s="21" t="s">
        <v>63</v>
      </c>
      <c r="I65" s="21" t="s">
        <v>63</v>
      </c>
      <c r="J65" s="29"/>
      <c r="K65" s="23">
        <v>1.6</v>
      </c>
      <c r="L65" s="75" t="s">
        <v>439</v>
      </c>
      <c r="M65" s="24"/>
      <c r="N65" s="79"/>
      <c r="P65" s="45"/>
      <c r="Q65" s="24"/>
      <c r="R65" s="25"/>
      <c r="S65" s="83"/>
      <c r="T65" s="25"/>
      <c r="U65" s="83"/>
      <c r="V65" s="25"/>
      <c r="W65" s="46"/>
      <c r="X65" s="29"/>
      <c r="Y65" s="21" t="s">
        <v>1035</v>
      </c>
      <c r="AA65" s="21" t="s">
        <v>1036</v>
      </c>
      <c r="AB65" s="21" t="s">
        <v>198</v>
      </c>
      <c r="AC65" s="25"/>
    </row>
    <row r="66" spans="1:30" s="21" customFormat="1" outlineLevel="1" x14ac:dyDescent="0.3">
      <c r="B66" s="21" t="s">
        <v>129</v>
      </c>
      <c r="C66" s="21" t="s">
        <v>439</v>
      </c>
      <c r="E66" s="22"/>
      <c r="F66" s="22"/>
      <c r="G66" s="68"/>
      <c r="H66" s="21" t="s">
        <v>56</v>
      </c>
      <c r="I66" s="21" t="s">
        <v>56</v>
      </c>
      <c r="J66" s="29"/>
      <c r="K66" s="23">
        <v>5</v>
      </c>
      <c r="L66" s="75" t="s">
        <v>439</v>
      </c>
      <c r="M66" s="24"/>
      <c r="N66" s="79"/>
      <c r="P66" s="45"/>
      <c r="Q66" s="24"/>
      <c r="R66" s="25"/>
      <c r="S66" s="83"/>
      <c r="T66" s="25"/>
      <c r="U66" s="83"/>
      <c r="V66" s="25"/>
      <c r="W66" s="46"/>
      <c r="X66" s="29"/>
      <c r="Y66" s="21" t="s">
        <v>1035</v>
      </c>
      <c r="AA66" s="21" t="s">
        <v>1036</v>
      </c>
      <c r="AB66" s="21" t="s">
        <v>198</v>
      </c>
      <c r="AC66" s="25"/>
    </row>
    <row r="67" spans="1:30" s="21" customFormat="1" outlineLevel="1" x14ac:dyDescent="0.3">
      <c r="B67" s="21" t="s">
        <v>130</v>
      </c>
      <c r="C67" s="21" t="s">
        <v>439</v>
      </c>
      <c r="E67" s="22"/>
      <c r="F67" s="22"/>
      <c r="G67" s="68"/>
      <c r="H67" s="21" t="s">
        <v>130</v>
      </c>
      <c r="I67" s="21" t="s">
        <v>130</v>
      </c>
      <c r="J67" s="29"/>
      <c r="K67" s="23">
        <v>0.3</v>
      </c>
      <c r="L67" s="75" t="s">
        <v>439</v>
      </c>
      <c r="M67" s="24"/>
      <c r="N67" s="79"/>
      <c r="P67" s="45"/>
      <c r="Q67" s="24"/>
      <c r="R67" s="25"/>
      <c r="S67" s="83"/>
      <c r="T67" s="25"/>
      <c r="U67" s="83"/>
      <c r="V67" s="25"/>
      <c r="W67" s="46"/>
      <c r="X67" s="29"/>
      <c r="Y67" s="21" t="s">
        <v>1035</v>
      </c>
      <c r="AA67" s="21" t="s">
        <v>1036</v>
      </c>
      <c r="AB67" s="21" t="s">
        <v>198</v>
      </c>
      <c r="AC67" s="25"/>
    </row>
    <row r="68" spans="1:30" s="21" customFormat="1" outlineLevel="1" x14ac:dyDescent="0.3">
      <c r="B68" s="21" t="s">
        <v>27</v>
      </c>
      <c r="C68" s="21" t="s">
        <v>512</v>
      </c>
      <c r="E68" s="22">
        <v>4.97290334568729</v>
      </c>
      <c r="F68" s="22">
        <v>-6.6518998146039898</v>
      </c>
      <c r="G68" s="68" t="s">
        <v>437</v>
      </c>
      <c r="H68" s="21" t="s">
        <v>236</v>
      </c>
      <c r="I68" s="21" t="s">
        <v>236</v>
      </c>
      <c r="J68" s="29"/>
      <c r="K68" s="23">
        <v>5</v>
      </c>
      <c r="L68" s="75" t="s">
        <v>437</v>
      </c>
      <c r="M68" s="24">
        <v>15</v>
      </c>
      <c r="N68" s="79" t="s">
        <v>443</v>
      </c>
      <c r="P68" s="45"/>
      <c r="Q68" s="24"/>
      <c r="R68" s="25"/>
      <c r="S68" s="83"/>
      <c r="T68" s="25"/>
      <c r="U68" s="83"/>
      <c r="V68" s="25"/>
      <c r="W68" s="46"/>
      <c r="X68" s="29"/>
      <c r="Y68" s="21" t="s">
        <v>1035</v>
      </c>
      <c r="AA68" s="21" t="s">
        <v>1036</v>
      </c>
      <c r="AB68" s="21" t="s">
        <v>1231</v>
      </c>
      <c r="AC68" s="25"/>
    </row>
    <row r="69" spans="1:30" x14ac:dyDescent="0.3">
      <c r="D69" s="1"/>
      <c r="J69" s="1"/>
      <c r="X69" s="1"/>
      <c r="AD69" s="3"/>
    </row>
    <row r="70" spans="1:30" x14ac:dyDescent="0.3">
      <c r="D70" s="1"/>
      <c r="J70" s="1"/>
      <c r="X70" s="1"/>
      <c r="AD70" s="3"/>
    </row>
    <row r="71" spans="1:30" ht="14.5" thickBot="1" x14ac:dyDescent="0.35">
      <c r="A71" s="2"/>
      <c r="B71" s="7" t="s">
        <v>32</v>
      </c>
      <c r="C71" s="7"/>
      <c r="D71" s="1"/>
      <c r="E71" s="8"/>
      <c r="F71" s="7"/>
      <c r="G71" s="40"/>
      <c r="H71" s="8"/>
      <c r="I71" s="8"/>
      <c r="J71" s="1"/>
      <c r="K71" s="11"/>
      <c r="L71" s="74"/>
      <c r="M71" s="7"/>
      <c r="N71" s="40"/>
      <c r="O71" s="18"/>
      <c r="P71" s="78"/>
      <c r="R71" s="15"/>
      <c r="S71" s="85"/>
      <c r="T71" s="15"/>
      <c r="U71" s="85"/>
      <c r="W71" s="41"/>
      <c r="X71" s="1"/>
      <c r="Y71" s="102"/>
      <c r="Z71" s="102"/>
      <c r="AA71" s="102"/>
      <c r="AB71" s="7"/>
    </row>
    <row r="72" spans="1:30" outlineLevel="1" x14ac:dyDescent="0.3">
      <c r="A72" s="2"/>
      <c r="B72" s="2" t="s">
        <v>108</v>
      </c>
      <c r="C72" s="2" t="s">
        <v>495</v>
      </c>
      <c r="D72" s="1"/>
      <c r="E72" s="4">
        <v>6.2998000000000003</v>
      </c>
      <c r="F72" s="4">
        <v>5.9400000000000001E-2</v>
      </c>
      <c r="G72" s="69" t="s">
        <v>437</v>
      </c>
      <c r="H72" s="2" t="s">
        <v>65</v>
      </c>
      <c r="I72" s="2" t="s">
        <v>65</v>
      </c>
      <c r="J72" s="1"/>
      <c r="K72" s="9">
        <v>1020</v>
      </c>
      <c r="L72" s="73" t="s">
        <v>437</v>
      </c>
      <c r="M72" s="16">
        <v>114</v>
      </c>
      <c r="N72" s="48" t="s">
        <v>438</v>
      </c>
      <c r="O72" s="16">
        <v>68.8</v>
      </c>
      <c r="P72" s="48" t="s">
        <v>681</v>
      </c>
      <c r="R72" s="13">
        <f>1.48017821*10^11</f>
        <v>148017821000</v>
      </c>
      <c r="S72" s="48" t="s">
        <v>681</v>
      </c>
      <c r="T72" s="12">
        <f>8502*10^6</f>
        <v>8502000000</v>
      </c>
      <c r="U72" s="48" t="s">
        <v>681</v>
      </c>
      <c r="W72" s="43" t="s">
        <v>734</v>
      </c>
      <c r="X72" s="1"/>
      <c r="Y72" s="2" t="s">
        <v>1031</v>
      </c>
      <c r="Z72" s="2" t="s">
        <v>1042</v>
      </c>
      <c r="AB72" s="2" t="s">
        <v>1231</v>
      </c>
    </row>
    <row r="73" spans="1:30" outlineLevel="1" x14ac:dyDescent="0.3">
      <c r="A73" s="2"/>
      <c r="B73" s="2" t="s">
        <v>33</v>
      </c>
      <c r="C73" s="2" t="s">
        <v>513</v>
      </c>
      <c r="D73" s="1"/>
      <c r="E73" s="4">
        <v>8.2771853773261004</v>
      </c>
      <c r="F73" s="4">
        <v>-2.2352027893078001</v>
      </c>
      <c r="G73" s="69" t="s">
        <v>437</v>
      </c>
      <c r="H73" s="2" t="s">
        <v>66</v>
      </c>
      <c r="I73" s="2" t="s">
        <v>65</v>
      </c>
      <c r="J73" s="1"/>
      <c r="K73" s="9">
        <v>400</v>
      </c>
      <c r="L73" s="73" t="s">
        <v>437</v>
      </c>
      <c r="M73" s="16">
        <v>108</v>
      </c>
      <c r="N73" s="48" t="s">
        <v>682</v>
      </c>
      <c r="O73" s="50">
        <v>80</v>
      </c>
      <c r="P73" s="81" t="s">
        <v>657</v>
      </c>
      <c r="R73" s="13">
        <f>12.57*10^9</f>
        <v>12570000000</v>
      </c>
      <c r="S73" s="84" t="s">
        <v>683</v>
      </c>
      <c r="T73" s="34">
        <f>444*10^6</f>
        <v>444000000</v>
      </c>
      <c r="U73" s="86" t="s">
        <v>684</v>
      </c>
      <c r="X73" s="1"/>
      <c r="Y73" s="2" t="s">
        <v>1031</v>
      </c>
      <c r="Z73" s="2" t="s">
        <v>1042</v>
      </c>
      <c r="AB73" s="2" t="s">
        <v>1231</v>
      </c>
    </row>
    <row r="74" spans="1:30" outlineLevel="1" x14ac:dyDescent="0.3">
      <c r="A74" s="2"/>
      <c r="B74" s="2" t="s">
        <v>110</v>
      </c>
      <c r="C74" s="2" t="s">
        <v>506</v>
      </c>
      <c r="D74" s="1"/>
      <c r="E74" s="4">
        <v>10.7646</v>
      </c>
      <c r="F74" s="4">
        <v>-0.3538</v>
      </c>
      <c r="G74" s="69" t="s">
        <v>685</v>
      </c>
      <c r="H74" s="2" t="s">
        <v>114</v>
      </c>
      <c r="I74" s="2" t="s">
        <v>65</v>
      </c>
      <c r="J74" s="1"/>
      <c r="K74" s="9">
        <v>48</v>
      </c>
      <c r="L74" s="48" t="s">
        <v>685</v>
      </c>
      <c r="M74" s="16">
        <v>41</v>
      </c>
      <c r="N74" s="48" t="s">
        <v>685</v>
      </c>
      <c r="O74" s="16">
        <v>31.2</v>
      </c>
      <c r="P74" s="48" t="s">
        <v>685</v>
      </c>
      <c r="R74" s="13">
        <f>4200*10^6</f>
        <v>4200000000</v>
      </c>
      <c r="S74" s="84" t="s">
        <v>685</v>
      </c>
      <c r="W74" s="43" t="s">
        <v>663</v>
      </c>
      <c r="X74" s="1"/>
      <c r="Y74" s="2" t="s">
        <v>1031</v>
      </c>
      <c r="Z74" s="2" t="s">
        <v>1042</v>
      </c>
      <c r="AB74" s="2" t="s">
        <v>4</v>
      </c>
    </row>
    <row r="75" spans="1:30" s="21" customFormat="1" outlineLevel="1" x14ac:dyDescent="0.3">
      <c r="B75" s="21" t="s">
        <v>352</v>
      </c>
      <c r="C75" s="2" t="s">
        <v>506</v>
      </c>
      <c r="D75" s="1"/>
      <c r="E75" s="31">
        <v>8.6832999999999991</v>
      </c>
      <c r="F75" s="22">
        <v>0.1167</v>
      </c>
      <c r="G75" s="68" t="s">
        <v>443</v>
      </c>
      <c r="H75" s="21" t="s">
        <v>115</v>
      </c>
      <c r="I75" s="21" t="s">
        <v>65</v>
      </c>
      <c r="J75" s="1"/>
      <c r="K75" s="23">
        <v>87</v>
      </c>
      <c r="L75" s="75" t="s">
        <v>440</v>
      </c>
      <c r="M75" s="24">
        <v>40</v>
      </c>
      <c r="N75" s="79" t="s">
        <v>562</v>
      </c>
      <c r="O75" s="26"/>
      <c r="P75" s="80"/>
      <c r="Q75" s="16"/>
      <c r="R75" s="25">
        <f>1200*10^6</f>
        <v>1200000000</v>
      </c>
      <c r="S75" s="83" t="s">
        <v>709</v>
      </c>
      <c r="T75" s="25"/>
      <c r="U75" s="83"/>
      <c r="V75" s="13"/>
      <c r="W75" s="43" t="s">
        <v>663</v>
      </c>
      <c r="X75" s="1"/>
      <c r="Y75" s="2" t="s">
        <v>1031</v>
      </c>
      <c r="Z75" s="2" t="s">
        <v>1042</v>
      </c>
      <c r="AA75" s="2"/>
      <c r="AB75" s="21" t="s">
        <v>4</v>
      </c>
      <c r="AC75" s="13"/>
    </row>
    <row r="76" spans="1:30" s="21" customFormat="1" outlineLevel="1" x14ac:dyDescent="0.3">
      <c r="B76" s="21" t="s">
        <v>353</v>
      </c>
      <c r="C76" s="21" t="s">
        <v>477</v>
      </c>
      <c r="D76" s="1"/>
      <c r="E76" s="22">
        <v>9.5285080000000004</v>
      </c>
      <c r="F76" s="22">
        <v>-1.3864920000000001</v>
      </c>
      <c r="G76" s="68" t="s">
        <v>560</v>
      </c>
      <c r="H76" s="21" t="s">
        <v>114</v>
      </c>
      <c r="I76" s="21" t="s">
        <v>65</v>
      </c>
      <c r="J76" s="1"/>
      <c r="K76" s="23">
        <v>43</v>
      </c>
      <c r="L76" s="75" t="s">
        <v>440</v>
      </c>
      <c r="M76" s="24">
        <v>27</v>
      </c>
      <c r="N76" s="79" t="s">
        <v>713</v>
      </c>
      <c r="O76" s="26"/>
      <c r="P76" s="80"/>
      <c r="Q76" s="16"/>
      <c r="R76" s="25">
        <f>3430*10^6</f>
        <v>3430000000</v>
      </c>
      <c r="S76" s="83" t="s">
        <v>709</v>
      </c>
      <c r="T76" s="25"/>
      <c r="U76" s="83"/>
      <c r="V76" s="13"/>
      <c r="W76" s="43" t="s">
        <v>663</v>
      </c>
      <c r="X76" s="1"/>
      <c r="Y76" s="2" t="s">
        <v>1031</v>
      </c>
      <c r="Z76" s="2" t="s">
        <v>1042</v>
      </c>
      <c r="AA76" s="2"/>
      <c r="AB76" s="21" t="s">
        <v>4</v>
      </c>
      <c r="AC76" s="13"/>
    </row>
    <row r="77" spans="1:30" outlineLevel="1" x14ac:dyDescent="0.3">
      <c r="A77" s="2"/>
      <c r="B77" s="2" t="s">
        <v>109</v>
      </c>
      <c r="C77" s="2" t="s">
        <v>542</v>
      </c>
      <c r="D77" s="1"/>
      <c r="E77" s="4">
        <v>9.8903990000000004</v>
      </c>
      <c r="F77" s="4">
        <v>-1.007906</v>
      </c>
      <c r="G77" s="69" t="s">
        <v>623</v>
      </c>
      <c r="H77" s="2" t="s">
        <v>114</v>
      </c>
      <c r="I77" s="2" t="s">
        <v>65</v>
      </c>
      <c r="J77" s="1"/>
      <c r="K77" s="9">
        <v>36</v>
      </c>
      <c r="L77" s="73" t="s">
        <v>440</v>
      </c>
      <c r="M77" s="16">
        <v>25</v>
      </c>
      <c r="N77" s="48" t="s">
        <v>692</v>
      </c>
      <c r="O77" s="26"/>
      <c r="P77" s="80"/>
      <c r="R77" s="13">
        <f>7200*10^6</f>
        <v>7200000000</v>
      </c>
      <c r="S77" s="83" t="s">
        <v>709</v>
      </c>
      <c r="W77" s="43" t="s">
        <v>663</v>
      </c>
      <c r="X77" s="1"/>
      <c r="Y77" s="2" t="s">
        <v>1031</v>
      </c>
      <c r="Z77" s="2" t="s">
        <v>1042</v>
      </c>
      <c r="AB77" s="2" t="s">
        <v>4</v>
      </c>
    </row>
    <row r="78" spans="1:30" s="21" customFormat="1" outlineLevel="1" x14ac:dyDescent="0.3">
      <c r="B78" s="44" t="s">
        <v>171</v>
      </c>
      <c r="C78" s="44" t="s">
        <v>489</v>
      </c>
      <c r="D78" s="29"/>
      <c r="E78" s="22">
        <v>8.4</v>
      </c>
      <c r="F78" s="22">
        <v>-2.2799999999999998</v>
      </c>
      <c r="G78" s="68" t="s">
        <v>443</v>
      </c>
      <c r="H78" s="21" t="s">
        <v>176</v>
      </c>
      <c r="I78" s="21" t="s">
        <v>65</v>
      </c>
      <c r="J78" s="29"/>
      <c r="K78" s="23">
        <v>95</v>
      </c>
      <c r="L78" s="75" t="s">
        <v>443</v>
      </c>
      <c r="M78" s="24"/>
      <c r="N78" s="79"/>
      <c r="O78" s="24"/>
      <c r="P78" s="79"/>
      <c r="Q78" s="24"/>
      <c r="R78" s="25"/>
      <c r="S78" s="83"/>
      <c r="T78" s="25"/>
      <c r="U78" s="83"/>
      <c r="V78" s="25"/>
      <c r="W78" s="46" t="s">
        <v>727</v>
      </c>
      <c r="X78" s="29"/>
      <c r="Y78" s="21" t="s">
        <v>1031</v>
      </c>
      <c r="Z78" s="21" t="s">
        <v>1034</v>
      </c>
      <c r="AB78" s="21" t="s">
        <v>198</v>
      </c>
      <c r="AC78" s="25"/>
    </row>
    <row r="79" spans="1:30" s="21" customFormat="1" outlineLevel="1" x14ac:dyDescent="0.3">
      <c r="B79" s="44" t="s">
        <v>169</v>
      </c>
      <c r="C79" s="44" t="s">
        <v>489</v>
      </c>
      <c r="D79" s="29"/>
      <c r="E79" s="22">
        <v>8.56</v>
      </c>
      <c r="F79" s="22">
        <v>-2.4</v>
      </c>
      <c r="G79" s="68" t="s">
        <v>443</v>
      </c>
      <c r="H79" s="21" t="s">
        <v>176</v>
      </c>
      <c r="I79" s="21" t="s">
        <v>65</v>
      </c>
      <c r="J79" s="29"/>
      <c r="K79" s="23">
        <v>64</v>
      </c>
      <c r="L79" s="75" t="s">
        <v>443</v>
      </c>
      <c r="M79" s="24"/>
      <c r="N79" s="79"/>
      <c r="O79" s="24"/>
      <c r="P79" s="79"/>
      <c r="Q79" s="24"/>
      <c r="R79" s="25">
        <f>1370*10^6</f>
        <v>1370000000</v>
      </c>
      <c r="S79" s="83" t="s">
        <v>709</v>
      </c>
      <c r="T79" s="25"/>
      <c r="U79" s="83"/>
      <c r="V79" s="25"/>
      <c r="W79" s="46" t="s">
        <v>722</v>
      </c>
      <c r="X79" s="29"/>
      <c r="Y79" s="21" t="s">
        <v>1031</v>
      </c>
      <c r="Z79" s="21" t="s">
        <v>1034</v>
      </c>
      <c r="AB79" s="21" t="s">
        <v>198</v>
      </c>
      <c r="AC79" s="25"/>
    </row>
    <row r="80" spans="1:30" s="21" customFormat="1" outlineLevel="1" x14ac:dyDescent="0.3">
      <c r="B80" s="44" t="s">
        <v>111</v>
      </c>
      <c r="C80" s="44" t="s">
        <v>543</v>
      </c>
      <c r="D80" s="29"/>
      <c r="E80" s="22">
        <v>5.3659999999999997</v>
      </c>
      <c r="F80" s="22">
        <v>-2.66</v>
      </c>
      <c r="G80" s="68" t="s">
        <v>443</v>
      </c>
      <c r="H80" s="21" t="s">
        <v>116</v>
      </c>
      <c r="I80" s="21" t="s">
        <v>116</v>
      </c>
      <c r="J80" s="29"/>
      <c r="K80" s="23">
        <v>56</v>
      </c>
      <c r="L80" s="75" t="s">
        <v>443</v>
      </c>
      <c r="M80" s="24">
        <v>35</v>
      </c>
      <c r="N80" s="79" t="s">
        <v>443</v>
      </c>
      <c r="O80" s="25"/>
      <c r="P80" s="83"/>
      <c r="Q80" s="24"/>
      <c r="R80" s="25"/>
      <c r="S80" s="83"/>
      <c r="T80" s="25"/>
      <c r="U80" s="83"/>
      <c r="V80" s="25"/>
      <c r="W80" s="46" t="s">
        <v>722</v>
      </c>
      <c r="X80" s="29"/>
      <c r="Y80" s="21" t="s">
        <v>1031</v>
      </c>
      <c r="Z80" s="21" t="s">
        <v>1034</v>
      </c>
      <c r="AB80" s="21" t="s">
        <v>198</v>
      </c>
      <c r="AC80" s="25"/>
    </row>
    <row r="81" spans="1:30" s="21" customFormat="1" outlineLevel="1" x14ac:dyDescent="0.3">
      <c r="B81" s="44" t="s">
        <v>170</v>
      </c>
      <c r="C81" s="44" t="s">
        <v>489</v>
      </c>
      <c r="D81" s="29"/>
      <c r="E81" s="22">
        <v>8.6336329999999997</v>
      </c>
      <c r="F81" s="22">
        <v>-1.7127330000000001</v>
      </c>
      <c r="G81" s="68" t="s">
        <v>443</v>
      </c>
      <c r="H81" s="21" t="s">
        <v>176</v>
      </c>
      <c r="I81" s="21" t="s">
        <v>65</v>
      </c>
      <c r="J81" s="29"/>
      <c r="K81" s="23">
        <v>55</v>
      </c>
      <c r="L81" s="75" t="s">
        <v>443</v>
      </c>
      <c r="M81" s="24"/>
      <c r="N81" s="79"/>
      <c r="O81" s="24"/>
      <c r="P81" s="79"/>
      <c r="Q81" s="24"/>
      <c r="R81" s="25"/>
      <c r="S81" s="83"/>
      <c r="T81" s="25"/>
      <c r="U81" s="83"/>
      <c r="V81" s="25"/>
      <c r="W81" s="46" t="s">
        <v>726</v>
      </c>
      <c r="X81" s="29"/>
      <c r="Y81" s="21" t="s">
        <v>1031</v>
      </c>
      <c r="Z81" s="21" t="s">
        <v>1034</v>
      </c>
      <c r="AB81" s="21" t="s">
        <v>198</v>
      </c>
      <c r="AC81" s="25"/>
    </row>
    <row r="82" spans="1:30" s="21" customFormat="1" outlineLevel="1" x14ac:dyDescent="0.3">
      <c r="B82" s="44" t="s">
        <v>174</v>
      </c>
      <c r="C82" s="44" t="s">
        <v>544</v>
      </c>
      <c r="D82" s="29"/>
      <c r="E82" s="22">
        <v>5.3842800000000004</v>
      </c>
      <c r="F82" s="22">
        <v>-1.6352100000000001</v>
      </c>
      <c r="G82" s="68" t="s">
        <v>443</v>
      </c>
      <c r="H82" s="21" t="s">
        <v>113</v>
      </c>
      <c r="I82" s="21" t="s">
        <v>113</v>
      </c>
      <c r="J82" s="29"/>
      <c r="K82" s="23">
        <v>50</v>
      </c>
      <c r="L82" s="75" t="s">
        <v>439</v>
      </c>
      <c r="M82" s="24"/>
      <c r="N82" s="79"/>
      <c r="O82" s="24"/>
      <c r="P82" s="79"/>
      <c r="Q82" s="24"/>
      <c r="R82" s="25"/>
      <c r="S82" s="83"/>
      <c r="T82" s="25"/>
      <c r="U82" s="83"/>
      <c r="V82" s="25"/>
      <c r="W82" s="46" t="s">
        <v>722</v>
      </c>
      <c r="X82" s="29"/>
      <c r="Y82" s="21" t="s">
        <v>1031</v>
      </c>
      <c r="Z82" s="21" t="s">
        <v>1034</v>
      </c>
      <c r="AB82" s="21" t="s">
        <v>198</v>
      </c>
      <c r="AC82" s="25"/>
    </row>
    <row r="83" spans="1:30" s="21" customFormat="1" outlineLevel="1" x14ac:dyDescent="0.3">
      <c r="B83" s="44" t="s">
        <v>249</v>
      </c>
      <c r="C83" s="44" t="s">
        <v>527</v>
      </c>
      <c r="D83" s="29"/>
      <c r="E83" s="22">
        <v>6.5277599999999998</v>
      </c>
      <c r="F83" s="22">
        <v>-0.97672899999999996</v>
      </c>
      <c r="G83" s="68" t="s">
        <v>443</v>
      </c>
      <c r="H83" s="21" t="s">
        <v>113</v>
      </c>
      <c r="I83" s="21" t="s">
        <v>113</v>
      </c>
      <c r="J83" s="29"/>
      <c r="K83" s="23">
        <v>50</v>
      </c>
      <c r="L83" s="75" t="s">
        <v>439</v>
      </c>
      <c r="M83" s="24">
        <v>34</v>
      </c>
      <c r="N83" s="79" t="s">
        <v>443</v>
      </c>
      <c r="O83" s="25"/>
      <c r="P83" s="83"/>
      <c r="Q83" s="24"/>
      <c r="R83" s="25"/>
      <c r="S83" s="83"/>
      <c r="T83" s="25"/>
      <c r="U83" s="83"/>
      <c r="V83" s="25"/>
      <c r="W83" s="46" t="s">
        <v>722</v>
      </c>
      <c r="X83" s="29"/>
      <c r="Y83" s="21" t="s">
        <v>1031</v>
      </c>
      <c r="Z83" s="21" t="s">
        <v>1034</v>
      </c>
      <c r="AB83" s="21" t="s">
        <v>198</v>
      </c>
      <c r="AC83" s="25"/>
    </row>
    <row r="84" spans="1:30" s="21" customFormat="1" outlineLevel="1" x14ac:dyDescent="0.3">
      <c r="B84" s="44" t="s">
        <v>175</v>
      </c>
      <c r="C84" s="44" t="s">
        <v>523</v>
      </c>
      <c r="D84" s="29"/>
      <c r="E84" s="22">
        <v>6.2152000000000003</v>
      </c>
      <c r="F84" s="22">
        <v>-2.5777000000000001</v>
      </c>
      <c r="G84" s="68" t="s">
        <v>443</v>
      </c>
      <c r="H84" s="21" t="s">
        <v>113</v>
      </c>
      <c r="I84" s="21" t="s">
        <v>113</v>
      </c>
      <c r="J84" s="29"/>
      <c r="K84" s="23">
        <v>30</v>
      </c>
      <c r="L84" s="75" t="s">
        <v>443</v>
      </c>
      <c r="M84" s="24"/>
      <c r="N84" s="79"/>
      <c r="O84" s="24"/>
      <c r="P84" s="79"/>
      <c r="Q84" s="24"/>
      <c r="R84" s="25"/>
      <c r="S84" s="83"/>
      <c r="T84" s="25"/>
      <c r="U84" s="83"/>
      <c r="V84" s="25"/>
      <c r="W84" s="105"/>
      <c r="X84" s="29"/>
      <c r="Y84" s="21" t="s">
        <v>1031</v>
      </c>
      <c r="Z84" s="21" t="s">
        <v>1034</v>
      </c>
      <c r="AB84" s="21" t="s">
        <v>198</v>
      </c>
      <c r="AC84" s="25"/>
    </row>
    <row r="85" spans="1:30" s="21" customFormat="1" outlineLevel="1" x14ac:dyDescent="0.3">
      <c r="B85" s="44" t="s">
        <v>172</v>
      </c>
      <c r="C85" s="44" t="s">
        <v>523</v>
      </c>
      <c r="D85" s="29"/>
      <c r="E85" s="22">
        <v>5.25</v>
      </c>
      <c r="F85" s="22">
        <v>-1.9</v>
      </c>
      <c r="G85" s="68" t="s">
        <v>443</v>
      </c>
      <c r="H85" s="21" t="s">
        <v>116</v>
      </c>
      <c r="I85" s="21" t="s">
        <v>116</v>
      </c>
      <c r="J85" s="29"/>
      <c r="K85" s="23">
        <v>25</v>
      </c>
      <c r="L85" s="75" t="s">
        <v>443</v>
      </c>
      <c r="M85" s="24"/>
      <c r="N85" s="79"/>
      <c r="O85" s="24"/>
      <c r="P85" s="79"/>
      <c r="Q85" s="24"/>
      <c r="R85" s="25"/>
      <c r="S85" s="83"/>
      <c r="T85" s="25"/>
      <c r="U85" s="83"/>
      <c r="V85" s="25"/>
      <c r="W85" s="105"/>
      <c r="X85" s="29"/>
      <c r="Y85" s="21" t="s">
        <v>1031</v>
      </c>
      <c r="Z85" s="21" t="s">
        <v>1034</v>
      </c>
      <c r="AB85" s="21" t="s">
        <v>198</v>
      </c>
      <c r="AC85" s="25"/>
    </row>
    <row r="86" spans="1:30" s="21" customFormat="1" outlineLevel="1" x14ac:dyDescent="0.3">
      <c r="B86" s="44" t="s">
        <v>241</v>
      </c>
      <c r="C86" s="44" t="s">
        <v>523</v>
      </c>
      <c r="D86" s="29"/>
      <c r="E86" s="22">
        <v>5.7724000000000002</v>
      </c>
      <c r="F86" s="22">
        <v>-2.6797</v>
      </c>
      <c r="G86" s="68" t="s">
        <v>443</v>
      </c>
      <c r="H86" s="21" t="s">
        <v>116</v>
      </c>
      <c r="I86" s="21" t="s">
        <v>116</v>
      </c>
      <c r="J86" s="29"/>
      <c r="K86" s="23">
        <v>20</v>
      </c>
      <c r="L86" s="75" t="s">
        <v>443</v>
      </c>
      <c r="M86" s="24"/>
      <c r="N86" s="79"/>
      <c r="O86" s="24"/>
      <c r="P86" s="79"/>
      <c r="Q86" s="24"/>
      <c r="R86" s="25"/>
      <c r="S86" s="83"/>
      <c r="T86" s="25"/>
      <c r="U86" s="83"/>
      <c r="V86" s="25"/>
      <c r="W86" s="105"/>
      <c r="X86" s="29"/>
      <c r="Y86" s="21" t="s">
        <v>1031</v>
      </c>
      <c r="Z86" s="21" t="s">
        <v>1034</v>
      </c>
      <c r="AB86" s="21" t="s">
        <v>198</v>
      </c>
      <c r="AC86" s="25"/>
    </row>
    <row r="87" spans="1:30" s="21" customFormat="1" outlineLevel="1" x14ac:dyDescent="0.3">
      <c r="B87" s="44" t="s">
        <v>173</v>
      </c>
      <c r="C87" s="44" t="s">
        <v>523</v>
      </c>
      <c r="D87" s="29"/>
      <c r="E87" s="22">
        <v>5.9832999999999998</v>
      </c>
      <c r="F87" s="22">
        <v>-2.5667</v>
      </c>
      <c r="G87" s="68" t="s">
        <v>443</v>
      </c>
      <c r="H87" s="21" t="s">
        <v>116</v>
      </c>
      <c r="I87" s="21" t="s">
        <v>116</v>
      </c>
      <c r="J87" s="29"/>
      <c r="K87" s="23">
        <v>17</v>
      </c>
      <c r="L87" s="75" t="s">
        <v>439</v>
      </c>
      <c r="M87" s="24"/>
      <c r="N87" s="79"/>
      <c r="O87" s="24"/>
      <c r="P87" s="79"/>
      <c r="Q87" s="24"/>
      <c r="R87" s="25"/>
      <c r="S87" s="83"/>
      <c r="T87" s="25"/>
      <c r="U87" s="83"/>
      <c r="V87" s="25"/>
      <c r="W87" s="105"/>
      <c r="X87" s="29"/>
      <c r="Y87" s="21" t="s">
        <v>1031</v>
      </c>
      <c r="Z87" s="21" t="s">
        <v>1034</v>
      </c>
      <c r="AB87" s="21" t="s">
        <v>198</v>
      </c>
      <c r="AC87" s="25"/>
    </row>
    <row r="88" spans="1:30" s="21" customFormat="1" outlineLevel="1" x14ac:dyDescent="0.3">
      <c r="B88" s="21" t="s">
        <v>112</v>
      </c>
      <c r="C88" s="21" t="s">
        <v>438</v>
      </c>
      <c r="D88" s="29"/>
      <c r="E88" s="22"/>
      <c r="F88" s="22"/>
      <c r="G88" s="68"/>
      <c r="H88" s="21" t="s">
        <v>112</v>
      </c>
      <c r="I88" s="21" t="s">
        <v>112</v>
      </c>
      <c r="J88" s="29"/>
      <c r="K88" s="23">
        <v>140</v>
      </c>
      <c r="L88" s="75" t="s">
        <v>438</v>
      </c>
      <c r="M88" s="24"/>
      <c r="N88" s="79"/>
      <c r="O88" s="25"/>
      <c r="P88" s="83"/>
      <c r="Q88" s="24"/>
      <c r="R88" s="25"/>
      <c r="S88" s="83"/>
      <c r="T88" s="25"/>
      <c r="U88" s="83"/>
      <c r="V88" s="25"/>
      <c r="W88" s="46"/>
      <c r="X88" s="29"/>
      <c r="Y88" s="21" t="s">
        <v>1031</v>
      </c>
      <c r="Z88" s="21" t="s">
        <v>1034</v>
      </c>
      <c r="AB88" s="21" t="s">
        <v>198</v>
      </c>
      <c r="AC88" s="25"/>
    </row>
    <row r="89" spans="1:30" s="21" customFormat="1" outlineLevel="1" x14ac:dyDescent="0.3">
      <c r="B89" s="21" t="s">
        <v>1046</v>
      </c>
      <c r="C89" s="21" t="s">
        <v>506</v>
      </c>
      <c r="D89" s="29"/>
      <c r="E89" s="22">
        <v>5.18</v>
      </c>
      <c r="F89" s="22">
        <v>-1.56</v>
      </c>
      <c r="G89" s="68" t="s">
        <v>443</v>
      </c>
      <c r="H89" s="21" t="s">
        <v>113</v>
      </c>
      <c r="I89" s="21" t="s">
        <v>113</v>
      </c>
      <c r="J89" s="29"/>
      <c r="K89" s="23">
        <v>93</v>
      </c>
      <c r="L89" s="75" t="s">
        <v>440</v>
      </c>
      <c r="M89" s="24">
        <v>34</v>
      </c>
      <c r="N89" s="79" t="s">
        <v>443</v>
      </c>
      <c r="O89" s="24">
        <v>29.9</v>
      </c>
      <c r="P89" s="79" t="s">
        <v>693</v>
      </c>
      <c r="Q89" s="24"/>
      <c r="R89" s="51" t="s">
        <v>1029</v>
      </c>
      <c r="S89" s="83" t="s">
        <v>440</v>
      </c>
      <c r="T89" s="25"/>
      <c r="U89" s="83"/>
      <c r="V89" s="25"/>
      <c r="W89" s="46" t="s">
        <v>663</v>
      </c>
      <c r="X89" s="29"/>
      <c r="Y89" s="21" t="s">
        <v>1035</v>
      </c>
      <c r="AA89" s="21" t="s">
        <v>1037</v>
      </c>
      <c r="AB89" s="21" t="s">
        <v>4</v>
      </c>
      <c r="AC89" s="25"/>
    </row>
    <row r="90" spans="1:30" s="21" customFormat="1" outlineLevel="1" x14ac:dyDescent="0.3">
      <c r="B90" s="21" t="s">
        <v>1047</v>
      </c>
      <c r="C90" s="21" t="s">
        <v>495</v>
      </c>
      <c r="D90" s="29"/>
      <c r="E90" s="22">
        <v>6.1200999999999901</v>
      </c>
      <c r="F90" s="22">
        <v>0.1255</v>
      </c>
      <c r="G90" s="68" t="s">
        <v>437</v>
      </c>
      <c r="H90" s="21" t="s">
        <v>65</v>
      </c>
      <c r="I90" s="21" t="s">
        <v>65</v>
      </c>
      <c r="J90" s="29"/>
      <c r="K90" s="23">
        <v>160</v>
      </c>
      <c r="L90" s="75" t="s">
        <v>437</v>
      </c>
      <c r="M90" s="24">
        <v>24</v>
      </c>
      <c r="N90" s="79" t="s">
        <v>438</v>
      </c>
      <c r="O90" s="24">
        <v>11.75</v>
      </c>
      <c r="P90" s="79" t="s">
        <v>731</v>
      </c>
      <c r="Q90" s="24"/>
      <c r="R90" s="51" t="s">
        <v>1029</v>
      </c>
      <c r="S90" s="83" t="s">
        <v>734</v>
      </c>
      <c r="T90" s="25"/>
      <c r="U90" s="83"/>
      <c r="V90" s="25"/>
      <c r="W90" s="46"/>
      <c r="X90" s="29"/>
      <c r="Y90" s="21" t="s">
        <v>1035</v>
      </c>
      <c r="AA90" s="21" t="s">
        <v>1037</v>
      </c>
      <c r="AB90" s="21" t="s">
        <v>1231</v>
      </c>
      <c r="AC90" s="25"/>
    </row>
    <row r="91" spans="1:30" s="21" customFormat="1" outlineLevel="1" x14ac:dyDescent="0.3">
      <c r="B91" s="21" t="s">
        <v>177</v>
      </c>
      <c r="C91" s="21" t="s">
        <v>439</v>
      </c>
      <c r="D91" s="29"/>
      <c r="E91" s="22"/>
      <c r="F91" s="22"/>
      <c r="G91" s="68"/>
      <c r="H91" s="22" t="s">
        <v>180</v>
      </c>
      <c r="I91" s="21" t="s">
        <v>236</v>
      </c>
      <c r="J91" s="29"/>
      <c r="K91" s="23">
        <v>2.2400000000000002</v>
      </c>
      <c r="L91" s="75"/>
      <c r="N91" s="45"/>
      <c r="O91" s="24"/>
      <c r="P91" s="79"/>
      <c r="Q91" s="24"/>
      <c r="R91" s="25"/>
      <c r="S91" s="83"/>
      <c r="T91" s="25"/>
      <c r="U91" s="83"/>
      <c r="V91" s="25"/>
      <c r="W91" s="105"/>
      <c r="X91" s="29"/>
      <c r="Y91" s="21" t="s">
        <v>1035</v>
      </c>
      <c r="AA91" s="21" t="s">
        <v>1036</v>
      </c>
      <c r="AB91" s="21" t="s">
        <v>198</v>
      </c>
      <c r="AC91" s="25"/>
    </row>
    <row r="92" spans="1:30" x14ac:dyDescent="0.3">
      <c r="A92" s="2"/>
      <c r="D92" s="1"/>
      <c r="J92" s="1"/>
      <c r="K92" s="27"/>
      <c r="L92" s="76"/>
      <c r="X92" s="1"/>
    </row>
    <row r="93" spans="1:30" x14ac:dyDescent="0.3">
      <c r="D93" s="1"/>
      <c r="J93" s="1"/>
      <c r="X93" s="1"/>
      <c r="AD93" s="3"/>
    </row>
    <row r="94" spans="1:30" ht="14.5" thickBot="1" x14ac:dyDescent="0.35">
      <c r="B94" s="7" t="s">
        <v>22</v>
      </c>
      <c r="C94" s="7"/>
      <c r="D94" s="1"/>
      <c r="E94" s="8"/>
      <c r="F94" s="7"/>
      <c r="G94" s="40"/>
      <c r="H94" s="8"/>
      <c r="I94" s="8"/>
      <c r="J94" s="1"/>
      <c r="K94" s="11"/>
      <c r="L94" s="74"/>
      <c r="M94" s="7"/>
      <c r="N94" s="40"/>
      <c r="O94" s="18"/>
      <c r="P94" s="78"/>
      <c r="R94" s="15"/>
      <c r="S94" s="85"/>
      <c r="T94" s="15"/>
      <c r="U94" s="85"/>
      <c r="W94" s="41"/>
      <c r="X94" s="1"/>
      <c r="Y94" s="102"/>
      <c r="Z94" s="102"/>
      <c r="AA94" s="102"/>
      <c r="AB94" s="7"/>
    </row>
    <row r="95" spans="1:30" s="21" customFormat="1" outlineLevel="1" x14ac:dyDescent="0.3">
      <c r="B95" s="21" t="s">
        <v>242</v>
      </c>
      <c r="C95" s="21" t="s">
        <v>439</v>
      </c>
      <c r="D95" s="29"/>
      <c r="E95" s="22"/>
      <c r="F95" s="22"/>
      <c r="G95" s="68"/>
      <c r="H95" s="21" t="s">
        <v>227</v>
      </c>
      <c r="I95" s="21" t="s">
        <v>227</v>
      </c>
      <c r="J95" s="29"/>
      <c r="K95" s="23">
        <v>30</v>
      </c>
      <c r="L95" s="75" t="s">
        <v>439</v>
      </c>
      <c r="M95" s="24"/>
      <c r="N95" s="79"/>
      <c r="O95" s="24"/>
      <c r="P95" s="79"/>
      <c r="Q95" s="24"/>
      <c r="R95" s="25"/>
      <c r="S95" s="83"/>
      <c r="T95" s="25"/>
      <c r="U95" s="83"/>
      <c r="V95" s="25"/>
      <c r="W95" s="46" t="s">
        <v>739</v>
      </c>
      <c r="X95" s="29"/>
      <c r="Y95" s="21" t="s">
        <v>1035</v>
      </c>
      <c r="AA95" s="21" t="s">
        <v>1037</v>
      </c>
      <c r="AB95" s="21" t="s">
        <v>198</v>
      </c>
      <c r="AC95" s="25"/>
    </row>
    <row r="96" spans="1:30" s="21" customFormat="1" outlineLevel="1" x14ac:dyDescent="0.3">
      <c r="B96" s="21" t="s">
        <v>1048</v>
      </c>
      <c r="C96" s="21" t="s">
        <v>488</v>
      </c>
      <c r="D96" s="29"/>
      <c r="E96" s="22">
        <v>11.6205149665509</v>
      </c>
      <c r="F96" s="22">
        <v>-14.683133661749</v>
      </c>
      <c r="G96" s="68" t="s">
        <v>437</v>
      </c>
      <c r="H96" s="21" t="s">
        <v>227</v>
      </c>
      <c r="I96" s="21" t="s">
        <v>227</v>
      </c>
      <c r="J96" s="29"/>
      <c r="K96" s="23">
        <v>20</v>
      </c>
      <c r="L96" s="75" t="s">
        <v>437</v>
      </c>
      <c r="M96" s="24">
        <v>15</v>
      </c>
      <c r="N96" s="79" t="s">
        <v>740</v>
      </c>
      <c r="O96" s="24">
        <v>13</v>
      </c>
      <c r="P96" s="79" t="s">
        <v>740</v>
      </c>
      <c r="Q96" s="24"/>
      <c r="R96" s="51" t="s">
        <v>1029</v>
      </c>
      <c r="S96" s="83" t="s">
        <v>440</v>
      </c>
      <c r="T96" s="25"/>
      <c r="U96" s="83"/>
      <c r="V96" s="25"/>
      <c r="W96" s="46" t="s">
        <v>739</v>
      </c>
      <c r="X96" s="29"/>
      <c r="Y96" s="21" t="s">
        <v>1035</v>
      </c>
      <c r="AA96" s="21" t="s">
        <v>1037</v>
      </c>
      <c r="AB96" s="21" t="s">
        <v>4</v>
      </c>
      <c r="AC96" s="25"/>
    </row>
    <row r="97" spans="1:30" x14ac:dyDescent="0.3">
      <c r="B97" s="1"/>
      <c r="C97" s="1"/>
      <c r="D97" s="1"/>
      <c r="J97" s="1"/>
      <c r="K97" s="6"/>
      <c r="L97" s="77"/>
      <c r="W97" s="36"/>
      <c r="X97" s="1"/>
    </row>
    <row r="98" spans="1:30" x14ac:dyDescent="0.3">
      <c r="B98" s="1"/>
      <c r="C98" s="1"/>
      <c r="D98" s="1"/>
      <c r="J98" s="1"/>
      <c r="K98" s="6"/>
      <c r="L98" s="77"/>
      <c r="W98" s="36"/>
      <c r="X98" s="1"/>
    </row>
    <row r="99" spans="1:30" ht="14.5" thickBot="1" x14ac:dyDescent="0.35">
      <c r="A99" s="2"/>
      <c r="B99" s="7" t="s">
        <v>7</v>
      </c>
      <c r="C99" s="7"/>
      <c r="D99" s="1"/>
      <c r="E99" s="8"/>
      <c r="F99" s="7"/>
      <c r="G99" s="40"/>
      <c r="H99" s="8"/>
      <c r="I99" s="8"/>
      <c r="J99" s="1"/>
      <c r="K99" s="11"/>
      <c r="L99" s="74"/>
      <c r="M99" s="7"/>
      <c r="N99" s="40"/>
      <c r="O99" s="18"/>
      <c r="P99" s="78"/>
      <c r="R99" s="15"/>
      <c r="S99" s="85"/>
      <c r="T99" s="15"/>
      <c r="U99" s="85"/>
      <c r="W99" s="41"/>
      <c r="X99" s="1"/>
      <c r="Y99" s="102"/>
      <c r="Z99" s="102"/>
      <c r="AA99" s="102"/>
      <c r="AB99" s="7"/>
    </row>
    <row r="100" spans="1:30" s="21" customFormat="1" outlineLevel="1" x14ac:dyDescent="0.3">
      <c r="B100" s="21" t="s">
        <v>9</v>
      </c>
      <c r="C100" s="21" t="s">
        <v>504</v>
      </c>
      <c r="E100" s="22">
        <v>10.4250928646919</v>
      </c>
      <c r="F100" s="22">
        <v>-13.2501983642599</v>
      </c>
      <c r="G100" s="68" t="s">
        <v>437</v>
      </c>
      <c r="H100" s="21" t="s">
        <v>59</v>
      </c>
      <c r="I100" s="21" t="s">
        <v>59</v>
      </c>
      <c r="J100" s="29"/>
      <c r="K100" s="23">
        <v>515</v>
      </c>
      <c r="L100" s="75" t="s">
        <v>437</v>
      </c>
      <c r="N100" s="45"/>
      <c r="O100" s="24">
        <v>130</v>
      </c>
      <c r="P100" s="79" t="s">
        <v>747</v>
      </c>
      <c r="Q100" s="24"/>
      <c r="R100" s="25">
        <f>1.73*10^10</f>
        <v>17300000000</v>
      </c>
      <c r="S100" s="83" t="s">
        <v>748</v>
      </c>
      <c r="T100" s="25">
        <f>652*10^6</f>
        <v>652000000</v>
      </c>
      <c r="U100" s="83" t="s">
        <v>749</v>
      </c>
      <c r="V100" s="25"/>
      <c r="W100" s="46"/>
      <c r="X100" s="29"/>
      <c r="Y100" s="21" t="s">
        <v>1031</v>
      </c>
      <c r="Z100" s="21" t="s">
        <v>1042</v>
      </c>
      <c r="AB100" s="21" t="s">
        <v>1232</v>
      </c>
      <c r="AC100" s="25"/>
    </row>
    <row r="101" spans="1:30" s="21" customFormat="1" outlineLevel="1" x14ac:dyDescent="0.3">
      <c r="B101" s="21" t="s">
        <v>141</v>
      </c>
      <c r="C101" s="21" t="s">
        <v>493</v>
      </c>
      <c r="E101" s="22">
        <v>10.2572049181009</v>
      </c>
      <c r="F101" s="22">
        <v>-13.5861139307929</v>
      </c>
      <c r="G101" s="68" t="s">
        <v>437</v>
      </c>
      <c r="H101" s="21" t="s">
        <v>59</v>
      </c>
      <c r="I101" s="21" t="s">
        <v>59</v>
      </c>
      <c r="J101" s="29"/>
      <c r="K101" s="23">
        <v>300</v>
      </c>
      <c r="L101" s="75" t="s">
        <v>437</v>
      </c>
      <c r="M101" s="24">
        <v>60</v>
      </c>
      <c r="N101" s="79" t="s">
        <v>750</v>
      </c>
      <c r="O101" s="25"/>
      <c r="P101" s="83"/>
      <c r="Q101" s="24"/>
      <c r="R101" s="25">
        <f>1.65*10^10</f>
        <v>16500000000</v>
      </c>
      <c r="S101" s="83" t="s">
        <v>751</v>
      </c>
      <c r="T101" s="25"/>
      <c r="U101" s="83"/>
      <c r="V101" s="25"/>
      <c r="W101" s="46"/>
      <c r="X101" s="29"/>
      <c r="Y101" s="21" t="s">
        <v>1031</v>
      </c>
      <c r="Z101" s="21" t="s">
        <v>1042</v>
      </c>
      <c r="AB101" s="21" t="s">
        <v>4</v>
      </c>
      <c r="AC101" s="25"/>
    </row>
    <row r="102" spans="1:30" s="21" customFormat="1" outlineLevel="1" x14ac:dyDescent="0.3">
      <c r="B102" s="21" t="s">
        <v>201</v>
      </c>
      <c r="C102" s="21" t="s">
        <v>493</v>
      </c>
      <c r="E102" s="22">
        <v>11.2713232865649</v>
      </c>
      <c r="F102" s="22">
        <v>-11.382780075068</v>
      </c>
      <c r="G102" s="68" t="s">
        <v>437</v>
      </c>
      <c r="H102" s="21" t="s">
        <v>57</v>
      </c>
      <c r="I102" s="21" t="s">
        <v>6</v>
      </c>
      <c r="J102" s="29"/>
      <c r="K102" s="23">
        <v>294</v>
      </c>
      <c r="L102" s="75" t="s">
        <v>437</v>
      </c>
      <c r="M102" s="24">
        <v>87</v>
      </c>
      <c r="N102" s="79" t="s">
        <v>752</v>
      </c>
      <c r="O102" s="28">
        <v>83.7</v>
      </c>
      <c r="P102" s="79" t="s">
        <v>753</v>
      </c>
      <c r="Q102" s="24"/>
      <c r="R102" s="25">
        <f>3.6*10^9</f>
        <v>3600000000</v>
      </c>
      <c r="S102" s="83" t="s">
        <v>752</v>
      </c>
      <c r="T102" s="25"/>
      <c r="U102" s="83"/>
      <c r="V102" s="25"/>
      <c r="W102" s="46"/>
      <c r="X102" s="29"/>
      <c r="Y102" s="21" t="s">
        <v>1031</v>
      </c>
      <c r="Z102" s="21" t="s">
        <v>1042</v>
      </c>
      <c r="AB102" s="21" t="s">
        <v>4</v>
      </c>
      <c r="AC102" s="25"/>
    </row>
    <row r="103" spans="1:30" s="21" customFormat="1" outlineLevel="1" x14ac:dyDescent="0.3">
      <c r="B103" s="21" t="s">
        <v>82</v>
      </c>
      <c r="C103" s="21" t="s">
        <v>469</v>
      </c>
      <c r="E103" s="22">
        <v>10.62083333</v>
      </c>
      <c r="F103" s="22">
        <v>-11.74583333</v>
      </c>
      <c r="G103" s="68" t="s">
        <v>754</v>
      </c>
      <c r="H103" s="21" t="s">
        <v>57</v>
      </c>
      <c r="I103" s="21" t="s">
        <v>6</v>
      </c>
      <c r="J103" s="29"/>
      <c r="K103" s="23">
        <v>181</v>
      </c>
      <c r="L103" s="75" t="s">
        <v>440</v>
      </c>
      <c r="N103" s="45"/>
      <c r="O103" s="24">
        <v>190</v>
      </c>
      <c r="P103" s="79" t="s">
        <v>753</v>
      </c>
      <c r="Q103" s="24"/>
      <c r="R103" s="25">
        <f>1.267*10^9</f>
        <v>1267000000</v>
      </c>
      <c r="S103" s="79" t="s">
        <v>753</v>
      </c>
      <c r="T103" s="25"/>
      <c r="U103" s="83"/>
      <c r="V103" s="25"/>
      <c r="W103" s="46"/>
      <c r="X103" s="29"/>
      <c r="Y103" s="21" t="s">
        <v>1031</v>
      </c>
      <c r="Z103" s="21" t="s">
        <v>1042</v>
      </c>
      <c r="AB103" s="21" t="s">
        <v>4</v>
      </c>
      <c r="AC103" s="25"/>
    </row>
    <row r="104" spans="1:30" s="21" customFormat="1" outlineLevel="1" x14ac:dyDescent="0.3">
      <c r="B104" s="21" t="s">
        <v>204</v>
      </c>
      <c r="C104" s="21" t="s">
        <v>506</v>
      </c>
      <c r="E104" s="22">
        <v>11.733333330000001</v>
      </c>
      <c r="F104" s="22">
        <v>-10.75</v>
      </c>
      <c r="G104" s="68" t="s">
        <v>755</v>
      </c>
      <c r="H104" s="21" t="s">
        <v>57</v>
      </c>
      <c r="I104" s="21" t="s">
        <v>6</v>
      </c>
      <c r="J104" s="29"/>
      <c r="K104" s="23">
        <v>161</v>
      </c>
      <c r="L104" s="75" t="s">
        <v>755</v>
      </c>
      <c r="M104" s="28">
        <v>64</v>
      </c>
      <c r="N104" s="79" t="s">
        <v>755</v>
      </c>
      <c r="O104" s="21">
        <v>54</v>
      </c>
      <c r="P104" s="79" t="s">
        <v>753</v>
      </c>
      <c r="Q104" s="24"/>
      <c r="R104" s="25">
        <f>4900*1000^2</f>
        <v>4900000000</v>
      </c>
      <c r="S104" s="79" t="s">
        <v>755</v>
      </c>
      <c r="T104" s="25"/>
      <c r="U104" s="83"/>
      <c r="V104" s="25"/>
      <c r="W104" s="46"/>
      <c r="X104" s="29"/>
      <c r="Y104" s="21" t="s">
        <v>1031</v>
      </c>
      <c r="Z104" s="21" t="s">
        <v>1042</v>
      </c>
      <c r="AB104" s="21" t="s">
        <v>4</v>
      </c>
      <c r="AC104" s="25"/>
    </row>
    <row r="105" spans="1:30" s="21" customFormat="1" outlineLevel="1" x14ac:dyDescent="0.3">
      <c r="B105" s="21" t="s">
        <v>362</v>
      </c>
      <c r="C105" s="21" t="s">
        <v>470</v>
      </c>
      <c r="E105" s="22">
        <v>9.795356</v>
      </c>
      <c r="F105" s="22">
        <v>-9.2751210000000004</v>
      </c>
      <c r="G105" s="68" t="s">
        <v>756</v>
      </c>
      <c r="H105" s="21" t="s">
        <v>100</v>
      </c>
      <c r="I105" s="21" t="s">
        <v>25</v>
      </c>
      <c r="J105" s="29"/>
      <c r="K105" s="23">
        <v>102</v>
      </c>
      <c r="L105" s="79" t="s">
        <v>783</v>
      </c>
      <c r="M105" s="24">
        <v>37</v>
      </c>
      <c r="N105" s="79" t="s">
        <v>783</v>
      </c>
      <c r="O105" s="24">
        <v>26</v>
      </c>
      <c r="P105" s="79" t="s">
        <v>783</v>
      </c>
      <c r="Q105" s="24"/>
      <c r="R105" s="25">
        <f>1300*10^6</f>
        <v>1300000000</v>
      </c>
      <c r="S105" s="79" t="s">
        <v>783</v>
      </c>
      <c r="T105" s="52"/>
      <c r="U105" s="87"/>
      <c r="V105" s="25"/>
      <c r="W105" s="46"/>
      <c r="X105" s="29"/>
      <c r="Y105" s="21" t="s">
        <v>1031</v>
      </c>
      <c r="Z105" s="21" t="s">
        <v>1042</v>
      </c>
      <c r="AB105" s="21" t="s">
        <v>4</v>
      </c>
      <c r="AC105" s="25"/>
    </row>
    <row r="106" spans="1:30" s="21" customFormat="1" outlineLevel="1" x14ac:dyDescent="0.3">
      <c r="B106" s="21" t="s">
        <v>10</v>
      </c>
      <c r="C106" s="21" t="s">
        <v>507</v>
      </c>
      <c r="E106" s="22">
        <v>10.5282999999999</v>
      </c>
      <c r="F106" s="22">
        <v>-12.663500000000001</v>
      </c>
      <c r="G106" s="68" t="s">
        <v>437</v>
      </c>
      <c r="H106" s="21" t="s">
        <v>59</v>
      </c>
      <c r="I106" s="21" t="s">
        <v>59</v>
      </c>
      <c r="J106" s="29"/>
      <c r="K106" s="23">
        <v>75</v>
      </c>
      <c r="L106" s="75" t="s">
        <v>437</v>
      </c>
      <c r="M106" s="24">
        <v>80</v>
      </c>
      <c r="N106" s="79" t="s">
        <v>438</v>
      </c>
      <c r="O106" s="25"/>
      <c r="P106" s="83"/>
      <c r="Q106" s="24"/>
      <c r="R106" s="25">
        <f>1.6*10^9</f>
        <v>1600000000</v>
      </c>
      <c r="S106" s="83" t="s">
        <v>784</v>
      </c>
      <c r="T106" s="52">
        <f>61.7*10^6</f>
        <v>61700000</v>
      </c>
      <c r="U106" s="87" t="s">
        <v>784</v>
      </c>
      <c r="V106" s="25"/>
      <c r="W106" s="46"/>
      <c r="X106" s="29"/>
      <c r="Y106" s="21" t="s">
        <v>1031</v>
      </c>
      <c r="Z106" s="21" t="s">
        <v>1042</v>
      </c>
      <c r="AB106" s="21" t="s">
        <v>1231</v>
      </c>
      <c r="AC106" s="25"/>
    </row>
    <row r="107" spans="1:30" s="21" customFormat="1" outlineLevel="1" x14ac:dyDescent="0.3">
      <c r="B107" s="21" t="s">
        <v>1028</v>
      </c>
      <c r="C107" s="21" t="s">
        <v>495</v>
      </c>
      <c r="E107" s="22">
        <v>9.9249512294317004</v>
      </c>
      <c r="F107" s="22">
        <v>-13.101797103877001</v>
      </c>
      <c r="G107" s="68" t="s">
        <v>437</v>
      </c>
      <c r="H107" s="21" t="s">
        <v>101</v>
      </c>
      <c r="I107" s="21" t="s">
        <v>59</v>
      </c>
      <c r="J107" s="29"/>
      <c r="K107" s="23">
        <v>27</v>
      </c>
      <c r="L107" s="75" t="s">
        <v>437</v>
      </c>
      <c r="M107" s="24"/>
      <c r="N107" s="79"/>
      <c r="O107" s="24">
        <v>120</v>
      </c>
      <c r="P107" s="83" t="s">
        <v>785</v>
      </c>
      <c r="Q107" s="24"/>
      <c r="R107" s="25">
        <f>14*10^6</f>
        <v>14000000</v>
      </c>
      <c r="S107" s="83" t="s">
        <v>786</v>
      </c>
      <c r="T107" s="52">
        <f>0.7*10^6</f>
        <v>700000</v>
      </c>
      <c r="U107" s="87" t="s">
        <v>786</v>
      </c>
      <c r="V107" s="25"/>
      <c r="W107" s="46"/>
      <c r="Y107" s="21" t="s">
        <v>1031</v>
      </c>
      <c r="Z107" s="21" t="s">
        <v>1042</v>
      </c>
      <c r="AB107" s="21" t="s">
        <v>1231</v>
      </c>
      <c r="AC107" s="25"/>
      <c r="AD107" s="22"/>
    </row>
    <row r="108" spans="1:30" s="21" customFormat="1" outlineLevel="1" x14ac:dyDescent="0.3">
      <c r="B108" s="21" t="s">
        <v>94</v>
      </c>
      <c r="C108" s="21" t="s">
        <v>471</v>
      </c>
      <c r="E108" s="22">
        <v>11.050800000000001</v>
      </c>
      <c r="F108" s="22">
        <v>-12.442360000000001</v>
      </c>
      <c r="G108" s="68" t="s">
        <v>443</v>
      </c>
      <c r="H108" s="21" t="s">
        <v>411</v>
      </c>
      <c r="I108" s="21" t="s">
        <v>59</v>
      </c>
      <c r="J108" s="29"/>
      <c r="K108" s="23">
        <v>290</v>
      </c>
      <c r="L108" s="75" t="s">
        <v>442</v>
      </c>
      <c r="M108" s="21">
        <v>145</v>
      </c>
      <c r="N108" s="45" t="s">
        <v>443</v>
      </c>
      <c r="P108" s="45"/>
      <c r="Q108" s="24"/>
      <c r="S108" s="45"/>
      <c r="U108" s="45"/>
      <c r="V108" s="25"/>
      <c r="W108" s="46"/>
      <c r="X108" s="29"/>
      <c r="Y108" s="21" t="s">
        <v>1031</v>
      </c>
      <c r="Z108" s="21" t="s">
        <v>1034</v>
      </c>
      <c r="AB108" s="21" t="s">
        <v>198</v>
      </c>
      <c r="AC108" s="25"/>
    </row>
    <row r="109" spans="1:30" s="21" customFormat="1" outlineLevel="1" x14ac:dyDescent="0.3">
      <c r="B109" s="21" t="s">
        <v>377</v>
      </c>
      <c r="C109" s="21" t="s">
        <v>472</v>
      </c>
      <c r="E109" s="22">
        <v>11.327999999999999</v>
      </c>
      <c r="F109" s="22">
        <v>-12.6</v>
      </c>
      <c r="G109" s="68" t="s">
        <v>443</v>
      </c>
      <c r="H109" s="21" t="s">
        <v>236</v>
      </c>
      <c r="I109" s="21" t="s">
        <v>59</v>
      </c>
      <c r="J109" s="29"/>
      <c r="K109" s="23">
        <v>174</v>
      </c>
      <c r="L109" s="75" t="s">
        <v>442</v>
      </c>
      <c r="M109" s="24"/>
      <c r="N109" s="79"/>
      <c r="O109" s="24"/>
      <c r="P109" s="79"/>
      <c r="Q109" s="24"/>
      <c r="R109" s="25"/>
      <c r="S109" s="83"/>
      <c r="T109" s="52"/>
      <c r="U109" s="87"/>
      <c r="V109" s="25"/>
      <c r="W109" s="46"/>
      <c r="X109" s="29"/>
      <c r="Y109" s="21" t="s">
        <v>1031</v>
      </c>
      <c r="Z109" s="21" t="s">
        <v>1034</v>
      </c>
      <c r="AB109" s="21" t="s">
        <v>198</v>
      </c>
      <c r="AC109" s="25"/>
    </row>
    <row r="110" spans="1:30" s="21" customFormat="1" outlineLevel="1" x14ac:dyDescent="0.3">
      <c r="B110" s="21" t="s">
        <v>378</v>
      </c>
      <c r="C110" s="21" t="s">
        <v>443</v>
      </c>
      <c r="E110" s="22">
        <v>11.066700000000001</v>
      </c>
      <c r="F110" s="22">
        <v>-12.716699999999999</v>
      </c>
      <c r="G110" s="68" t="s">
        <v>443</v>
      </c>
      <c r="H110" s="21" t="s">
        <v>236</v>
      </c>
      <c r="I110" s="21" t="s">
        <v>59</v>
      </c>
      <c r="J110" s="29"/>
      <c r="K110" s="23">
        <v>124</v>
      </c>
      <c r="L110" s="75" t="s">
        <v>443</v>
      </c>
      <c r="M110" s="24"/>
      <c r="N110" s="79"/>
      <c r="O110" s="24"/>
      <c r="P110" s="79"/>
      <c r="Q110" s="24"/>
      <c r="R110" s="25"/>
      <c r="S110" s="83"/>
      <c r="T110" s="52"/>
      <c r="U110" s="87"/>
      <c r="V110" s="25"/>
      <c r="W110" s="46"/>
      <c r="X110" s="29"/>
      <c r="Y110" s="21" t="s">
        <v>1031</v>
      </c>
      <c r="Z110" s="21" t="s">
        <v>1034</v>
      </c>
      <c r="AB110" s="21" t="s">
        <v>198</v>
      </c>
      <c r="AC110" s="25"/>
    </row>
    <row r="111" spans="1:30" s="21" customFormat="1" outlineLevel="1" x14ac:dyDescent="0.3">
      <c r="B111" s="21" t="s">
        <v>83</v>
      </c>
      <c r="C111" s="21" t="s">
        <v>508</v>
      </c>
      <c r="E111" s="22">
        <v>11.5002</v>
      </c>
      <c r="F111" s="22">
        <v>-11.120699999999999</v>
      </c>
      <c r="G111" s="68" t="s">
        <v>443</v>
      </c>
      <c r="H111" s="21" t="s">
        <v>57</v>
      </c>
      <c r="I111" s="21" t="s">
        <v>6</v>
      </c>
      <c r="J111" s="29"/>
      <c r="K111" s="23">
        <v>149</v>
      </c>
      <c r="L111" s="75" t="s">
        <v>442</v>
      </c>
      <c r="N111" s="45"/>
      <c r="P111" s="45"/>
      <c r="Q111" s="24"/>
      <c r="R111" s="25">
        <f>600*10^6</f>
        <v>600000000</v>
      </c>
      <c r="S111" s="83" t="s">
        <v>787</v>
      </c>
      <c r="T111" s="25"/>
      <c r="U111" s="83"/>
      <c r="V111" s="25"/>
      <c r="W111" s="46"/>
      <c r="X111" s="29"/>
      <c r="Y111" s="21" t="s">
        <v>1031</v>
      </c>
      <c r="Z111" s="21" t="s">
        <v>1034</v>
      </c>
      <c r="AB111" s="21" t="s">
        <v>198</v>
      </c>
      <c r="AC111" s="25"/>
    </row>
    <row r="112" spans="1:30" s="21" customFormat="1" outlineLevel="1" x14ac:dyDescent="0.3">
      <c r="B112" s="21" t="s">
        <v>14</v>
      </c>
      <c r="C112" s="21" t="s">
        <v>509</v>
      </c>
      <c r="E112" s="22">
        <v>10.4333792535</v>
      </c>
      <c r="F112" s="22">
        <v>-9.1952562332179006</v>
      </c>
      <c r="G112" s="68" t="s">
        <v>437</v>
      </c>
      <c r="H112" s="21" t="s">
        <v>60</v>
      </c>
      <c r="I112" s="21" t="s">
        <v>25</v>
      </c>
      <c r="J112" s="29"/>
      <c r="K112" s="23">
        <v>135</v>
      </c>
      <c r="L112" s="75" t="s">
        <v>437</v>
      </c>
      <c r="N112" s="45"/>
      <c r="P112" s="45"/>
      <c r="Q112" s="24"/>
      <c r="R112" s="25">
        <f>890*1000^2</f>
        <v>890000000</v>
      </c>
      <c r="S112" s="83" t="s">
        <v>788</v>
      </c>
      <c r="T112" s="25"/>
      <c r="U112" s="83"/>
      <c r="V112" s="25"/>
      <c r="W112" s="46"/>
      <c r="X112" s="29"/>
      <c r="Y112" s="21" t="s">
        <v>1031</v>
      </c>
      <c r="Z112" s="21" t="s">
        <v>1034</v>
      </c>
      <c r="AB112" s="21" t="s">
        <v>198</v>
      </c>
      <c r="AC112" s="25"/>
    </row>
    <row r="113" spans="2:30" s="21" customFormat="1" outlineLevel="1" x14ac:dyDescent="0.3">
      <c r="B113" s="21" t="s">
        <v>379</v>
      </c>
      <c r="C113" s="21" t="s">
        <v>473</v>
      </c>
      <c r="E113" s="22">
        <v>11.7</v>
      </c>
      <c r="F113" s="22">
        <v>-12.433299999999999</v>
      </c>
      <c r="G113" s="68" t="s">
        <v>443</v>
      </c>
      <c r="H113" s="21" t="s">
        <v>236</v>
      </c>
      <c r="I113" s="21" t="s">
        <v>227</v>
      </c>
      <c r="J113" s="29"/>
      <c r="K113" s="23">
        <v>135</v>
      </c>
      <c r="L113" s="75" t="s">
        <v>442</v>
      </c>
      <c r="N113" s="45"/>
      <c r="P113" s="45"/>
      <c r="Q113" s="24"/>
      <c r="R113" s="25"/>
      <c r="S113" s="83"/>
      <c r="T113" s="25"/>
      <c r="U113" s="83"/>
      <c r="V113" s="25"/>
      <c r="W113" s="46"/>
      <c r="X113" s="29"/>
      <c r="Y113" s="21" t="s">
        <v>1031</v>
      </c>
      <c r="Z113" s="21" t="s">
        <v>1034</v>
      </c>
      <c r="AB113" s="21" t="s">
        <v>198</v>
      </c>
      <c r="AC113" s="25"/>
    </row>
    <row r="114" spans="2:30" s="21" customFormat="1" outlineLevel="1" x14ac:dyDescent="0.3">
      <c r="B114" s="21" t="s">
        <v>240</v>
      </c>
      <c r="C114" s="21" t="s">
        <v>479</v>
      </c>
      <c r="E114" s="22">
        <v>10.910467607009</v>
      </c>
      <c r="F114" s="22">
        <v>-13.0654907226569</v>
      </c>
      <c r="G114" s="68" t="s">
        <v>437</v>
      </c>
      <c r="H114" s="21" t="s">
        <v>236</v>
      </c>
      <c r="I114" s="21" t="s">
        <v>11</v>
      </c>
      <c r="J114" s="29"/>
      <c r="K114" s="23">
        <v>130</v>
      </c>
      <c r="L114" s="75" t="s">
        <v>437</v>
      </c>
      <c r="N114" s="45"/>
      <c r="P114" s="45"/>
      <c r="Q114" s="24"/>
      <c r="R114" s="25"/>
      <c r="S114" s="83"/>
      <c r="T114" s="25"/>
      <c r="U114" s="83"/>
      <c r="V114" s="25"/>
      <c r="W114" s="46"/>
      <c r="X114" s="29"/>
      <c r="Y114" s="21" t="s">
        <v>1031</v>
      </c>
      <c r="Z114" s="21" t="s">
        <v>1034</v>
      </c>
      <c r="AB114" s="21" t="s">
        <v>198</v>
      </c>
      <c r="AC114" s="25"/>
    </row>
    <row r="115" spans="2:30" s="21" customFormat="1" outlineLevel="1" x14ac:dyDescent="0.3">
      <c r="B115" s="21" t="s">
        <v>91</v>
      </c>
      <c r="C115" s="21" t="s">
        <v>508</v>
      </c>
      <c r="E115" s="22">
        <v>11.35</v>
      </c>
      <c r="F115" s="22">
        <v>-13.91666667</v>
      </c>
      <c r="G115" s="68" t="s">
        <v>443</v>
      </c>
      <c r="H115" s="21" t="s">
        <v>79</v>
      </c>
      <c r="I115" s="21" t="s">
        <v>79</v>
      </c>
      <c r="J115" s="29"/>
      <c r="K115" s="23">
        <v>120</v>
      </c>
      <c r="L115" s="75" t="s">
        <v>442</v>
      </c>
      <c r="N115" s="45"/>
      <c r="P115" s="45"/>
      <c r="Q115" s="24"/>
      <c r="S115" s="45"/>
      <c r="U115" s="45"/>
      <c r="V115" s="25"/>
      <c r="W115" s="46" t="s">
        <v>789</v>
      </c>
      <c r="X115" s="29"/>
      <c r="Y115" s="21" t="s">
        <v>1031</v>
      </c>
      <c r="Z115" s="21" t="s">
        <v>1034</v>
      </c>
      <c r="AB115" s="21" t="s">
        <v>198</v>
      </c>
      <c r="AC115" s="25"/>
    </row>
    <row r="116" spans="2:30" s="21" customFormat="1" outlineLevel="1" x14ac:dyDescent="0.3">
      <c r="B116" s="21" t="s">
        <v>95</v>
      </c>
      <c r="C116" s="21" t="s">
        <v>474</v>
      </c>
      <c r="E116" s="22">
        <v>10.5718</v>
      </c>
      <c r="F116" s="22">
        <v>-13.657999999999999</v>
      </c>
      <c r="G116" s="68" t="s">
        <v>560</v>
      </c>
      <c r="H116" s="21" t="s">
        <v>97</v>
      </c>
      <c r="I116" s="21" t="s">
        <v>97</v>
      </c>
      <c r="J116" s="29"/>
      <c r="K116" s="23">
        <v>100</v>
      </c>
      <c r="L116" s="75" t="s">
        <v>440</v>
      </c>
      <c r="N116" s="45"/>
      <c r="O116" s="28">
        <v>75</v>
      </c>
      <c r="P116" s="79" t="s">
        <v>800</v>
      </c>
      <c r="Q116" s="24"/>
      <c r="S116" s="45"/>
      <c r="U116" s="45"/>
      <c r="V116" s="25"/>
      <c r="W116" s="46"/>
      <c r="X116" s="29"/>
      <c r="Y116" s="21" t="s">
        <v>1031</v>
      </c>
      <c r="Z116" s="21" t="s">
        <v>1034</v>
      </c>
      <c r="AB116" s="21" t="s">
        <v>198</v>
      </c>
      <c r="AC116" s="25"/>
      <c r="AD116" s="23"/>
    </row>
    <row r="117" spans="2:30" s="21" customFormat="1" outlineLevel="1" x14ac:dyDescent="0.3">
      <c r="B117" s="21" t="s">
        <v>381</v>
      </c>
      <c r="C117" s="21" t="s">
        <v>505</v>
      </c>
      <c r="E117" s="22">
        <v>10.233333330000001</v>
      </c>
      <c r="F117" s="22">
        <v>-8.6166666700000007</v>
      </c>
      <c r="G117" s="68" t="s">
        <v>443</v>
      </c>
      <c r="H117" s="21" t="s">
        <v>58</v>
      </c>
      <c r="I117" s="21" t="s">
        <v>25</v>
      </c>
      <c r="J117" s="29"/>
      <c r="K117" s="23">
        <v>100</v>
      </c>
      <c r="L117" s="75" t="s">
        <v>440</v>
      </c>
      <c r="N117" s="45"/>
      <c r="O117" s="24">
        <v>25</v>
      </c>
      <c r="P117" s="79" t="s">
        <v>774</v>
      </c>
      <c r="Q117" s="24"/>
      <c r="S117" s="45"/>
      <c r="U117" s="45"/>
      <c r="V117" s="25"/>
      <c r="W117" s="46" t="s">
        <v>801</v>
      </c>
      <c r="X117" s="29"/>
      <c r="Y117" s="21" t="s">
        <v>1031</v>
      </c>
      <c r="Z117" s="21" t="s">
        <v>1034</v>
      </c>
      <c r="AB117" s="21" t="s">
        <v>198</v>
      </c>
      <c r="AC117" s="25"/>
    </row>
    <row r="118" spans="2:30" s="21" customFormat="1" outlineLevel="1" x14ac:dyDescent="0.3">
      <c r="B118" s="21" t="s">
        <v>96</v>
      </c>
      <c r="C118" s="21" t="s">
        <v>475</v>
      </c>
      <c r="E118" s="22">
        <v>11.374700000000001</v>
      </c>
      <c r="F118" s="22">
        <v>-13.9277</v>
      </c>
      <c r="G118" s="68" t="s">
        <v>443</v>
      </c>
      <c r="H118" s="21" t="s">
        <v>79</v>
      </c>
      <c r="I118" s="21" t="s">
        <v>79</v>
      </c>
      <c r="J118" s="29"/>
      <c r="K118" s="104">
        <v>90</v>
      </c>
      <c r="L118" s="75" t="s">
        <v>440</v>
      </c>
      <c r="M118" s="21">
        <v>77</v>
      </c>
      <c r="N118" s="45" t="s">
        <v>443</v>
      </c>
      <c r="P118" s="45"/>
      <c r="Q118" s="24"/>
      <c r="S118" s="45"/>
      <c r="U118" s="45"/>
      <c r="V118" s="25"/>
      <c r="W118" s="46"/>
      <c r="X118" s="29"/>
      <c r="Y118" s="21" t="s">
        <v>1031</v>
      </c>
      <c r="Z118" s="21" t="s">
        <v>1034</v>
      </c>
      <c r="AB118" s="21" t="s">
        <v>198</v>
      </c>
      <c r="AC118" s="25"/>
    </row>
    <row r="119" spans="2:30" s="21" customFormat="1" outlineLevel="1" x14ac:dyDescent="0.3">
      <c r="B119" s="21" t="s">
        <v>380</v>
      </c>
      <c r="C119" s="21" t="s">
        <v>472</v>
      </c>
      <c r="E119" s="22">
        <v>10.216699999999999</v>
      </c>
      <c r="F119" s="22">
        <v>12</v>
      </c>
      <c r="G119" s="68" t="s">
        <v>443</v>
      </c>
      <c r="H119" s="21" t="s">
        <v>236</v>
      </c>
      <c r="I119" s="21" t="s">
        <v>188</v>
      </c>
      <c r="J119" s="29"/>
      <c r="K119" s="104">
        <v>98</v>
      </c>
      <c r="L119" s="75" t="s">
        <v>442</v>
      </c>
      <c r="N119" s="45"/>
      <c r="P119" s="45"/>
      <c r="Q119" s="24"/>
      <c r="S119" s="45"/>
      <c r="U119" s="45"/>
      <c r="V119" s="25"/>
      <c r="W119" s="46"/>
      <c r="X119" s="29"/>
      <c r="Y119" s="21" t="s">
        <v>1031</v>
      </c>
      <c r="Z119" s="21" t="s">
        <v>1034</v>
      </c>
      <c r="AB119" s="21" t="s">
        <v>198</v>
      </c>
      <c r="AC119" s="25"/>
    </row>
    <row r="120" spans="2:30" s="21" customFormat="1" outlineLevel="1" x14ac:dyDescent="0.3">
      <c r="B120" s="21" t="s">
        <v>397</v>
      </c>
      <c r="C120" s="21" t="s">
        <v>443</v>
      </c>
      <c r="E120" s="22">
        <v>12.05</v>
      </c>
      <c r="F120" s="22">
        <v>-11.966699999999999</v>
      </c>
      <c r="G120" s="68" t="s">
        <v>443</v>
      </c>
      <c r="H120" s="21" t="s">
        <v>68</v>
      </c>
      <c r="I120" s="21" t="s">
        <v>68</v>
      </c>
      <c r="J120" s="29"/>
      <c r="K120" s="104">
        <v>86</v>
      </c>
      <c r="L120" s="75" t="s">
        <v>443</v>
      </c>
      <c r="N120" s="45"/>
      <c r="P120" s="45"/>
      <c r="Q120" s="24"/>
      <c r="S120" s="45"/>
      <c r="U120" s="45"/>
      <c r="V120" s="25"/>
      <c r="W120" s="46"/>
      <c r="X120" s="29"/>
      <c r="Y120" s="21" t="s">
        <v>1031</v>
      </c>
      <c r="Z120" s="21" t="s">
        <v>1034</v>
      </c>
      <c r="AB120" s="21" t="s">
        <v>198</v>
      </c>
      <c r="AC120" s="25"/>
    </row>
    <row r="121" spans="2:30" s="21" customFormat="1" outlineLevel="1" x14ac:dyDescent="0.3">
      <c r="B121" s="21" t="s">
        <v>370</v>
      </c>
      <c r="C121" s="21" t="s">
        <v>510</v>
      </c>
      <c r="E121" s="22">
        <v>11.069772</v>
      </c>
      <c r="F121" s="22">
        <v>-11.645894</v>
      </c>
      <c r="G121" s="68" t="s">
        <v>443</v>
      </c>
      <c r="H121" s="21" t="s">
        <v>371</v>
      </c>
      <c r="I121" s="21" t="s">
        <v>6</v>
      </c>
      <c r="J121" s="29"/>
      <c r="K121" s="104">
        <v>76.400000000000006</v>
      </c>
      <c r="L121" s="75" t="s">
        <v>442</v>
      </c>
      <c r="N121" s="45"/>
      <c r="P121" s="45"/>
      <c r="Q121" s="24"/>
      <c r="S121" s="45"/>
      <c r="U121" s="45"/>
      <c r="V121" s="25"/>
      <c r="W121" s="46"/>
      <c r="X121" s="29"/>
      <c r="Y121" s="21" t="s">
        <v>1031</v>
      </c>
      <c r="Z121" s="21" t="s">
        <v>1034</v>
      </c>
      <c r="AB121" s="21" t="s">
        <v>198</v>
      </c>
      <c r="AC121" s="25"/>
    </row>
    <row r="122" spans="2:30" s="21" customFormat="1" outlineLevel="1" x14ac:dyDescent="0.3">
      <c r="B122" s="21" t="s">
        <v>55</v>
      </c>
      <c r="C122" s="21" t="s">
        <v>476</v>
      </c>
      <c r="E122" s="22">
        <v>10.5076131391699</v>
      </c>
      <c r="F122" s="22">
        <v>-10.422763824461001</v>
      </c>
      <c r="G122" s="68" t="s">
        <v>437</v>
      </c>
      <c r="H122" s="21" t="s">
        <v>25</v>
      </c>
      <c r="I122" s="21" t="s">
        <v>25</v>
      </c>
      <c r="J122" s="29"/>
      <c r="K122" s="23">
        <v>72</v>
      </c>
      <c r="L122" s="75" t="s">
        <v>437</v>
      </c>
      <c r="N122" s="45"/>
      <c r="P122" s="45"/>
      <c r="Q122" s="24"/>
      <c r="R122" s="25">
        <f>2784*1000^2</f>
        <v>2784000000</v>
      </c>
      <c r="S122" s="83" t="s">
        <v>802</v>
      </c>
      <c r="T122" s="25"/>
      <c r="U122" s="83"/>
      <c r="V122" s="25"/>
      <c r="W122" s="46"/>
      <c r="X122" s="29"/>
      <c r="Y122" s="21" t="s">
        <v>1031</v>
      </c>
      <c r="Z122" s="21" t="s">
        <v>1034</v>
      </c>
      <c r="AB122" s="21" t="s">
        <v>198</v>
      </c>
      <c r="AC122" s="25"/>
    </row>
    <row r="123" spans="2:30" s="21" customFormat="1" outlineLevel="1" x14ac:dyDescent="0.3">
      <c r="B123" s="21" t="s">
        <v>93</v>
      </c>
      <c r="C123" s="21" t="s">
        <v>506</v>
      </c>
      <c r="E123" s="22">
        <v>11.55</v>
      </c>
      <c r="F123" s="22">
        <v>-13.273</v>
      </c>
      <c r="G123" s="68" t="s">
        <v>443</v>
      </c>
      <c r="H123" s="21" t="s">
        <v>372</v>
      </c>
      <c r="I123" s="21" t="s">
        <v>227</v>
      </c>
      <c r="J123" s="29"/>
      <c r="K123" s="23">
        <v>82</v>
      </c>
      <c r="L123" s="75" t="s">
        <v>440</v>
      </c>
      <c r="N123" s="45"/>
      <c r="P123" s="45"/>
      <c r="Q123" s="24"/>
      <c r="S123" s="45"/>
      <c r="U123" s="45"/>
      <c r="V123" s="25"/>
      <c r="W123" s="46"/>
      <c r="X123" s="29"/>
      <c r="Y123" s="21" t="s">
        <v>1031</v>
      </c>
      <c r="Z123" s="21" t="s">
        <v>1034</v>
      </c>
      <c r="AB123" s="21" t="s">
        <v>198</v>
      </c>
      <c r="AC123" s="25"/>
    </row>
    <row r="124" spans="2:30" s="21" customFormat="1" outlineLevel="1" x14ac:dyDescent="0.3">
      <c r="B124" s="21" t="s">
        <v>84</v>
      </c>
      <c r="C124" s="21" t="s">
        <v>477</v>
      </c>
      <c r="E124" s="22">
        <v>8.1333333299999993</v>
      </c>
      <c r="F124" s="22">
        <v>-9.1333333299999993</v>
      </c>
      <c r="G124" s="68" t="s">
        <v>452</v>
      </c>
      <c r="H124" s="21" t="s">
        <v>74</v>
      </c>
      <c r="I124" s="21" t="s">
        <v>225</v>
      </c>
      <c r="J124" s="29"/>
      <c r="K124" s="23">
        <v>27</v>
      </c>
      <c r="L124" s="75" t="s">
        <v>440</v>
      </c>
      <c r="N124" s="45"/>
      <c r="P124" s="45"/>
      <c r="Q124" s="24"/>
      <c r="S124" s="45"/>
      <c r="U124" s="45"/>
      <c r="V124" s="25"/>
      <c r="W124" s="46"/>
      <c r="X124" s="29"/>
      <c r="Y124" s="21" t="s">
        <v>1031</v>
      </c>
      <c r="Z124" s="21" t="s">
        <v>1034</v>
      </c>
      <c r="AB124" s="21" t="s">
        <v>198</v>
      </c>
      <c r="AC124" s="25"/>
    </row>
    <row r="125" spans="2:30" s="21" customFormat="1" outlineLevel="1" x14ac:dyDescent="0.3">
      <c r="B125" s="21" t="s">
        <v>73</v>
      </c>
      <c r="C125" s="21" t="s">
        <v>511</v>
      </c>
      <c r="E125" s="22">
        <v>7.75</v>
      </c>
      <c r="F125" s="22">
        <v>-9.3333333300000003</v>
      </c>
      <c r="G125" s="68" t="s">
        <v>452</v>
      </c>
      <c r="H125" s="21" t="s">
        <v>74</v>
      </c>
      <c r="I125" s="21" t="s">
        <v>225</v>
      </c>
      <c r="J125" s="29"/>
      <c r="K125" s="23">
        <v>48</v>
      </c>
      <c r="L125" s="75" t="s">
        <v>442</v>
      </c>
      <c r="N125" s="45"/>
      <c r="O125" s="28">
        <v>40</v>
      </c>
      <c r="P125" s="79" t="s">
        <v>803</v>
      </c>
      <c r="Q125" s="24"/>
      <c r="S125" s="45"/>
      <c r="U125" s="45"/>
      <c r="V125" s="25"/>
      <c r="W125" s="46" t="s">
        <v>804</v>
      </c>
      <c r="X125" s="29"/>
      <c r="Y125" s="21" t="s">
        <v>1031</v>
      </c>
      <c r="Z125" s="21" t="s">
        <v>1034</v>
      </c>
      <c r="AB125" s="21" t="s">
        <v>198</v>
      </c>
      <c r="AC125" s="25"/>
    </row>
    <row r="126" spans="2:30" s="21" customFormat="1" outlineLevel="1" x14ac:dyDescent="0.3">
      <c r="B126" s="21" t="s">
        <v>13</v>
      </c>
      <c r="C126" s="21" t="s">
        <v>478</v>
      </c>
      <c r="E126" s="22">
        <v>11.858841500800001</v>
      </c>
      <c r="F126" s="22">
        <v>-11.8256235122559</v>
      </c>
      <c r="G126" s="68" t="s">
        <v>437</v>
      </c>
      <c r="H126" s="21" t="s">
        <v>68</v>
      </c>
      <c r="I126" s="21" t="s">
        <v>68</v>
      </c>
      <c r="J126" s="29"/>
      <c r="K126" s="23">
        <v>37</v>
      </c>
      <c r="L126" s="75" t="s">
        <v>437</v>
      </c>
      <c r="M126" s="24">
        <v>62</v>
      </c>
      <c r="N126" s="79" t="s">
        <v>443</v>
      </c>
      <c r="O126" s="25"/>
      <c r="P126" s="83"/>
      <c r="Q126" s="24"/>
      <c r="S126" s="45"/>
      <c r="U126" s="45"/>
      <c r="V126" s="25"/>
      <c r="W126" s="46"/>
      <c r="X126" s="29"/>
      <c r="Y126" s="21" t="s">
        <v>1031</v>
      </c>
      <c r="Z126" s="21" t="s">
        <v>1034</v>
      </c>
      <c r="AB126" s="21" t="s">
        <v>198</v>
      </c>
      <c r="AC126" s="25"/>
    </row>
    <row r="127" spans="2:30" s="21" customFormat="1" outlineLevel="1" x14ac:dyDescent="0.3">
      <c r="B127" s="21" t="s">
        <v>85</v>
      </c>
      <c r="C127" s="21" t="s">
        <v>439</v>
      </c>
      <c r="E127" s="22">
        <v>8.5418000000000003</v>
      </c>
      <c r="F127" s="22">
        <v>-9.4711999999999996</v>
      </c>
      <c r="G127" s="68" t="s">
        <v>439</v>
      </c>
      <c r="H127" s="21" t="s">
        <v>75</v>
      </c>
      <c r="I127" s="21" t="s">
        <v>226</v>
      </c>
      <c r="J127" s="29"/>
      <c r="K127" s="23">
        <v>18</v>
      </c>
      <c r="L127" s="75" t="s">
        <v>439</v>
      </c>
      <c r="N127" s="45"/>
      <c r="P127" s="45"/>
      <c r="Q127" s="24"/>
      <c r="S127" s="45"/>
      <c r="U127" s="45"/>
      <c r="V127" s="25"/>
      <c r="W127" s="46" t="s">
        <v>818</v>
      </c>
      <c r="X127" s="29"/>
      <c r="Y127" s="21" t="s">
        <v>1031</v>
      </c>
      <c r="Z127" s="21" t="s">
        <v>1034</v>
      </c>
      <c r="AB127" s="21" t="s">
        <v>198</v>
      </c>
      <c r="AC127" s="25"/>
    </row>
    <row r="128" spans="2:30" s="21" customFormat="1" outlineLevel="1" x14ac:dyDescent="0.3">
      <c r="B128" s="21" t="s">
        <v>92</v>
      </c>
      <c r="C128" s="21" t="s">
        <v>438</v>
      </c>
      <c r="E128" s="22"/>
      <c r="F128" s="22"/>
      <c r="G128" s="68"/>
      <c r="H128" s="21" t="s">
        <v>236</v>
      </c>
      <c r="I128" s="21" t="s">
        <v>236</v>
      </c>
      <c r="J128" s="29"/>
      <c r="K128" s="23">
        <v>72</v>
      </c>
      <c r="L128" s="75" t="s">
        <v>438</v>
      </c>
      <c r="N128" s="45"/>
      <c r="P128" s="45"/>
      <c r="Q128" s="24"/>
      <c r="S128" s="45"/>
      <c r="U128" s="45"/>
      <c r="V128" s="25"/>
      <c r="W128" s="46"/>
      <c r="X128" s="29"/>
      <c r="Y128" s="21" t="s">
        <v>1031</v>
      </c>
      <c r="Z128" s="21" t="s">
        <v>1034</v>
      </c>
      <c r="AB128" s="21" t="s">
        <v>198</v>
      </c>
      <c r="AC128" s="25"/>
    </row>
    <row r="129" spans="2:29" s="21" customFormat="1" outlineLevel="1" x14ac:dyDescent="0.3">
      <c r="B129" s="21" t="s">
        <v>86</v>
      </c>
      <c r="E129" s="22"/>
      <c r="F129" s="22"/>
      <c r="G129" s="68"/>
      <c r="H129" s="21" t="s">
        <v>78</v>
      </c>
      <c r="I129" s="21" t="s">
        <v>25</v>
      </c>
      <c r="J129" s="29"/>
      <c r="K129" s="23">
        <v>17</v>
      </c>
      <c r="L129" s="75" t="s">
        <v>819</v>
      </c>
      <c r="M129" s="24">
        <v>25</v>
      </c>
      <c r="N129" s="79" t="s">
        <v>819</v>
      </c>
      <c r="P129" s="45"/>
      <c r="Q129" s="24"/>
      <c r="S129" s="45"/>
      <c r="U129" s="45"/>
      <c r="V129" s="25"/>
      <c r="W129" s="106"/>
      <c r="X129" s="29"/>
      <c r="Y129" s="21" t="s">
        <v>1031</v>
      </c>
      <c r="Z129" s="21" t="s">
        <v>1034</v>
      </c>
      <c r="AB129" s="21" t="s">
        <v>198</v>
      </c>
      <c r="AC129" s="25"/>
    </row>
    <row r="130" spans="2:29" s="21" customFormat="1" outlineLevel="1" x14ac:dyDescent="0.3">
      <c r="B130" s="21" t="s">
        <v>1049</v>
      </c>
      <c r="C130" s="21" t="s">
        <v>512</v>
      </c>
      <c r="E130" s="22">
        <v>9.9528169250064007</v>
      </c>
      <c r="F130" s="22">
        <v>-12.990646362305</v>
      </c>
      <c r="G130" s="68" t="s">
        <v>437</v>
      </c>
      <c r="H130" s="21" t="s">
        <v>236</v>
      </c>
      <c r="I130" s="21" t="s">
        <v>59</v>
      </c>
      <c r="J130" s="29"/>
      <c r="K130" s="23">
        <v>15</v>
      </c>
      <c r="L130" s="75" t="s">
        <v>437</v>
      </c>
      <c r="N130" s="45"/>
      <c r="P130" s="45"/>
      <c r="Q130" s="24"/>
      <c r="R130" s="51" t="s">
        <v>1029</v>
      </c>
      <c r="S130" s="45" t="s">
        <v>440</v>
      </c>
      <c r="U130" s="45"/>
      <c r="V130" s="25"/>
      <c r="W130" s="46"/>
      <c r="X130" s="29"/>
      <c r="Y130" s="21" t="s">
        <v>1035</v>
      </c>
      <c r="AA130" s="21" t="s">
        <v>1037</v>
      </c>
      <c r="AB130" s="21" t="s">
        <v>1231</v>
      </c>
      <c r="AC130" s="25"/>
    </row>
    <row r="131" spans="2:29" s="21" customFormat="1" outlineLevel="1" x14ac:dyDescent="0.3">
      <c r="B131" s="21" t="s">
        <v>385</v>
      </c>
      <c r="C131" s="21" t="s">
        <v>513</v>
      </c>
      <c r="E131" s="22">
        <v>10.462350499166901</v>
      </c>
      <c r="F131" s="22">
        <v>-13.28066825866</v>
      </c>
      <c r="G131" s="68" t="s">
        <v>437</v>
      </c>
      <c r="H131" s="21" t="s">
        <v>59</v>
      </c>
      <c r="I131" s="21" t="s">
        <v>59</v>
      </c>
      <c r="J131" s="29"/>
      <c r="K131" s="23">
        <v>240</v>
      </c>
      <c r="L131" s="75" t="s">
        <v>437</v>
      </c>
      <c r="N131" s="79"/>
      <c r="O131" s="24">
        <v>49.2</v>
      </c>
      <c r="P131" s="79" t="s">
        <v>775</v>
      </c>
      <c r="Q131" s="24"/>
      <c r="R131" s="51" t="s">
        <v>833</v>
      </c>
      <c r="S131" s="83" t="s">
        <v>820</v>
      </c>
      <c r="T131" s="25"/>
      <c r="U131" s="83"/>
      <c r="V131" s="25"/>
      <c r="W131" s="46"/>
      <c r="X131" s="29"/>
      <c r="Y131" s="21" t="s">
        <v>1035</v>
      </c>
      <c r="AA131" s="21" t="s">
        <v>1038</v>
      </c>
      <c r="AB131" s="21" t="s">
        <v>1231</v>
      </c>
      <c r="AC131" s="25"/>
    </row>
    <row r="132" spans="2:29" s="21" customFormat="1" outlineLevel="1" x14ac:dyDescent="0.3">
      <c r="B132" s="21" t="s">
        <v>386</v>
      </c>
      <c r="C132" s="21" t="s">
        <v>493</v>
      </c>
      <c r="E132" s="22">
        <v>10.5212752964439</v>
      </c>
      <c r="F132" s="22">
        <v>-9.7147893905644906</v>
      </c>
      <c r="G132" s="68" t="s">
        <v>437</v>
      </c>
      <c r="H132" s="21" t="s">
        <v>61</v>
      </c>
      <c r="I132" s="21" t="s">
        <v>25</v>
      </c>
      <c r="J132" s="29"/>
      <c r="K132" s="23">
        <v>90</v>
      </c>
      <c r="L132" s="75" t="s">
        <v>437</v>
      </c>
      <c r="M132" s="24">
        <v>60</v>
      </c>
      <c r="N132" s="79" t="s">
        <v>443</v>
      </c>
      <c r="O132" s="25"/>
      <c r="P132" s="83"/>
      <c r="Q132" s="24"/>
      <c r="R132" s="25">
        <f>6100*1000^2</f>
        <v>6100000000</v>
      </c>
      <c r="S132" s="83" t="s">
        <v>821</v>
      </c>
      <c r="T132" s="25"/>
      <c r="U132" s="83"/>
      <c r="V132" s="25"/>
      <c r="W132" s="46" t="s">
        <v>822</v>
      </c>
      <c r="X132" s="29"/>
      <c r="Y132" s="21" t="s">
        <v>1035</v>
      </c>
      <c r="AA132" s="21" t="s">
        <v>1041</v>
      </c>
      <c r="AB132" s="21" t="s">
        <v>4</v>
      </c>
      <c r="AC132" s="25"/>
    </row>
    <row r="133" spans="2:29" s="21" customFormat="1" outlineLevel="1" x14ac:dyDescent="0.3">
      <c r="B133" s="21" t="s">
        <v>98</v>
      </c>
      <c r="C133" s="21" t="s">
        <v>439</v>
      </c>
      <c r="E133" s="22">
        <v>8.5166000000000004</v>
      </c>
      <c r="F133" s="22">
        <v>-10.333</v>
      </c>
      <c r="G133" s="68" t="s">
        <v>560</v>
      </c>
      <c r="H133" s="21" t="s">
        <v>195</v>
      </c>
      <c r="I133" s="21" t="s">
        <v>226</v>
      </c>
      <c r="J133" s="29"/>
      <c r="K133" s="23">
        <v>8</v>
      </c>
      <c r="L133" s="75" t="s">
        <v>439</v>
      </c>
      <c r="N133" s="45"/>
      <c r="O133" s="28">
        <v>18</v>
      </c>
      <c r="P133" s="79" t="s">
        <v>836</v>
      </c>
      <c r="Q133" s="24"/>
      <c r="S133" s="45"/>
      <c r="U133" s="45"/>
      <c r="V133" s="25"/>
      <c r="W133" s="46"/>
      <c r="X133" s="29"/>
      <c r="Y133" s="21" t="s">
        <v>1035</v>
      </c>
      <c r="AA133" s="21" t="s">
        <v>1036</v>
      </c>
      <c r="AB133" s="21" t="s">
        <v>198</v>
      </c>
      <c r="AC133" s="25"/>
    </row>
    <row r="134" spans="2:29" s="21" customFormat="1" outlineLevel="1" x14ac:dyDescent="0.3">
      <c r="B134" s="21" t="s">
        <v>76</v>
      </c>
      <c r="E134" s="22">
        <v>8.2833333299999996</v>
      </c>
      <c r="F134" s="22">
        <v>-8.9499999999999993</v>
      </c>
      <c r="G134" s="79" t="s">
        <v>837</v>
      </c>
      <c r="H134" s="21" t="s">
        <v>236</v>
      </c>
      <c r="I134" s="21" t="s">
        <v>225</v>
      </c>
      <c r="J134" s="29"/>
      <c r="K134" s="23">
        <v>6</v>
      </c>
      <c r="L134" s="79" t="s">
        <v>837</v>
      </c>
      <c r="N134" s="45"/>
      <c r="O134" s="24">
        <v>25</v>
      </c>
      <c r="P134" s="79" t="s">
        <v>837</v>
      </c>
      <c r="Q134" s="24"/>
      <c r="S134" s="45"/>
      <c r="U134" s="45"/>
      <c r="V134" s="25"/>
      <c r="W134" s="106"/>
      <c r="X134" s="29"/>
      <c r="Y134" s="21" t="s">
        <v>1035</v>
      </c>
      <c r="AA134" s="21" t="s">
        <v>1036</v>
      </c>
      <c r="AB134" s="21" t="s">
        <v>198</v>
      </c>
      <c r="AC134" s="25"/>
    </row>
    <row r="135" spans="2:29" s="21" customFormat="1" outlineLevel="1" x14ac:dyDescent="0.3">
      <c r="B135" s="21" t="s">
        <v>8</v>
      </c>
      <c r="C135" s="21" t="s">
        <v>514</v>
      </c>
      <c r="E135" s="22">
        <v>10.0066215395059</v>
      </c>
      <c r="F135" s="22">
        <v>-12.9953670501709</v>
      </c>
      <c r="G135" s="68" t="s">
        <v>437</v>
      </c>
      <c r="H135" s="21" t="s">
        <v>101</v>
      </c>
      <c r="I135" s="21" t="s">
        <v>59</v>
      </c>
      <c r="J135" s="29"/>
      <c r="K135" s="23">
        <v>5</v>
      </c>
      <c r="L135" s="75" t="s">
        <v>437</v>
      </c>
      <c r="M135" s="24">
        <v>30</v>
      </c>
      <c r="N135" s="79" t="s">
        <v>443</v>
      </c>
      <c r="O135" s="25"/>
      <c r="P135" s="83"/>
      <c r="Q135" s="24"/>
      <c r="R135" s="25">
        <f>0.223*10^9</f>
        <v>223000000</v>
      </c>
      <c r="S135" s="83" t="s">
        <v>785</v>
      </c>
      <c r="T135" s="25"/>
      <c r="U135" s="83"/>
      <c r="V135" s="25"/>
      <c r="W135" s="46"/>
      <c r="X135" s="29"/>
      <c r="Y135" s="21" t="s">
        <v>1035</v>
      </c>
      <c r="AA135" s="21" t="s">
        <v>1036</v>
      </c>
      <c r="AB135" s="21" t="s">
        <v>1231</v>
      </c>
      <c r="AC135" s="25"/>
    </row>
    <row r="136" spans="2:29" s="21" customFormat="1" outlineLevel="1" x14ac:dyDescent="0.3">
      <c r="B136" s="21" t="s">
        <v>12</v>
      </c>
      <c r="C136" s="21" t="s">
        <v>479</v>
      </c>
      <c r="E136" s="22">
        <v>11.0614908735279</v>
      </c>
      <c r="F136" s="22">
        <v>-12.4575519561739</v>
      </c>
      <c r="G136" s="68" t="s">
        <v>437</v>
      </c>
      <c r="H136" s="21" t="s">
        <v>236</v>
      </c>
      <c r="I136" s="21" t="s">
        <v>59</v>
      </c>
      <c r="J136" s="29"/>
      <c r="K136" s="23">
        <v>3.4</v>
      </c>
      <c r="L136" s="75" t="s">
        <v>437</v>
      </c>
      <c r="N136" s="45"/>
      <c r="P136" s="45"/>
      <c r="Q136" s="24"/>
      <c r="S136" s="45"/>
      <c r="U136" s="45"/>
      <c r="V136" s="25"/>
      <c r="W136" s="46"/>
      <c r="X136" s="29"/>
      <c r="Y136" s="21" t="s">
        <v>1035</v>
      </c>
      <c r="AA136" s="21" t="s">
        <v>1036</v>
      </c>
      <c r="AB136" s="21" t="s">
        <v>1231</v>
      </c>
      <c r="AC136" s="25"/>
    </row>
    <row r="137" spans="2:29" s="21" customFormat="1" outlineLevel="1" x14ac:dyDescent="0.3">
      <c r="B137" s="21" t="s">
        <v>90</v>
      </c>
      <c r="C137" s="21" t="s">
        <v>439</v>
      </c>
      <c r="E137" s="22">
        <v>8.35</v>
      </c>
      <c r="F137" s="22">
        <v>-9.2666666699999993</v>
      </c>
      <c r="G137" s="68" t="s">
        <v>838</v>
      </c>
      <c r="H137" s="21" t="s">
        <v>81</v>
      </c>
      <c r="I137" s="21" t="s">
        <v>225</v>
      </c>
      <c r="J137" s="29"/>
      <c r="K137" s="23">
        <v>2.25</v>
      </c>
      <c r="L137" s="75" t="s">
        <v>838</v>
      </c>
      <c r="N137" s="45"/>
      <c r="O137" s="28">
        <f>AVERAGE(57.82,44.92)</f>
        <v>51.370000000000005</v>
      </c>
      <c r="P137" s="75" t="s">
        <v>838</v>
      </c>
      <c r="Q137" s="24"/>
      <c r="R137" s="25">
        <f>9.3*1000^2</f>
        <v>9300000</v>
      </c>
      <c r="S137" s="83" t="s">
        <v>838</v>
      </c>
      <c r="T137" s="25"/>
      <c r="U137" s="83"/>
      <c r="V137" s="25"/>
      <c r="W137" s="46"/>
      <c r="X137" s="29"/>
      <c r="Y137" s="21" t="s">
        <v>1035</v>
      </c>
      <c r="AA137" s="21" t="s">
        <v>1036</v>
      </c>
      <c r="AB137" s="21" t="s">
        <v>4</v>
      </c>
      <c r="AC137" s="25"/>
    </row>
    <row r="138" spans="2:29" s="21" customFormat="1" outlineLevel="1" x14ac:dyDescent="0.3">
      <c r="B138" s="21" t="s">
        <v>1050</v>
      </c>
      <c r="C138" s="21" t="s">
        <v>479</v>
      </c>
      <c r="E138" s="22">
        <v>10.728664185153001</v>
      </c>
      <c r="F138" s="22">
        <v>-11.172108650207001</v>
      </c>
      <c r="G138" s="68" t="s">
        <v>437</v>
      </c>
      <c r="H138" s="21" t="s">
        <v>236</v>
      </c>
      <c r="I138" s="21" t="s">
        <v>25</v>
      </c>
      <c r="J138" s="29"/>
      <c r="K138" s="23">
        <v>1.65</v>
      </c>
      <c r="L138" s="75" t="s">
        <v>437</v>
      </c>
      <c r="N138" s="45"/>
      <c r="P138" s="45"/>
      <c r="Q138" s="24"/>
      <c r="R138" s="51" t="s">
        <v>1029</v>
      </c>
      <c r="S138" s="45" t="s">
        <v>440</v>
      </c>
      <c r="U138" s="45"/>
      <c r="V138" s="25"/>
      <c r="W138" s="46"/>
      <c r="X138" s="29"/>
      <c r="Y138" s="21" t="s">
        <v>1035</v>
      </c>
      <c r="AA138" s="21" t="s">
        <v>1037</v>
      </c>
      <c r="AB138" s="21" t="s">
        <v>1231</v>
      </c>
      <c r="AC138" s="25"/>
    </row>
    <row r="139" spans="2:29" s="21" customFormat="1" outlineLevel="1" x14ac:dyDescent="0.3">
      <c r="B139" s="21" t="s">
        <v>226</v>
      </c>
      <c r="C139" s="21" t="s">
        <v>467</v>
      </c>
      <c r="E139" s="22">
        <v>8.5796035064620906</v>
      </c>
      <c r="F139" s="22">
        <v>-9.4304323196361892</v>
      </c>
      <c r="G139" s="68" t="s">
        <v>437</v>
      </c>
      <c r="H139" s="21" t="s">
        <v>236</v>
      </c>
      <c r="I139" s="21" t="s">
        <v>226</v>
      </c>
      <c r="J139" s="29"/>
      <c r="K139" s="23">
        <v>0.16</v>
      </c>
      <c r="L139" s="75" t="s">
        <v>437</v>
      </c>
      <c r="N139" s="45"/>
      <c r="P139" s="45"/>
      <c r="Q139" s="24"/>
      <c r="S139" s="45"/>
      <c r="U139" s="45"/>
      <c r="V139" s="25"/>
      <c r="W139" s="46"/>
      <c r="X139" s="29"/>
      <c r="Y139" s="21" t="s">
        <v>1035</v>
      </c>
      <c r="AA139" s="21" t="s">
        <v>1036</v>
      </c>
      <c r="AB139" s="21" t="s">
        <v>1231</v>
      </c>
      <c r="AC139" s="25"/>
    </row>
    <row r="140" spans="2:29" s="21" customFormat="1" outlineLevel="1" x14ac:dyDescent="0.3">
      <c r="B140" s="21" t="s">
        <v>87</v>
      </c>
      <c r="C140" s="21" t="s">
        <v>480</v>
      </c>
      <c r="E140" s="22"/>
      <c r="F140" s="22"/>
      <c r="G140" s="68"/>
      <c r="H140" s="21" t="s">
        <v>75</v>
      </c>
      <c r="I140" s="21" t="s">
        <v>226</v>
      </c>
      <c r="J140" s="29"/>
      <c r="K140" s="23">
        <v>2.4</v>
      </c>
      <c r="L140" s="79" t="s">
        <v>839</v>
      </c>
      <c r="N140" s="45"/>
      <c r="O140" s="24">
        <v>12</v>
      </c>
      <c r="P140" s="79" t="s">
        <v>839</v>
      </c>
      <c r="Q140" s="24"/>
      <c r="S140" s="45"/>
      <c r="U140" s="45"/>
      <c r="V140" s="25"/>
      <c r="W140" s="46"/>
      <c r="X140" s="29"/>
      <c r="Y140" s="21" t="s">
        <v>1035</v>
      </c>
      <c r="AA140" s="21" t="s">
        <v>1036</v>
      </c>
      <c r="AB140" s="21" t="s">
        <v>198</v>
      </c>
      <c r="AC140" s="25"/>
    </row>
    <row r="141" spans="2:29" s="21" customFormat="1" outlineLevel="1" x14ac:dyDescent="0.3">
      <c r="B141" s="21" t="s">
        <v>88</v>
      </c>
      <c r="C141" s="21" t="s">
        <v>480</v>
      </c>
      <c r="E141" s="22"/>
      <c r="F141" s="22"/>
      <c r="G141" s="68"/>
      <c r="H141" s="21" t="s">
        <v>80</v>
      </c>
      <c r="I141" s="21" t="s">
        <v>227</v>
      </c>
      <c r="J141" s="29"/>
      <c r="K141" s="23">
        <v>1.6</v>
      </c>
      <c r="L141" s="75" t="s">
        <v>439</v>
      </c>
      <c r="M141" s="24">
        <v>3</v>
      </c>
      <c r="N141" s="79" t="s">
        <v>850</v>
      </c>
      <c r="P141" s="45"/>
      <c r="Q141" s="24"/>
      <c r="S141" s="45"/>
      <c r="U141" s="45"/>
      <c r="V141" s="25"/>
      <c r="W141" s="46" t="s">
        <v>851</v>
      </c>
      <c r="X141" s="29"/>
      <c r="Y141" s="21" t="s">
        <v>1035</v>
      </c>
      <c r="AA141" s="21" t="s">
        <v>1036</v>
      </c>
      <c r="AB141" s="21" t="s">
        <v>198</v>
      </c>
      <c r="AC141" s="25"/>
    </row>
    <row r="142" spans="2:29" s="21" customFormat="1" outlineLevel="1" x14ac:dyDescent="0.3">
      <c r="B142" s="21" t="s">
        <v>89</v>
      </c>
      <c r="E142" s="22"/>
      <c r="F142" s="22"/>
      <c r="G142" s="68"/>
      <c r="H142" s="21" t="s">
        <v>77</v>
      </c>
      <c r="I142" s="21" t="s">
        <v>236</v>
      </c>
      <c r="J142" s="29"/>
      <c r="K142" s="23">
        <v>1.3</v>
      </c>
      <c r="L142" s="79" t="s">
        <v>856</v>
      </c>
      <c r="M142" s="24">
        <v>24</v>
      </c>
      <c r="N142" s="79" t="s">
        <v>856</v>
      </c>
      <c r="P142" s="45"/>
      <c r="Q142" s="24"/>
      <c r="S142" s="45"/>
      <c r="U142" s="45"/>
      <c r="V142" s="25"/>
      <c r="W142" s="106"/>
      <c r="X142" s="29"/>
      <c r="Y142" s="21" t="s">
        <v>1035</v>
      </c>
      <c r="AA142" s="21" t="s">
        <v>1036</v>
      </c>
      <c r="AB142" s="21" t="s">
        <v>198</v>
      </c>
      <c r="AC142" s="25"/>
    </row>
    <row r="143" spans="2:29" x14ac:dyDescent="0.3">
      <c r="D143" s="1"/>
      <c r="J143" s="1"/>
      <c r="X143" s="1"/>
    </row>
    <row r="144" spans="2:29" x14ac:dyDescent="0.3">
      <c r="D144" s="1"/>
      <c r="J144" s="1"/>
      <c r="X144" s="1"/>
    </row>
    <row r="145" spans="2:29" ht="14.5" thickBot="1" x14ac:dyDescent="0.35">
      <c r="B145" s="7" t="s">
        <v>20</v>
      </c>
      <c r="C145" s="7"/>
      <c r="D145" s="1"/>
      <c r="E145" s="8"/>
      <c r="F145" s="7"/>
      <c r="G145" s="40"/>
      <c r="H145" s="8"/>
      <c r="I145" s="8"/>
      <c r="J145" s="1"/>
      <c r="K145" s="11"/>
      <c r="L145" s="74"/>
      <c r="M145" s="7"/>
      <c r="N145" s="40"/>
      <c r="O145" s="18"/>
      <c r="P145" s="78"/>
      <c r="R145" s="15"/>
      <c r="S145" s="85"/>
      <c r="T145" s="15"/>
      <c r="U145" s="85"/>
      <c r="W145" s="41"/>
      <c r="X145" s="1"/>
      <c r="Y145" s="102"/>
      <c r="Z145" s="102"/>
      <c r="AA145" s="102"/>
      <c r="AB145" s="7"/>
    </row>
    <row r="146" spans="2:29" s="21" customFormat="1" outlineLevel="1" x14ac:dyDescent="0.3">
      <c r="B146" s="21" t="s">
        <v>374</v>
      </c>
      <c r="C146" s="21" t="s">
        <v>473</v>
      </c>
      <c r="E146" s="22">
        <v>6.19</v>
      </c>
      <c r="F146" s="22">
        <v>-9.85</v>
      </c>
      <c r="G146" s="68" t="s">
        <v>443</v>
      </c>
      <c r="H146" s="21" t="s">
        <v>375</v>
      </c>
      <c r="I146" s="21" t="s">
        <v>375</v>
      </c>
      <c r="J146" s="29"/>
      <c r="K146" s="23">
        <v>67</v>
      </c>
      <c r="L146" s="75" t="s">
        <v>443</v>
      </c>
      <c r="M146" s="24"/>
      <c r="N146" s="79"/>
      <c r="O146" s="24"/>
      <c r="P146" s="79"/>
      <c r="Q146" s="24"/>
      <c r="R146" s="25"/>
      <c r="S146" s="83"/>
      <c r="T146" s="25"/>
      <c r="U146" s="83"/>
      <c r="V146" s="25"/>
      <c r="W146" s="46"/>
      <c r="X146" s="29"/>
      <c r="Y146" s="21" t="s">
        <v>1031</v>
      </c>
      <c r="Z146" s="21" t="s">
        <v>1034</v>
      </c>
      <c r="AB146" s="21" t="s">
        <v>198</v>
      </c>
      <c r="AC146" s="25"/>
    </row>
    <row r="147" spans="2:29" s="21" customFormat="1" outlineLevel="1" x14ac:dyDescent="0.3">
      <c r="B147" s="21" t="s">
        <v>405</v>
      </c>
      <c r="C147" s="21" t="s">
        <v>515</v>
      </c>
      <c r="E147" s="22">
        <v>7.41</v>
      </c>
      <c r="F147" s="22">
        <v>-11.05</v>
      </c>
      <c r="G147" s="68" t="s">
        <v>443</v>
      </c>
      <c r="H147" s="21" t="s">
        <v>405</v>
      </c>
      <c r="I147" s="21" t="s">
        <v>405</v>
      </c>
      <c r="J147" s="29"/>
      <c r="K147" s="23">
        <v>180</v>
      </c>
      <c r="L147" s="75" t="s">
        <v>443</v>
      </c>
      <c r="M147" s="24"/>
      <c r="N147" s="79"/>
      <c r="O147" s="24"/>
      <c r="P147" s="79"/>
      <c r="Q147" s="24"/>
      <c r="R147" s="25"/>
      <c r="S147" s="83"/>
      <c r="T147" s="25"/>
      <c r="U147" s="83"/>
      <c r="V147" s="25"/>
      <c r="W147" s="46"/>
      <c r="X147" s="29"/>
      <c r="Y147" s="21" t="s">
        <v>1031</v>
      </c>
      <c r="Z147" s="21" t="s">
        <v>1034</v>
      </c>
      <c r="AB147" s="21" t="s">
        <v>198</v>
      </c>
      <c r="AC147" s="25"/>
    </row>
    <row r="148" spans="2:29" s="21" customFormat="1" outlineLevel="1" x14ac:dyDescent="0.3">
      <c r="B148" s="21" t="s">
        <v>408</v>
      </c>
      <c r="C148" s="21" t="s">
        <v>497</v>
      </c>
      <c r="E148" s="22">
        <v>6.9166999999999996</v>
      </c>
      <c r="F148" s="22">
        <v>-10.55</v>
      </c>
      <c r="G148" s="68" t="s">
        <v>443</v>
      </c>
      <c r="H148" s="21" t="s">
        <v>225</v>
      </c>
      <c r="I148" s="21" t="s">
        <v>225</v>
      </c>
      <c r="J148" s="29"/>
      <c r="K148" s="23">
        <v>74</v>
      </c>
      <c r="L148" s="75" t="s">
        <v>443</v>
      </c>
      <c r="M148" s="24"/>
      <c r="N148" s="79"/>
      <c r="O148" s="24"/>
      <c r="P148" s="79"/>
      <c r="Q148" s="24"/>
      <c r="R148" s="25"/>
      <c r="S148" s="83"/>
      <c r="T148" s="25"/>
      <c r="U148" s="83"/>
      <c r="V148" s="25"/>
      <c r="W148" s="46"/>
      <c r="X148" s="29"/>
      <c r="Y148" s="21" t="s">
        <v>1031</v>
      </c>
      <c r="Z148" s="21" t="s">
        <v>1034</v>
      </c>
      <c r="AB148" s="21" t="s">
        <v>198</v>
      </c>
      <c r="AC148" s="25"/>
    </row>
    <row r="149" spans="2:29" s="21" customFormat="1" outlineLevel="1" x14ac:dyDescent="0.3">
      <c r="B149" s="21" t="s">
        <v>406</v>
      </c>
      <c r="C149" s="21" t="s">
        <v>497</v>
      </c>
      <c r="E149" s="22">
        <v>7.2050000000000001</v>
      </c>
      <c r="F149" s="22">
        <v>-9.8130000000000006</v>
      </c>
      <c r="G149" s="68" t="s">
        <v>443</v>
      </c>
      <c r="H149" s="21" t="s">
        <v>225</v>
      </c>
      <c r="I149" s="21" t="s">
        <v>225</v>
      </c>
      <c r="J149" s="29"/>
      <c r="K149" s="23">
        <v>132</v>
      </c>
      <c r="L149" s="75" t="s">
        <v>443</v>
      </c>
      <c r="M149" s="24">
        <v>40</v>
      </c>
      <c r="N149" s="75" t="s">
        <v>443</v>
      </c>
      <c r="O149" s="24"/>
      <c r="P149" s="79"/>
      <c r="Q149" s="24"/>
      <c r="R149" s="25"/>
      <c r="S149" s="83"/>
      <c r="T149" s="25"/>
      <c r="U149" s="83"/>
      <c r="V149" s="25"/>
      <c r="W149" s="46"/>
      <c r="X149" s="29"/>
      <c r="Y149" s="21" t="s">
        <v>1031</v>
      </c>
      <c r="Z149" s="21" t="s">
        <v>1034</v>
      </c>
      <c r="AB149" s="21" t="s">
        <v>198</v>
      </c>
      <c r="AC149" s="25"/>
    </row>
    <row r="150" spans="2:29" s="21" customFormat="1" outlineLevel="1" x14ac:dyDescent="0.3">
      <c r="B150" s="21" t="s">
        <v>407</v>
      </c>
      <c r="C150" s="21" t="s">
        <v>515</v>
      </c>
      <c r="E150" s="22">
        <v>7.01</v>
      </c>
      <c r="F150" s="22">
        <v>-10.16</v>
      </c>
      <c r="G150" s="68" t="s">
        <v>443</v>
      </c>
      <c r="H150" s="21" t="s">
        <v>225</v>
      </c>
      <c r="I150" s="21" t="s">
        <v>225</v>
      </c>
      <c r="J150" s="29"/>
      <c r="K150" s="23">
        <v>120</v>
      </c>
      <c r="L150" s="75" t="s">
        <v>443</v>
      </c>
      <c r="M150" s="24"/>
      <c r="N150" s="79"/>
      <c r="O150" s="24"/>
      <c r="P150" s="79"/>
      <c r="Q150" s="24"/>
      <c r="R150" s="25"/>
      <c r="S150" s="83"/>
      <c r="T150" s="25"/>
      <c r="U150" s="83"/>
      <c r="V150" s="25"/>
      <c r="W150" s="46"/>
      <c r="X150" s="29"/>
      <c r="Y150" s="21" t="s">
        <v>1031</v>
      </c>
      <c r="Z150" s="21" t="s">
        <v>1034</v>
      </c>
      <c r="AB150" s="21" t="s">
        <v>198</v>
      </c>
      <c r="AC150" s="25"/>
    </row>
    <row r="151" spans="2:29" s="21" customFormat="1" outlineLevel="1" x14ac:dyDescent="0.3">
      <c r="B151" s="21" t="s">
        <v>412</v>
      </c>
      <c r="C151" s="21" t="s">
        <v>515</v>
      </c>
      <c r="E151" s="22">
        <v>6.950901</v>
      </c>
      <c r="F151" s="22">
        <v>-10.28149</v>
      </c>
      <c r="G151" s="68" t="s">
        <v>443</v>
      </c>
      <c r="H151" s="21" t="s">
        <v>225</v>
      </c>
      <c r="I151" s="21" t="s">
        <v>225</v>
      </c>
      <c r="J151" s="29"/>
      <c r="K151" s="23">
        <v>80</v>
      </c>
      <c r="L151" s="75" t="s">
        <v>443</v>
      </c>
      <c r="M151" s="24"/>
      <c r="N151" s="79"/>
      <c r="O151" s="24"/>
      <c r="P151" s="79"/>
      <c r="Q151" s="24"/>
      <c r="R151" s="25"/>
      <c r="S151" s="83"/>
      <c r="T151" s="25"/>
      <c r="U151" s="83"/>
      <c r="V151" s="25"/>
      <c r="W151" s="46"/>
      <c r="X151" s="29"/>
      <c r="Y151" s="21" t="s">
        <v>1031</v>
      </c>
      <c r="Z151" s="21" t="s">
        <v>1034</v>
      </c>
      <c r="AB151" s="21" t="s">
        <v>198</v>
      </c>
      <c r="AC151" s="25"/>
    </row>
    <row r="152" spans="2:29" s="21" customFormat="1" outlineLevel="1" x14ac:dyDescent="0.3">
      <c r="B152" s="21" t="s">
        <v>373</v>
      </c>
      <c r="C152" s="21" t="s">
        <v>483</v>
      </c>
      <c r="E152" s="22"/>
      <c r="F152" s="22"/>
      <c r="G152" s="68"/>
      <c r="H152" s="21" t="s">
        <v>373</v>
      </c>
      <c r="I152" s="21" t="s">
        <v>373</v>
      </c>
      <c r="J152" s="29"/>
      <c r="K152" s="23">
        <v>41</v>
      </c>
      <c r="L152" s="75" t="s">
        <v>442</v>
      </c>
      <c r="M152" s="24"/>
      <c r="N152" s="79"/>
      <c r="O152" s="24"/>
      <c r="P152" s="79"/>
      <c r="Q152" s="24"/>
      <c r="R152" s="25"/>
      <c r="S152" s="83"/>
      <c r="T152" s="25"/>
      <c r="U152" s="83"/>
      <c r="V152" s="25"/>
      <c r="W152" s="46"/>
      <c r="X152" s="29"/>
      <c r="Y152" s="21" t="s">
        <v>1031</v>
      </c>
      <c r="Z152" s="21" t="s">
        <v>1034</v>
      </c>
      <c r="AB152" s="21" t="s">
        <v>198</v>
      </c>
      <c r="AC152" s="25"/>
    </row>
    <row r="153" spans="2:29" s="21" customFormat="1" outlineLevel="1" x14ac:dyDescent="0.3">
      <c r="B153" s="21" t="s">
        <v>226</v>
      </c>
      <c r="C153" s="21" t="s">
        <v>483</v>
      </c>
      <c r="E153" s="22"/>
      <c r="F153" s="22"/>
      <c r="G153" s="68"/>
      <c r="H153" s="21" t="s">
        <v>226</v>
      </c>
      <c r="I153" s="21" t="s">
        <v>226</v>
      </c>
      <c r="J153" s="29"/>
      <c r="K153" s="23">
        <v>29</v>
      </c>
      <c r="L153" s="75" t="s">
        <v>442</v>
      </c>
      <c r="M153" s="24"/>
      <c r="N153" s="79"/>
      <c r="O153" s="24"/>
      <c r="P153" s="79"/>
      <c r="Q153" s="24"/>
      <c r="R153" s="25"/>
      <c r="S153" s="83"/>
      <c r="T153" s="25"/>
      <c r="U153" s="83"/>
      <c r="V153" s="25"/>
      <c r="W153" s="46"/>
      <c r="X153" s="29"/>
      <c r="Y153" s="21" t="s">
        <v>1031</v>
      </c>
      <c r="Z153" s="21" t="s">
        <v>1034</v>
      </c>
      <c r="AB153" s="21" t="s">
        <v>198</v>
      </c>
      <c r="AC153" s="25"/>
    </row>
    <row r="154" spans="2:29" s="21" customFormat="1" outlineLevel="1" x14ac:dyDescent="0.3">
      <c r="B154" s="21" t="s">
        <v>1053</v>
      </c>
      <c r="C154" s="21" t="s">
        <v>524</v>
      </c>
      <c r="E154" s="22">
        <v>6.5104695207893002</v>
      </c>
      <c r="F154" s="22">
        <v>-10.6510734558109</v>
      </c>
      <c r="G154" s="68" t="s">
        <v>437</v>
      </c>
      <c r="H154" s="21" t="s">
        <v>225</v>
      </c>
      <c r="I154" s="21" t="s">
        <v>225</v>
      </c>
      <c r="J154" s="29"/>
      <c r="K154" s="23">
        <v>88</v>
      </c>
      <c r="L154" s="75" t="s">
        <v>437</v>
      </c>
      <c r="M154" s="24"/>
      <c r="N154" s="79"/>
      <c r="O154" s="24"/>
      <c r="P154" s="79"/>
      <c r="Q154" s="24"/>
      <c r="R154" s="51" t="s">
        <v>833</v>
      </c>
      <c r="S154" s="45" t="s">
        <v>440</v>
      </c>
      <c r="T154" s="25"/>
      <c r="U154" s="83"/>
      <c r="V154" s="25"/>
      <c r="W154" s="46"/>
      <c r="X154" s="29"/>
      <c r="Y154" s="21" t="s">
        <v>1035</v>
      </c>
      <c r="AA154" s="21" t="s">
        <v>1037</v>
      </c>
      <c r="AB154" s="21" t="s">
        <v>1231</v>
      </c>
      <c r="AC154" s="25"/>
    </row>
    <row r="155" spans="2:29" s="21" customFormat="1" outlineLevel="1" x14ac:dyDescent="0.3">
      <c r="B155" s="21" t="s">
        <v>21</v>
      </c>
      <c r="C155" s="21" t="s">
        <v>467</v>
      </c>
      <c r="D155" s="29"/>
      <c r="E155" s="22">
        <v>6.2991033395625902</v>
      </c>
      <c r="F155" s="22">
        <v>-10.3100600838729</v>
      </c>
      <c r="G155" s="68" t="s">
        <v>437</v>
      </c>
      <c r="H155" s="21" t="s">
        <v>229</v>
      </c>
      <c r="I155" s="21" t="s">
        <v>236</v>
      </c>
      <c r="J155" s="29"/>
      <c r="K155" s="23">
        <v>4.8</v>
      </c>
      <c r="L155" s="75" t="s">
        <v>437</v>
      </c>
      <c r="N155" s="45"/>
      <c r="O155" s="24"/>
      <c r="P155" s="79"/>
      <c r="Q155" s="24"/>
      <c r="R155" s="25"/>
      <c r="S155" s="83"/>
      <c r="T155" s="25"/>
      <c r="U155" s="83"/>
      <c r="V155" s="25"/>
      <c r="W155" s="46"/>
      <c r="X155" s="29"/>
      <c r="Y155" s="21" t="s">
        <v>1035</v>
      </c>
      <c r="AA155" s="21" t="s">
        <v>1036</v>
      </c>
      <c r="AB155" s="21" t="s">
        <v>1231</v>
      </c>
      <c r="AC155" s="25"/>
    </row>
    <row r="156" spans="2:29" s="21" customFormat="1" outlineLevel="1" x14ac:dyDescent="0.3">
      <c r="B156" s="21" t="s">
        <v>177</v>
      </c>
      <c r="C156" s="21" t="s">
        <v>439</v>
      </c>
      <c r="D156" s="29"/>
      <c r="E156" s="22"/>
      <c r="F156" s="22"/>
      <c r="G156" s="68"/>
      <c r="H156" s="21" t="s">
        <v>180</v>
      </c>
      <c r="I156" s="21" t="s">
        <v>236</v>
      </c>
      <c r="J156" s="29"/>
      <c r="K156" s="23">
        <v>86</v>
      </c>
      <c r="L156" s="75" t="s">
        <v>439</v>
      </c>
      <c r="N156" s="45"/>
      <c r="O156" s="24"/>
      <c r="P156" s="79"/>
      <c r="Q156" s="24"/>
      <c r="R156" s="25"/>
      <c r="S156" s="83"/>
      <c r="T156" s="25"/>
      <c r="U156" s="83"/>
      <c r="V156" s="25"/>
      <c r="W156" s="105"/>
      <c r="X156" s="29"/>
      <c r="Y156" s="21" t="s">
        <v>1035</v>
      </c>
      <c r="AA156" s="21" t="s">
        <v>1036</v>
      </c>
      <c r="AB156" s="21" t="s">
        <v>198</v>
      </c>
      <c r="AC156" s="25"/>
    </row>
    <row r="157" spans="2:29" x14ac:dyDescent="0.3">
      <c r="D157" s="1"/>
      <c r="F157" s="1"/>
      <c r="G157" s="35"/>
      <c r="J157" s="1"/>
      <c r="X157" s="1"/>
      <c r="AB157" s="6"/>
    </row>
    <row r="158" spans="2:29" x14ac:dyDescent="0.3">
      <c r="D158" s="1"/>
      <c r="F158" s="1"/>
      <c r="G158" s="35"/>
      <c r="J158" s="1"/>
      <c r="X158" s="1"/>
      <c r="AB158" s="6"/>
    </row>
    <row r="159" spans="2:29" ht="14.5" thickBot="1" x14ac:dyDescent="0.35">
      <c r="B159" s="7" t="s">
        <v>3</v>
      </c>
      <c r="C159" s="7"/>
      <c r="D159" s="1"/>
      <c r="E159" s="8"/>
      <c r="F159" s="7"/>
      <c r="G159" s="40"/>
      <c r="H159" s="8"/>
      <c r="I159" s="8"/>
      <c r="J159" s="1"/>
      <c r="K159" s="11"/>
      <c r="L159" s="74"/>
      <c r="M159" s="7"/>
      <c r="N159" s="40"/>
      <c r="O159" s="18"/>
      <c r="P159" s="78"/>
      <c r="R159" s="15"/>
      <c r="S159" s="85"/>
      <c r="T159" s="15"/>
      <c r="U159" s="85"/>
      <c r="W159" s="41"/>
      <c r="X159" s="1"/>
      <c r="Y159" s="102"/>
      <c r="Z159" s="102"/>
      <c r="AA159" s="102"/>
      <c r="AB159" s="7"/>
    </row>
    <row r="160" spans="2:29" s="21" customFormat="1" outlineLevel="1" x14ac:dyDescent="0.3">
      <c r="B160" s="21" t="s">
        <v>5</v>
      </c>
      <c r="C160" s="21" t="s">
        <v>507</v>
      </c>
      <c r="E160" s="22">
        <v>13.198893826915</v>
      </c>
      <c r="F160" s="22">
        <v>-10.430960655210001</v>
      </c>
      <c r="G160" s="68" t="s">
        <v>437</v>
      </c>
      <c r="H160" s="21" t="s">
        <v>57</v>
      </c>
      <c r="I160" s="21" t="s">
        <v>6</v>
      </c>
      <c r="J160" s="29"/>
      <c r="K160" s="23">
        <v>200</v>
      </c>
      <c r="L160" s="75" t="s">
        <v>437</v>
      </c>
      <c r="M160" s="24">
        <v>70</v>
      </c>
      <c r="N160" s="79" t="s">
        <v>443</v>
      </c>
      <c r="O160" s="24">
        <v>46</v>
      </c>
      <c r="P160" s="79" t="s">
        <v>859</v>
      </c>
      <c r="Q160" s="24"/>
      <c r="R160" s="25">
        <f>11*10^9</f>
        <v>11000000000</v>
      </c>
      <c r="S160" s="83" t="s">
        <v>861</v>
      </c>
      <c r="T160" s="52">
        <f>477*10^6</f>
        <v>477000000</v>
      </c>
      <c r="U160" s="83" t="s">
        <v>861</v>
      </c>
      <c r="V160" s="25"/>
      <c r="W160" s="46" t="s">
        <v>1230</v>
      </c>
      <c r="X160" s="29"/>
      <c r="Y160" s="21" t="s">
        <v>1031</v>
      </c>
      <c r="Z160" s="21" t="s">
        <v>1042</v>
      </c>
      <c r="AB160" s="21" t="s">
        <v>1231</v>
      </c>
      <c r="AC160" s="25"/>
    </row>
    <row r="161" spans="2:29" s="21" customFormat="1" outlineLevel="1" x14ac:dyDescent="0.3">
      <c r="B161" s="21" t="s">
        <v>245</v>
      </c>
      <c r="C161" s="21" t="s">
        <v>507</v>
      </c>
      <c r="E161" s="22">
        <v>11.6387999999999</v>
      </c>
      <c r="F161" s="22">
        <v>-8.2294999999999892</v>
      </c>
      <c r="G161" s="68" t="s">
        <v>437</v>
      </c>
      <c r="H161" s="21" t="s">
        <v>58</v>
      </c>
      <c r="I161" s="21" t="s">
        <v>25</v>
      </c>
      <c r="J161" s="29"/>
      <c r="K161" s="23">
        <v>47.6</v>
      </c>
      <c r="L161" s="75" t="s">
        <v>437</v>
      </c>
      <c r="M161" s="24">
        <v>25</v>
      </c>
      <c r="N161" s="79" t="s">
        <v>443</v>
      </c>
      <c r="O161" s="24">
        <v>17.5</v>
      </c>
      <c r="P161" s="79" t="s">
        <v>862</v>
      </c>
      <c r="Q161" s="24"/>
      <c r="R161" s="51">
        <v>2166000000</v>
      </c>
      <c r="S161" s="83" t="s">
        <v>868</v>
      </c>
      <c r="T161" s="52">
        <f>409*10^6</f>
        <v>409000000</v>
      </c>
      <c r="U161" s="87" t="s">
        <v>868</v>
      </c>
      <c r="V161" s="25"/>
      <c r="W161" s="46"/>
      <c r="X161" s="29"/>
      <c r="Y161" s="21" t="s">
        <v>1031</v>
      </c>
      <c r="Z161" s="21" t="s">
        <v>1042</v>
      </c>
      <c r="AB161" s="21" t="s">
        <v>1231</v>
      </c>
      <c r="AC161" s="25"/>
    </row>
    <row r="162" spans="2:29" s="21" customFormat="1" outlineLevel="1" x14ac:dyDescent="0.3">
      <c r="B162" s="21" t="s">
        <v>348</v>
      </c>
      <c r="C162" s="21" t="s">
        <v>482</v>
      </c>
      <c r="E162" s="22">
        <v>16.943179650461001</v>
      </c>
      <c r="F162" s="22">
        <v>-0.57472229003645003</v>
      </c>
      <c r="G162" s="68" t="s">
        <v>437</v>
      </c>
      <c r="H162" s="21" t="s">
        <v>25</v>
      </c>
      <c r="I162" s="21" t="s">
        <v>25</v>
      </c>
      <c r="J162" s="29"/>
      <c r="K162" s="23">
        <v>25</v>
      </c>
      <c r="L162" s="75" t="s">
        <v>437</v>
      </c>
      <c r="M162" s="24">
        <v>18</v>
      </c>
      <c r="N162" s="79" t="s">
        <v>756</v>
      </c>
      <c r="O162" s="25"/>
      <c r="P162" s="83"/>
      <c r="Q162" s="24"/>
      <c r="R162" s="25">
        <f>3*10^9</f>
        <v>3000000000</v>
      </c>
      <c r="S162" s="83" t="s">
        <v>869</v>
      </c>
      <c r="T162" s="25">
        <v>1572000000</v>
      </c>
      <c r="U162" s="79" t="s">
        <v>756</v>
      </c>
      <c r="V162" s="25"/>
      <c r="W162" s="46"/>
      <c r="X162" s="29"/>
      <c r="Y162" s="21" t="s">
        <v>1031</v>
      </c>
      <c r="Z162" s="21" t="s">
        <v>1042</v>
      </c>
      <c r="AB162" s="21" t="s">
        <v>1232</v>
      </c>
      <c r="AC162" s="25"/>
    </row>
    <row r="163" spans="2:29" s="21" customFormat="1" outlineLevel="1" x14ac:dyDescent="0.3">
      <c r="B163" s="21" t="s">
        <v>403</v>
      </c>
      <c r="C163" s="21" t="s">
        <v>515</v>
      </c>
      <c r="E163" s="22">
        <v>16.297567999999998</v>
      </c>
      <c r="F163" s="22">
        <v>-5.9566000000000001E-2</v>
      </c>
      <c r="G163" s="68" t="s">
        <v>443</v>
      </c>
      <c r="H163" s="21" t="s">
        <v>25</v>
      </c>
      <c r="I163" s="21" t="s">
        <v>25</v>
      </c>
      <c r="J163" s="29"/>
      <c r="K163" s="23">
        <v>300</v>
      </c>
      <c r="L163" s="75" t="s">
        <v>443</v>
      </c>
      <c r="M163" s="24"/>
      <c r="N163" s="79"/>
      <c r="O163" s="25"/>
      <c r="P163" s="83"/>
      <c r="Q163" s="24"/>
      <c r="R163" s="25"/>
      <c r="S163" s="83"/>
      <c r="T163" s="25"/>
      <c r="U163" s="83"/>
      <c r="V163" s="25"/>
      <c r="W163" s="46"/>
      <c r="X163" s="29"/>
      <c r="Y163" s="21" t="s">
        <v>1031</v>
      </c>
      <c r="Z163" s="21" t="s">
        <v>1034</v>
      </c>
      <c r="AB163" s="21" t="s">
        <v>198</v>
      </c>
      <c r="AC163" s="25"/>
    </row>
    <row r="164" spans="2:29" s="21" customFormat="1" outlineLevel="1" x14ac:dyDescent="0.3">
      <c r="B164" s="21" t="s">
        <v>133</v>
      </c>
      <c r="C164" s="21" t="s">
        <v>486</v>
      </c>
      <c r="E164" s="22">
        <v>13.646295</v>
      </c>
      <c r="F164" s="22">
        <v>-10.215477999999999</v>
      </c>
      <c r="G164" s="68" t="s">
        <v>560</v>
      </c>
      <c r="H164" s="21" t="s">
        <v>142</v>
      </c>
      <c r="I164" s="21" t="s">
        <v>6</v>
      </c>
      <c r="J164" s="29"/>
      <c r="K164" s="23">
        <v>70</v>
      </c>
      <c r="L164" s="75" t="s">
        <v>442</v>
      </c>
      <c r="M164" s="24"/>
      <c r="N164" s="79"/>
      <c r="O164" s="28">
        <v>41.5</v>
      </c>
      <c r="P164" s="79" t="s">
        <v>753</v>
      </c>
      <c r="Q164" s="24"/>
      <c r="R164" s="25"/>
      <c r="S164" s="83"/>
      <c r="T164" s="25"/>
      <c r="U164" s="83"/>
      <c r="V164" s="25"/>
      <c r="W164" s="46"/>
      <c r="X164" s="29"/>
      <c r="Y164" s="21" t="s">
        <v>1031</v>
      </c>
      <c r="Z164" s="21" t="s">
        <v>1034</v>
      </c>
      <c r="AB164" s="21" t="s">
        <v>198</v>
      </c>
      <c r="AC164" s="25"/>
    </row>
    <row r="165" spans="2:29" s="21" customFormat="1" outlineLevel="1" x14ac:dyDescent="0.3">
      <c r="B165" s="21" t="s">
        <v>404</v>
      </c>
      <c r="C165" s="21" t="s">
        <v>515</v>
      </c>
      <c r="E165" s="22">
        <v>15</v>
      </c>
      <c r="F165" s="22">
        <v>0.66</v>
      </c>
      <c r="G165" s="68" t="s">
        <v>443</v>
      </c>
      <c r="H165" s="21" t="s">
        <v>25</v>
      </c>
      <c r="I165" s="21" t="s">
        <v>25</v>
      </c>
      <c r="J165" s="29"/>
      <c r="K165" s="23">
        <v>65</v>
      </c>
      <c r="L165" s="75" t="s">
        <v>443</v>
      </c>
      <c r="M165" s="24">
        <v>15</v>
      </c>
      <c r="N165" s="79" t="s">
        <v>443</v>
      </c>
      <c r="O165" s="28"/>
      <c r="P165" s="79"/>
      <c r="Q165" s="24"/>
      <c r="R165" s="25"/>
      <c r="S165" s="83"/>
      <c r="T165" s="25"/>
      <c r="U165" s="83"/>
      <c r="V165" s="25"/>
      <c r="W165" s="46"/>
      <c r="X165" s="29"/>
      <c r="Y165" s="21" t="s">
        <v>1031</v>
      </c>
      <c r="Z165" s="21" t="s">
        <v>1034</v>
      </c>
      <c r="AB165" s="21" t="s">
        <v>198</v>
      </c>
      <c r="AC165" s="25"/>
    </row>
    <row r="166" spans="2:29" s="21" customFormat="1" outlineLevel="1" x14ac:dyDescent="0.3">
      <c r="B166" s="21" t="s">
        <v>221</v>
      </c>
      <c r="C166" s="21" t="s">
        <v>473</v>
      </c>
      <c r="E166" s="22">
        <v>12.32</v>
      </c>
      <c r="F166" s="22">
        <v>-10.46</v>
      </c>
      <c r="G166" s="68" t="s">
        <v>443</v>
      </c>
      <c r="H166" s="21" t="s">
        <v>57</v>
      </c>
      <c r="I166" s="21" t="s">
        <v>6</v>
      </c>
      <c r="J166" s="29"/>
      <c r="K166" s="23">
        <v>49.5</v>
      </c>
      <c r="L166" s="75" t="s">
        <v>442</v>
      </c>
      <c r="M166" s="24">
        <v>43</v>
      </c>
      <c r="N166" s="79" t="s">
        <v>443</v>
      </c>
      <c r="O166" s="24">
        <v>43</v>
      </c>
      <c r="P166" s="79" t="s">
        <v>753</v>
      </c>
      <c r="Q166" s="24"/>
      <c r="S166" s="45"/>
      <c r="U166" s="45"/>
      <c r="V166" s="25"/>
      <c r="W166" s="46"/>
      <c r="X166" s="29"/>
      <c r="Y166" s="21" t="s">
        <v>1031</v>
      </c>
      <c r="Z166" s="21" t="s">
        <v>1034</v>
      </c>
      <c r="AB166" s="21" t="s">
        <v>198</v>
      </c>
      <c r="AC166" s="25"/>
    </row>
    <row r="167" spans="2:29" s="21" customFormat="1" outlineLevel="1" x14ac:dyDescent="0.3">
      <c r="B167" s="21" t="s">
        <v>132</v>
      </c>
      <c r="C167" s="21" t="s">
        <v>483</v>
      </c>
      <c r="E167" s="22">
        <v>12.466383</v>
      </c>
      <c r="F167" s="22">
        <v>-11.222761</v>
      </c>
      <c r="G167" s="68" t="s">
        <v>753</v>
      </c>
      <c r="H167" s="21" t="s">
        <v>134</v>
      </c>
      <c r="I167" s="21" t="s">
        <v>6</v>
      </c>
      <c r="J167" s="29"/>
      <c r="K167" s="23">
        <v>30</v>
      </c>
      <c r="L167" s="75" t="s">
        <v>753</v>
      </c>
      <c r="M167" s="24"/>
      <c r="N167" s="79"/>
      <c r="O167" s="28">
        <v>35</v>
      </c>
      <c r="P167" s="79" t="s">
        <v>753</v>
      </c>
      <c r="Q167" s="24"/>
      <c r="R167" s="25"/>
      <c r="S167" s="83"/>
      <c r="T167" s="25"/>
      <c r="U167" s="83"/>
      <c r="V167" s="25"/>
      <c r="W167" s="46"/>
      <c r="X167" s="29"/>
      <c r="Y167" s="21" t="s">
        <v>1031</v>
      </c>
      <c r="Z167" s="21" t="s">
        <v>1034</v>
      </c>
      <c r="AB167" s="21" t="s">
        <v>198</v>
      </c>
      <c r="AC167" s="25"/>
    </row>
    <row r="168" spans="2:29" s="21" customFormat="1" outlineLevel="1" x14ac:dyDescent="0.3">
      <c r="B168" s="21" t="s">
        <v>1070</v>
      </c>
      <c r="C168" s="21" t="s">
        <v>484</v>
      </c>
      <c r="E168" s="22">
        <v>13.3950070137049</v>
      </c>
      <c r="F168" s="22">
        <v>-11.646409034729</v>
      </c>
      <c r="G168" s="68" t="s">
        <v>437</v>
      </c>
      <c r="H168" s="21" t="s">
        <v>134</v>
      </c>
      <c r="I168" s="21" t="s">
        <v>6</v>
      </c>
      <c r="J168" s="29"/>
      <c r="K168" s="23">
        <v>18</v>
      </c>
      <c r="L168" s="75" t="s">
        <v>437</v>
      </c>
      <c r="N168" s="45"/>
      <c r="O168" s="28">
        <v>28</v>
      </c>
      <c r="P168" s="79" t="s">
        <v>753</v>
      </c>
      <c r="Q168" s="24"/>
      <c r="R168" s="25"/>
      <c r="S168" s="83"/>
      <c r="T168" s="25"/>
      <c r="U168" s="83"/>
      <c r="V168" s="25"/>
      <c r="W168" s="46"/>
      <c r="X168" s="29"/>
      <c r="Y168" s="21" t="s">
        <v>1031</v>
      </c>
      <c r="Z168" s="21" t="s">
        <v>1034</v>
      </c>
      <c r="AB168" s="21" t="s">
        <v>198</v>
      </c>
      <c r="AC168" s="25"/>
    </row>
    <row r="169" spans="2:29" s="21" customFormat="1" outlineLevel="1" x14ac:dyDescent="0.3">
      <c r="B169" s="21" t="s">
        <v>365</v>
      </c>
      <c r="C169" s="21" t="s">
        <v>516</v>
      </c>
      <c r="E169" s="22">
        <v>12.8919</v>
      </c>
      <c r="F169" s="22">
        <v>-8.6211000000000002</v>
      </c>
      <c r="G169" s="68" t="s">
        <v>443</v>
      </c>
      <c r="H169" s="21" t="s">
        <v>236</v>
      </c>
      <c r="I169" s="21" t="s">
        <v>25</v>
      </c>
      <c r="J169" s="29"/>
      <c r="K169" s="23">
        <v>24</v>
      </c>
      <c r="L169" s="75" t="s">
        <v>442</v>
      </c>
      <c r="M169" s="28">
        <v>30</v>
      </c>
      <c r="N169" s="79" t="s">
        <v>443</v>
      </c>
      <c r="O169" s="28"/>
      <c r="P169" s="79"/>
      <c r="Q169" s="24"/>
      <c r="R169" s="25"/>
      <c r="S169" s="83"/>
      <c r="T169" s="25"/>
      <c r="U169" s="83"/>
      <c r="V169" s="25"/>
      <c r="W169" s="46"/>
      <c r="X169" s="29"/>
      <c r="Y169" s="21" t="s">
        <v>1031</v>
      </c>
      <c r="Z169" s="21" t="s">
        <v>1034</v>
      </c>
      <c r="AB169" s="21" t="s">
        <v>198</v>
      </c>
      <c r="AC169" s="25"/>
    </row>
    <row r="170" spans="2:29" s="21" customFormat="1" outlineLevel="1" x14ac:dyDescent="0.3">
      <c r="B170" s="21" t="s">
        <v>366</v>
      </c>
      <c r="C170" s="21" t="s">
        <v>442</v>
      </c>
      <c r="E170" s="22"/>
      <c r="F170" s="22"/>
      <c r="G170" s="68"/>
      <c r="H170" s="21" t="s">
        <v>236</v>
      </c>
      <c r="I170" s="21" t="s">
        <v>236</v>
      </c>
      <c r="J170" s="29"/>
      <c r="K170" s="23">
        <v>10</v>
      </c>
      <c r="L170" s="75" t="s">
        <v>442</v>
      </c>
      <c r="N170" s="45"/>
      <c r="O170" s="28"/>
      <c r="P170" s="79"/>
      <c r="Q170" s="24"/>
      <c r="R170" s="25"/>
      <c r="S170" s="83"/>
      <c r="T170" s="25"/>
      <c r="U170" s="83"/>
      <c r="V170" s="25"/>
      <c r="W170" s="46"/>
      <c r="X170" s="29"/>
      <c r="Y170" s="21" t="s">
        <v>1031</v>
      </c>
      <c r="Z170" s="21" t="s">
        <v>1034</v>
      </c>
      <c r="AB170" s="21" t="s">
        <v>198</v>
      </c>
      <c r="AC170" s="25"/>
    </row>
    <row r="171" spans="2:29" s="21" customFormat="1" outlineLevel="1" x14ac:dyDescent="0.3">
      <c r="B171" s="21" t="s">
        <v>402</v>
      </c>
      <c r="C171" s="21" t="s">
        <v>443</v>
      </c>
      <c r="E171" s="22">
        <v>13.19</v>
      </c>
      <c r="F171" s="22">
        <v>-7.12</v>
      </c>
      <c r="G171" s="68" t="s">
        <v>443</v>
      </c>
      <c r="H171" s="21" t="s">
        <v>25</v>
      </c>
      <c r="I171" s="21" t="s">
        <v>25</v>
      </c>
      <c r="J171" s="29"/>
      <c r="K171" s="23">
        <v>120</v>
      </c>
      <c r="L171" s="75" t="s">
        <v>443</v>
      </c>
      <c r="M171" s="24"/>
      <c r="N171" s="79"/>
      <c r="O171" s="25"/>
      <c r="P171" s="83"/>
      <c r="Q171" s="24"/>
      <c r="R171" s="25"/>
      <c r="S171" s="83"/>
      <c r="T171" s="25"/>
      <c r="U171" s="83"/>
      <c r="V171" s="25"/>
      <c r="W171" s="46"/>
      <c r="X171" s="29"/>
      <c r="Y171" s="21" t="s">
        <v>1035</v>
      </c>
      <c r="AA171" s="21" t="s">
        <v>1041</v>
      </c>
      <c r="AB171" s="21" t="s">
        <v>198</v>
      </c>
      <c r="AC171" s="25"/>
    </row>
    <row r="172" spans="2:29" s="21" customFormat="1" outlineLevel="1" x14ac:dyDescent="0.3">
      <c r="B172" s="21" t="s">
        <v>1062</v>
      </c>
      <c r="C172" s="21" t="s">
        <v>485</v>
      </c>
      <c r="E172" s="22">
        <v>13.6830944545689</v>
      </c>
      <c r="F172" s="22">
        <v>-6.08599662780379</v>
      </c>
      <c r="G172" s="68" t="s">
        <v>437</v>
      </c>
      <c r="H172" s="21" t="s">
        <v>25</v>
      </c>
      <c r="I172" s="21" t="s">
        <v>25</v>
      </c>
      <c r="J172" s="29"/>
      <c r="K172" s="23">
        <v>13</v>
      </c>
      <c r="L172" s="75" t="s">
        <v>437</v>
      </c>
      <c r="N172" s="45"/>
      <c r="P172" s="45"/>
      <c r="Q172" s="24"/>
      <c r="R172" s="51" t="s">
        <v>1029</v>
      </c>
      <c r="S172" s="83" t="s">
        <v>875</v>
      </c>
      <c r="T172" s="25"/>
      <c r="U172" s="83"/>
      <c r="V172" s="25"/>
      <c r="W172" s="46"/>
      <c r="X172" s="29"/>
      <c r="Y172" s="21" t="s">
        <v>1035</v>
      </c>
      <c r="AA172" s="21" t="s">
        <v>1037</v>
      </c>
      <c r="AB172" s="21" t="s">
        <v>198</v>
      </c>
      <c r="AC172" s="25"/>
    </row>
    <row r="173" spans="2:29" s="21" customFormat="1" outlineLevel="1" x14ac:dyDescent="0.3">
      <c r="B173" s="21" t="s">
        <v>222</v>
      </c>
      <c r="C173" s="21" t="s">
        <v>513</v>
      </c>
      <c r="E173" s="22">
        <v>14.359093907761</v>
      </c>
      <c r="F173" s="22">
        <v>-11.349692344669</v>
      </c>
      <c r="G173" s="68" t="s">
        <v>437</v>
      </c>
      <c r="H173" s="21" t="s">
        <v>6</v>
      </c>
      <c r="I173" s="21" t="s">
        <v>6</v>
      </c>
      <c r="J173" s="29"/>
      <c r="K173" s="23">
        <v>24</v>
      </c>
      <c r="L173" s="75" t="s">
        <v>437</v>
      </c>
      <c r="M173" s="21">
        <v>13</v>
      </c>
      <c r="N173" s="45" t="s">
        <v>443</v>
      </c>
      <c r="O173" s="28">
        <v>13.8</v>
      </c>
      <c r="P173" s="79" t="s">
        <v>877</v>
      </c>
      <c r="Q173" s="24"/>
      <c r="R173" s="51" t="s">
        <v>1029</v>
      </c>
      <c r="S173" s="83" t="s">
        <v>876</v>
      </c>
      <c r="T173" s="25"/>
      <c r="U173" s="83"/>
      <c r="V173" s="25"/>
      <c r="W173" s="46"/>
      <c r="X173" s="29"/>
      <c r="Y173" s="21" t="s">
        <v>1035</v>
      </c>
      <c r="AA173" s="21" t="s">
        <v>1037</v>
      </c>
      <c r="AB173" s="21" t="s">
        <v>1231</v>
      </c>
      <c r="AC173" s="25"/>
    </row>
    <row r="174" spans="2:29" s="21" customFormat="1" outlineLevel="1" x14ac:dyDescent="0.3">
      <c r="B174" s="21" t="s">
        <v>1057</v>
      </c>
      <c r="C174" s="21" t="s">
        <v>504</v>
      </c>
      <c r="E174" s="22">
        <v>12.7184762564849</v>
      </c>
      <c r="F174" s="22">
        <v>-7.74295806884719</v>
      </c>
      <c r="G174" s="68" t="s">
        <v>437</v>
      </c>
      <c r="H174" s="21" t="s">
        <v>25</v>
      </c>
      <c r="I174" s="21" t="s">
        <v>25</v>
      </c>
      <c r="J174" s="29"/>
      <c r="K174" s="23">
        <v>42</v>
      </c>
      <c r="L174" s="75" t="s">
        <v>437</v>
      </c>
      <c r="N174" s="45"/>
      <c r="O174" s="24"/>
      <c r="P174" s="79"/>
      <c r="Q174" s="24"/>
      <c r="R174" s="51" t="s">
        <v>1029</v>
      </c>
      <c r="S174" s="45" t="s">
        <v>440</v>
      </c>
      <c r="T174" s="25"/>
      <c r="U174" s="83"/>
      <c r="V174" s="25"/>
      <c r="W174" s="46"/>
      <c r="X174" s="29"/>
      <c r="Y174" s="21" t="s">
        <v>1035</v>
      </c>
      <c r="AA174" s="21" t="s">
        <v>1037</v>
      </c>
      <c r="AB174" s="21" t="s">
        <v>1232</v>
      </c>
      <c r="AC174" s="25"/>
    </row>
    <row r="175" spans="2:29" s="21" customFormat="1" outlineLevel="1" x14ac:dyDescent="0.3">
      <c r="B175" s="21" t="s">
        <v>1058</v>
      </c>
      <c r="C175" s="21" t="s">
        <v>507</v>
      </c>
      <c r="E175" s="22">
        <v>14.014927864838</v>
      </c>
      <c r="F175" s="22">
        <v>-11.10249996185</v>
      </c>
      <c r="G175" s="68" t="s">
        <v>437</v>
      </c>
      <c r="H175" s="21" t="s">
        <v>6</v>
      </c>
      <c r="I175" s="21" t="s">
        <v>6</v>
      </c>
      <c r="J175" s="29"/>
      <c r="K175" s="23">
        <v>140</v>
      </c>
      <c r="L175" s="75" t="s">
        <v>437</v>
      </c>
      <c r="M175" s="21">
        <v>20</v>
      </c>
      <c r="N175" s="45" t="s">
        <v>443</v>
      </c>
      <c r="O175" s="28">
        <v>23.5</v>
      </c>
      <c r="P175" s="79" t="s">
        <v>877</v>
      </c>
      <c r="Q175" s="24"/>
      <c r="R175" s="51" t="s">
        <v>1029</v>
      </c>
      <c r="S175" s="45" t="s">
        <v>440</v>
      </c>
      <c r="T175" s="25"/>
      <c r="U175" s="83"/>
      <c r="V175" s="25"/>
      <c r="W175" s="46"/>
      <c r="X175" s="29"/>
      <c r="Y175" s="21" t="s">
        <v>1035</v>
      </c>
      <c r="AA175" s="21" t="s">
        <v>1037</v>
      </c>
      <c r="AB175" s="21" t="s">
        <v>1232</v>
      </c>
      <c r="AC175" s="25"/>
    </row>
    <row r="176" spans="2:29" s="49" customFormat="1" outlineLevel="1" x14ac:dyDescent="0.3">
      <c r="B176" s="49" t="s">
        <v>237</v>
      </c>
      <c r="C176" s="49" t="s">
        <v>517</v>
      </c>
      <c r="E176" s="107">
        <v>12.643682340664</v>
      </c>
      <c r="F176" s="107">
        <v>-7.9272365570063004</v>
      </c>
      <c r="G176" s="108" t="s">
        <v>437</v>
      </c>
      <c r="H176" s="49" t="s">
        <v>25</v>
      </c>
      <c r="I176" s="49" t="s">
        <v>25</v>
      </c>
      <c r="J176" s="29"/>
      <c r="K176" s="109">
        <v>5.7</v>
      </c>
      <c r="L176" s="110" t="s">
        <v>437</v>
      </c>
      <c r="N176" s="111"/>
      <c r="O176" s="112"/>
      <c r="P176" s="113"/>
      <c r="Q176" s="24"/>
      <c r="R176" s="114"/>
      <c r="S176" s="115"/>
      <c r="T176" s="114"/>
      <c r="U176" s="115"/>
      <c r="V176" s="25"/>
      <c r="W176" s="116"/>
      <c r="X176" s="29"/>
      <c r="Y176" s="21" t="s">
        <v>1035</v>
      </c>
      <c r="Z176" s="21"/>
      <c r="AA176" s="21" t="s">
        <v>1036</v>
      </c>
      <c r="AB176" s="49" t="s">
        <v>1231</v>
      </c>
      <c r="AC176" s="25"/>
    </row>
    <row r="177" spans="2:29" s="21" customFormat="1" outlineLevel="1" x14ac:dyDescent="0.3">
      <c r="B177" s="21" t="s">
        <v>177</v>
      </c>
      <c r="C177" s="21" t="s">
        <v>439</v>
      </c>
      <c r="D177" s="29"/>
      <c r="E177" s="22"/>
      <c r="F177" s="22"/>
      <c r="G177" s="68"/>
      <c r="H177" s="21" t="s">
        <v>180</v>
      </c>
      <c r="I177" s="21" t="s">
        <v>236</v>
      </c>
      <c r="J177" s="29"/>
      <c r="K177" s="23">
        <v>21.882000000000001</v>
      </c>
      <c r="L177" s="75" t="s">
        <v>439</v>
      </c>
      <c r="N177" s="45"/>
      <c r="P177" s="45"/>
      <c r="Q177" s="24"/>
      <c r="R177" s="25"/>
      <c r="S177" s="83"/>
      <c r="T177" s="25"/>
      <c r="U177" s="83"/>
      <c r="V177" s="25"/>
      <c r="W177" s="46"/>
      <c r="X177" s="29"/>
      <c r="Y177" s="21" t="s">
        <v>1035</v>
      </c>
      <c r="AA177" s="21" t="s">
        <v>1036</v>
      </c>
      <c r="AB177" s="21" t="s">
        <v>198</v>
      </c>
      <c r="AC177" s="25"/>
    </row>
    <row r="178" spans="2:29" x14ac:dyDescent="0.3">
      <c r="D178" s="1"/>
      <c r="J178" s="1"/>
      <c r="X178" s="1"/>
    </row>
    <row r="179" spans="2:29" x14ac:dyDescent="0.3">
      <c r="D179" s="1"/>
      <c r="J179" s="1"/>
      <c r="X179" s="1"/>
    </row>
    <row r="180" spans="2:29" ht="14.5" thickBot="1" x14ac:dyDescent="0.35">
      <c r="B180" s="7" t="s">
        <v>25</v>
      </c>
      <c r="C180" s="7"/>
      <c r="D180" s="1"/>
      <c r="E180" s="8"/>
      <c r="F180" s="7"/>
      <c r="G180" s="40"/>
      <c r="H180" s="8"/>
      <c r="I180" s="8"/>
      <c r="J180" s="1"/>
      <c r="K180" s="11"/>
      <c r="L180" s="74"/>
      <c r="M180" s="7"/>
      <c r="N180" s="40"/>
      <c r="O180" s="18"/>
      <c r="P180" s="78"/>
      <c r="R180" s="15"/>
      <c r="S180" s="85"/>
      <c r="T180" s="15"/>
      <c r="U180" s="85"/>
      <c r="W180" s="41"/>
      <c r="X180" s="1"/>
      <c r="Y180" s="102"/>
      <c r="Z180" s="102"/>
      <c r="AA180" s="102"/>
      <c r="AB180" s="7"/>
    </row>
    <row r="181" spans="2:29" s="21" customFormat="1" outlineLevel="1" x14ac:dyDescent="0.3">
      <c r="B181" s="21" t="s">
        <v>205</v>
      </c>
      <c r="C181" s="21" t="s">
        <v>504</v>
      </c>
      <c r="D181" s="29"/>
      <c r="E181" s="22">
        <v>14.627000000000001</v>
      </c>
      <c r="F181" s="22">
        <v>0.97099999999997899</v>
      </c>
      <c r="G181" s="68" t="s">
        <v>437</v>
      </c>
      <c r="H181" s="21" t="s">
        <v>25</v>
      </c>
      <c r="I181" s="21" t="s">
        <v>25</v>
      </c>
      <c r="J181" s="29"/>
      <c r="K181" s="23">
        <v>130</v>
      </c>
      <c r="L181" s="75" t="s">
        <v>437</v>
      </c>
      <c r="M181" s="21">
        <v>30</v>
      </c>
      <c r="N181" s="45" t="s">
        <v>443</v>
      </c>
      <c r="O181" s="25"/>
      <c r="P181" s="83"/>
      <c r="Q181" s="24"/>
      <c r="R181" s="25">
        <f>1.6*10^9</f>
        <v>1600000000</v>
      </c>
      <c r="S181" s="83" t="s">
        <v>878</v>
      </c>
      <c r="T181" s="52">
        <f>282*10^6</f>
        <v>282000000</v>
      </c>
      <c r="U181" s="87" t="s">
        <v>878</v>
      </c>
      <c r="V181" s="25"/>
      <c r="W181" s="46" t="s">
        <v>879</v>
      </c>
      <c r="X181" s="29"/>
      <c r="Y181" s="21" t="s">
        <v>1031</v>
      </c>
      <c r="Z181" s="21" t="s">
        <v>1042</v>
      </c>
      <c r="AB181" s="21" t="s">
        <v>1232</v>
      </c>
      <c r="AC181" s="25"/>
    </row>
    <row r="182" spans="2:29" s="21" customFormat="1" outlineLevel="1" x14ac:dyDescent="0.3">
      <c r="B182" s="21" t="s">
        <v>207</v>
      </c>
      <c r="C182" s="21" t="s">
        <v>505</v>
      </c>
      <c r="D182" s="29"/>
      <c r="E182" s="22">
        <v>12.574925</v>
      </c>
      <c r="F182" s="22">
        <v>2.6213039999999999</v>
      </c>
      <c r="G182" s="68" t="s">
        <v>443</v>
      </c>
      <c r="H182" s="21" t="s">
        <v>25</v>
      </c>
      <c r="I182" s="21" t="s">
        <v>25</v>
      </c>
      <c r="J182" s="29"/>
      <c r="K182" s="23">
        <v>122.5</v>
      </c>
      <c r="L182" s="75" t="s">
        <v>440</v>
      </c>
      <c r="M182" s="21">
        <v>35</v>
      </c>
      <c r="N182" s="45" t="s">
        <v>443</v>
      </c>
      <c r="O182" s="54"/>
      <c r="P182" s="82"/>
      <c r="Q182" s="24"/>
      <c r="R182" s="25">
        <f>430*10^6</f>
        <v>430000000</v>
      </c>
      <c r="S182" s="83" t="s">
        <v>888</v>
      </c>
      <c r="T182" s="25"/>
      <c r="U182" s="83"/>
      <c r="V182" s="25"/>
      <c r="W182" s="46" t="s">
        <v>895</v>
      </c>
      <c r="X182" s="29"/>
      <c r="Y182" s="21" t="s">
        <v>1031</v>
      </c>
      <c r="Z182" s="21" t="s">
        <v>1042</v>
      </c>
      <c r="AB182" s="21" t="s">
        <v>4</v>
      </c>
      <c r="AC182" s="25"/>
    </row>
    <row r="183" spans="2:29" s="21" customFormat="1" outlineLevel="1" x14ac:dyDescent="0.3">
      <c r="B183" s="21" t="s">
        <v>203</v>
      </c>
      <c r="C183" s="21" t="s">
        <v>555</v>
      </c>
      <c r="D183" s="29"/>
      <c r="E183" s="22">
        <v>14.349456999999999</v>
      </c>
      <c r="F183" s="22">
        <v>1.265725</v>
      </c>
      <c r="G183" s="68" t="s">
        <v>560</v>
      </c>
      <c r="H183" s="21" t="s">
        <v>25</v>
      </c>
      <c r="I183" s="21" t="s">
        <v>25</v>
      </c>
      <c r="J183" s="29"/>
      <c r="K183" s="23">
        <v>80</v>
      </c>
      <c r="L183" s="75" t="s">
        <v>440</v>
      </c>
      <c r="N183" s="45"/>
      <c r="O183" s="54"/>
      <c r="P183" s="82"/>
      <c r="Q183" s="24"/>
      <c r="R183" s="25"/>
      <c r="S183" s="83"/>
      <c r="T183" s="25"/>
      <c r="U183" s="83"/>
      <c r="V183" s="25"/>
      <c r="W183" s="46"/>
      <c r="X183" s="29"/>
      <c r="Y183" s="21" t="s">
        <v>1031</v>
      </c>
      <c r="Z183" s="21" t="s">
        <v>1034</v>
      </c>
      <c r="AB183" s="21" t="s">
        <v>198</v>
      </c>
      <c r="AC183" s="25"/>
    </row>
    <row r="184" spans="2:29" s="21" customFormat="1" outlineLevel="1" x14ac:dyDescent="0.3">
      <c r="B184" s="21" t="s">
        <v>177</v>
      </c>
      <c r="C184" s="21" t="s">
        <v>439</v>
      </c>
      <c r="D184" s="29"/>
      <c r="E184" s="22"/>
      <c r="F184" s="22"/>
      <c r="G184" s="68"/>
      <c r="H184" s="21" t="s">
        <v>180</v>
      </c>
      <c r="I184" s="21" t="s">
        <v>25</v>
      </c>
      <c r="J184" s="29"/>
      <c r="K184" s="23">
        <v>5</v>
      </c>
      <c r="L184" s="75" t="s">
        <v>439</v>
      </c>
      <c r="N184" s="45"/>
      <c r="P184" s="45"/>
      <c r="Q184" s="24"/>
      <c r="S184" s="45"/>
      <c r="U184" s="45"/>
      <c r="V184" s="25"/>
      <c r="W184" s="105"/>
      <c r="X184" s="29"/>
      <c r="Y184" s="21" t="s">
        <v>1035</v>
      </c>
      <c r="AA184" s="21" t="s">
        <v>1036</v>
      </c>
      <c r="AB184" s="21" t="s">
        <v>198</v>
      </c>
      <c r="AC184" s="25"/>
    </row>
    <row r="185" spans="2:29" x14ac:dyDescent="0.3">
      <c r="D185" s="1"/>
      <c r="J185" s="1"/>
      <c r="X185" s="1"/>
    </row>
    <row r="186" spans="2:29" x14ac:dyDescent="0.3">
      <c r="D186" s="1"/>
      <c r="J186" s="1"/>
      <c r="X186" s="1"/>
    </row>
    <row r="187" spans="2:29" ht="14.5" thickBot="1" x14ac:dyDescent="0.35">
      <c r="B187" s="7" t="s">
        <v>35</v>
      </c>
      <c r="C187" s="7"/>
      <c r="D187" s="1"/>
      <c r="E187" s="8"/>
      <c r="F187" s="7"/>
      <c r="G187" s="40"/>
      <c r="H187" s="8"/>
      <c r="I187" s="8"/>
      <c r="J187" s="1"/>
      <c r="K187" s="11"/>
      <c r="L187" s="74"/>
      <c r="M187" s="7"/>
      <c r="N187" s="40"/>
      <c r="O187" s="18"/>
      <c r="P187" s="78"/>
      <c r="R187" s="15"/>
      <c r="S187" s="85"/>
      <c r="T187" s="15"/>
      <c r="U187" s="85"/>
      <c r="W187" s="41"/>
      <c r="X187" s="1"/>
      <c r="Y187" s="102"/>
      <c r="Z187" s="102"/>
      <c r="AA187" s="102"/>
      <c r="AB187" s="7"/>
    </row>
    <row r="188" spans="2:29" s="21" customFormat="1" outlineLevel="1" x14ac:dyDescent="0.3">
      <c r="B188" s="21" t="s">
        <v>103</v>
      </c>
      <c r="C188" s="21" t="s">
        <v>493</v>
      </c>
      <c r="E188" s="22">
        <v>6.7016468463688899</v>
      </c>
      <c r="F188" s="22">
        <v>11.15580081941</v>
      </c>
      <c r="G188" s="68" t="s">
        <v>437</v>
      </c>
      <c r="H188" s="22" t="s">
        <v>72</v>
      </c>
      <c r="I188" s="22" t="s">
        <v>25</v>
      </c>
      <c r="J188" s="29"/>
      <c r="K188" s="23">
        <v>3050</v>
      </c>
      <c r="L188" s="75" t="s">
        <v>437</v>
      </c>
      <c r="N188" s="45"/>
      <c r="O188" s="24">
        <v>1007</v>
      </c>
      <c r="P188" s="79" t="s">
        <v>900</v>
      </c>
      <c r="Q188" s="24"/>
      <c r="R188" s="25">
        <f>4.6*10^9</f>
        <v>4600000000</v>
      </c>
      <c r="S188" s="83" t="s">
        <v>901</v>
      </c>
      <c r="T188" s="25"/>
      <c r="U188" s="83"/>
      <c r="V188" s="25"/>
      <c r="W188" s="46"/>
      <c r="X188" s="29"/>
      <c r="Y188" s="21" t="s">
        <v>1031</v>
      </c>
      <c r="Z188" s="21" t="s">
        <v>1042</v>
      </c>
      <c r="AB188" s="21" t="s">
        <v>4</v>
      </c>
      <c r="AC188" s="25"/>
    </row>
    <row r="189" spans="2:29" s="21" customFormat="1" outlineLevel="1" x14ac:dyDescent="0.3">
      <c r="B189" s="21" t="s">
        <v>38</v>
      </c>
      <c r="C189" s="21" t="s">
        <v>494</v>
      </c>
      <c r="E189" s="22">
        <v>9.8610182785076006</v>
      </c>
      <c r="F189" s="22">
        <v>4.61301326750689</v>
      </c>
      <c r="G189" s="68" t="s">
        <v>437</v>
      </c>
      <c r="H189" s="22" t="s">
        <v>25</v>
      </c>
      <c r="I189" s="22" t="s">
        <v>25</v>
      </c>
      <c r="J189" s="29"/>
      <c r="K189" s="23">
        <v>760</v>
      </c>
      <c r="L189" s="75" t="s">
        <v>437</v>
      </c>
      <c r="M189" s="24">
        <v>65</v>
      </c>
      <c r="N189" s="79" t="s">
        <v>438</v>
      </c>
      <c r="O189" s="24">
        <v>42.2</v>
      </c>
      <c r="P189" s="79" t="s">
        <v>902</v>
      </c>
      <c r="Q189" s="24"/>
      <c r="R189" s="25">
        <f>15000*10^6</f>
        <v>15000000000</v>
      </c>
      <c r="S189" s="79" t="s">
        <v>902</v>
      </c>
      <c r="T189" s="52">
        <f>1250*10^6</f>
        <v>1250000000</v>
      </c>
      <c r="U189" s="87" t="s">
        <v>903</v>
      </c>
      <c r="V189" s="25"/>
      <c r="W189" s="46" t="s">
        <v>916</v>
      </c>
      <c r="X189" s="29"/>
      <c r="Y189" s="21" t="s">
        <v>1031</v>
      </c>
      <c r="Z189" s="21" t="s">
        <v>1042</v>
      </c>
      <c r="AB189" s="21" t="s">
        <v>1231</v>
      </c>
      <c r="AC189" s="25"/>
    </row>
    <row r="190" spans="2:29" s="21" customFormat="1" outlineLevel="1" x14ac:dyDescent="0.3">
      <c r="B190" s="21" t="s">
        <v>44</v>
      </c>
      <c r="C190" s="21" t="s">
        <v>493</v>
      </c>
      <c r="E190" s="22">
        <v>9.9023237775348001</v>
      </c>
      <c r="F190" s="22">
        <v>6.2865400314321001</v>
      </c>
      <c r="G190" s="68" t="s">
        <v>437</v>
      </c>
      <c r="H190" s="22" t="s">
        <v>69</v>
      </c>
      <c r="I190" s="22" t="s">
        <v>25</v>
      </c>
      <c r="J190" s="29"/>
      <c r="K190" s="23">
        <v>700</v>
      </c>
      <c r="L190" s="75" t="s">
        <v>437</v>
      </c>
      <c r="M190" s="24">
        <v>116</v>
      </c>
      <c r="N190" s="79" t="s">
        <v>438</v>
      </c>
      <c r="O190" s="24">
        <v>100</v>
      </c>
      <c r="P190" s="83" t="s">
        <v>917</v>
      </c>
      <c r="Q190" s="24"/>
      <c r="R190" s="25">
        <f>11.4*10^9</f>
        <v>11400000000</v>
      </c>
      <c r="S190" s="83" t="s">
        <v>918</v>
      </c>
      <c r="T190" s="25"/>
      <c r="U190" s="83"/>
      <c r="V190" s="25"/>
      <c r="W190" s="46"/>
      <c r="X190" s="29"/>
      <c r="Y190" s="21" t="s">
        <v>1031</v>
      </c>
      <c r="Z190" s="21" t="s">
        <v>1042</v>
      </c>
      <c r="AB190" s="21" t="s">
        <v>1232</v>
      </c>
      <c r="AC190" s="25"/>
    </row>
    <row r="191" spans="2:29" s="21" customFormat="1" outlineLevel="1" x14ac:dyDescent="0.3">
      <c r="B191" s="21" t="s">
        <v>43</v>
      </c>
      <c r="C191" s="21" t="s">
        <v>460</v>
      </c>
      <c r="E191" s="22">
        <v>9.9746098324309909</v>
      </c>
      <c r="F191" s="22">
        <v>6.83345317840649</v>
      </c>
      <c r="G191" s="68" t="s">
        <v>437</v>
      </c>
      <c r="H191" s="22" t="s">
        <v>70</v>
      </c>
      <c r="I191" s="22" t="s">
        <v>25</v>
      </c>
      <c r="J191" s="29"/>
      <c r="K191" s="23">
        <v>600</v>
      </c>
      <c r="L191" s="75" t="s">
        <v>437</v>
      </c>
      <c r="M191" s="24">
        <v>115</v>
      </c>
      <c r="N191" s="79" t="s">
        <v>438</v>
      </c>
      <c r="O191" s="24">
        <v>95</v>
      </c>
      <c r="P191" s="83" t="s">
        <v>917</v>
      </c>
      <c r="Q191" s="24"/>
      <c r="R191" s="25">
        <f>7*10^9</f>
        <v>7000000000</v>
      </c>
      <c r="S191" s="83" t="s">
        <v>919</v>
      </c>
      <c r="T191" s="52">
        <f>312*10^6</f>
        <v>312000000</v>
      </c>
      <c r="U191" s="87" t="s">
        <v>928</v>
      </c>
      <c r="V191" s="25"/>
      <c r="W191" s="46"/>
      <c r="X191" s="29"/>
      <c r="Y191" s="21" t="s">
        <v>1031</v>
      </c>
      <c r="Z191" s="21" t="s">
        <v>1042</v>
      </c>
      <c r="AB191" s="21" t="s">
        <v>1231</v>
      </c>
      <c r="AC191" s="25"/>
    </row>
    <row r="192" spans="2:29" s="21" customFormat="1" outlineLevel="1" x14ac:dyDescent="0.3">
      <c r="B192" s="21" t="s">
        <v>349</v>
      </c>
      <c r="C192" s="21" t="s">
        <v>495</v>
      </c>
      <c r="E192" s="22">
        <v>9.1376415255418006</v>
      </c>
      <c r="F192" s="22">
        <v>4.78677749634</v>
      </c>
      <c r="G192" s="68" t="s">
        <v>437</v>
      </c>
      <c r="H192" s="22" t="s">
        <v>25</v>
      </c>
      <c r="I192" s="22" t="s">
        <v>25</v>
      </c>
      <c r="J192" s="29"/>
      <c r="K192" s="23">
        <v>578.4</v>
      </c>
      <c r="L192" s="75" t="s">
        <v>437</v>
      </c>
      <c r="M192" s="24">
        <v>40</v>
      </c>
      <c r="N192" s="79" t="s">
        <v>438</v>
      </c>
      <c r="O192" s="24">
        <v>27.1</v>
      </c>
      <c r="P192" s="83" t="s">
        <v>917</v>
      </c>
      <c r="Q192" s="24"/>
      <c r="R192" s="25">
        <f>3.88*10^9</f>
        <v>3880000000</v>
      </c>
      <c r="S192" s="83" t="s">
        <v>916</v>
      </c>
      <c r="T192" s="25"/>
      <c r="U192" s="83"/>
      <c r="V192" s="25"/>
      <c r="W192" s="46"/>
      <c r="X192" s="29"/>
      <c r="Y192" s="21" t="s">
        <v>1031</v>
      </c>
      <c r="Z192" s="21" t="s">
        <v>1042</v>
      </c>
      <c r="AB192" s="21" t="s">
        <v>1231</v>
      </c>
      <c r="AC192" s="25"/>
    </row>
    <row r="193" spans="2:29" s="21" customFormat="1" outlineLevel="1" x14ac:dyDescent="0.3">
      <c r="B193" s="21" t="s">
        <v>350</v>
      </c>
      <c r="C193" s="21" t="s">
        <v>461</v>
      </c>
      <c r="E193" s="22">
        <v>9.6805590197020006</v>
      </c>
      <c r="F193" s="22">
        <v>12.015145719054001</v>
      </c>
      <c r="G193" s="68" t="s">
        <v>437</v>
      </c>
      <c r="H193" s="22" t="s">
        <v>206</v>
      </c>
      <c r="I193" s="22" t="s">
        <v>25</v>
      </c>
      <c r="J193" s="29"/>
      <c r="K193" s="23">
        <v>40</v>
      </c>
      <c r="L193" s="75" t="s">
        <v>437</v>
      </c>
      <c r="M193" s="24">
        <v>20</v>
      </c>
      <c r="N193" s="79" t="s">
        <v>438</v>
      </c>
      <c r="O193" s="24">
        <v>30.5</v>
      </c>
      <c r="P193" s="83" t="s">
        <v>917</v>
      </c>
      <c r="Q193" s="24"/>
      <c r="R193" s="25">
        <f>615*10^6</f>
        <v>615000000</v>
      </c>
      <c r="S193" s="83" t="s">
        <v>935</v>
      </c>
      <c r="T193" s="25"/>
      <c r="U193" s="83"/>
      <c r="V193" s="25"/>
      <c r="W193" s="46"/>
      <c r="X193" s="29"/>
      <c r="Y193" s="21" t="s">
        <v>1031</v>
      </c>
      <c r="Z193" s="21" t="s">
        <v>1042</v>
      </c>
      <c r="AB193" s="21" t="s">
        <v>1231</v>
      </c>
      <c r="AC193" s="25"/>
    </row>
    <row r="194" spans="2:29" s="21" customFormat="1" outlineLevel="1" x14ac:dyDescent="0.3">
      <c r="B194" s="30" t="s">
        <v>351</v>
      </c>
      <c r="C194" s="30" t="s">
        <v>462</v>
      </c>
      <c r="E194" s="22">
        <v>6.8713103712625001</v>
      </c>
      <c r="F194" s="22">
        <v>9.7614893317220002</v>
      </c>
      <c r="G194" s="68" t="s">
        <v>437</v>
      </c>
      <c r="H194" s="22" t="s">
        <v>104</v>
      </c>
      <c r="I194" s="22" t="s">
        <v>25</v>
      </c>
      <c r="J194" s="29"/>
      <c r="K194" s="23">
        <v>40</v>
      </c>
      <c r="L194" s="75" t="s">
        <v>437</v>
      </c>
      <c r="M194" s="24"/>
      <c r="N194" s="79"/>
      <c r="O194" s="24">
        <v>49</v>
      </c>
      <c r="P194" s="83" t="s">
        <v>917</v>
      </c>
      <c r="Q194" s="24"/>
      <c r="R194" s="25">
        <f>500*10^6</f>
        <v>500000000</v>
      </c>
      <c r="S194" s="83" t="s">
        <v>939</v>
      </c>
      <c r="T194" s="25"/>
      <c r="U194" s="83"/>
      <c r="V194" s="25"/>
      <c r="W194" s="97"/>
      <c r="X194" s="29"/>
      <c r="Y194" s="21" t="s">
        <v>1031</v>
      </c>
      <c r="Z194" s="21" t="s">
        <v>1042</v>
      </c>
      <c r="AB194" s="21" t="s">
        <v>1232</v>
      </c>
      <c r="AC194" s="25"/>
    </row>
    <row r="195" spans="2:29" s="21" customFormat="1" outlineLevel="1" x14ac:dyDescent="0.3">
      <c r="B195" s="21" t="s">
        <v>36</v>
      </c>
      <c r="C195" s="21" t="s">
        <v>463</v>
      </c>
      <c r="E195" s="22">
        <v>7.25946997281069</v>
      </c>
      <c r="F195" s="22">
        <v>3.2562527060568001</v>
      </c>
      <c r="G195" s="68" t="s">
        <v>437</v>
      </c>
      <c r="H195" s="22" t="s">
        <v>36</v>
      </c>
      <c r="I195" s="22" t="s">
        <v>224</v>
      </c>
      <c r="J195" s="29"/>
      <c r="K195" s="23">
        <v>39</v>
      </c>
      <c r="L195" s="75" t="s">
        <v>437</v>
      </c>
      <c r="M195" s="24">
        <v>30.4</v>
      </c>
      <c r="N195" s="79" t="s">
        <v>438</v>
      </c>
      <c r="O195" s="25"/>
      <c r="P195" s="83"/>
      <c r="Q195" s="24"/>
      <c r="R195" s="25">
        <f>270*10^6</f>
        <v>270000000</v>
      </c>
      <c r="S195" s="83" t="s">
        <v>940</v>
      </c>
      <c r="T195" s="52">
        <f>40*10^6</f>
        <v>40000000</v>
      </c>
      <c r="U195" s="87" t="s">
        <v>941</v>
      </c>
      <c r="V195" s="25"/>
      <c r="W195" s="46"/>
      <c r="X195" s="29"/>
      <c r="Y195" s="21" t="s">
        <v>1031</v>
      </c>
      <c r="Z195" s="21" t="s">
        <v>1042</v>
      </c>
      <c r="AB195" s="21" t="s">
        <v>1231</v>
      </c>
      <c r="AC195" s="25"/>
    </row>
    <row r="196" spans="2:29" s="21" customFormat="1" outlineLevel="1" x14ac:dyDescent="0.3">
      <c r="B196" s="21" t="s">
        <v>223</v>
      </c>
      <c r="C196" s="21" t="s">
        <v>496</v>
      </c>
      <c r="E196" s="22">
        <v>10.321755766631</v>
      </c>
      <c r="F196" s="22">
        <v>11.481235921386</v>
      </c>
      <c r="G196" s="68" t="s">
        <v>437</v>
      </c>
      <c r="H196" s="22" t="s">
        <v>71</v>
      </c>
      <c r="I196" s="22" t="s">
        <v>25</v>
      </c>
      <c r="J196" s="29"/>
      <c r="K196" s="23">
        <v>35</v>
      </c>
      <c r="L196" s="75" t="s">
        <v>437</v>
      </c>
      <c r="M196" s="24">
        <v>30.4</v>
      </c>
      <c r="N196" s="79" t="s">
        <v>438</v>
      </c>
      <c r="O196" s="25"/>
      <c r="P196" s="83"/>
      <c r="Q196" s="24"/>
      <c r="R196" s="25">
        <f>800*10^6</f>
        <v>800000000</v>
      </c>
      <c r="S196" s="83" t="s">
        <v>942</v>
      </c>
      <c r="T196" s="25">
        <f>300*10^6</f>
        <v>300000000</v>
      </c>
      <c r="U196" s="83" t="s">
        <v>942</v>
      </c>
      <c r="V196" s="25"/>
      <c r="W196" s="46"/>
      <c r="X196" s="29"/>
      <c r="Y196" s="21" t="s">
        <v>1031</v>
      </c>
      <c r="Z196" s="21" t="s">
        <v>1042</v>
      </c>
      <c r="AB196" s="21" t="s">
        <v>1231</v>
      </c>
      <c r="AC196" s="25"/>
    </row>
    <row r="197" spans="2:29" s="21" customFormat="1" outlineLevel="1" x14ac:dyDescent="0.3">
      <c r="B197" s="30" t="s">
        <v>399</v>
      </c>
      <c r="C197" s="30" t="s">
        <v>497</v>
      </c>
      <c r="E197" s="31">
        <v>9.5960230000000006</v>
      </c>
      <c r="F197" s="22">
        <v>7.5044690000000003</v>
      </c>
      <c r="G197" s="68" t="s">
        <v>443</v>
      </c>
      <c r="H197" s="22" t="s">
        <v>42</v>
      </c>
      <c r="I197" s="22" t="s">
        <v>25</v>
      </c>
      <c r="J197" s="29"/>
      <c r="K197" s="23">
        <v>30</v>
      </c>
      <c r="L197" s="75" t="s">
        <v>443</v>
      </c>
      <c r="M197" s="24">
        <v>53</v>
      </c>
      <c r="N197" s="79" t="s">
        <v>443</v>
      </c>
      <c r="O197" s="24"/>
      <c r="P197" s="79"/>
      <c r="Q197" s="24"/>
      <c r="R197" s="25">
        <f>8.8*10^8</f>
        <v>880000000.00000012</v>
      </c>
      <c r="S197" s="83" t="s">
        <v>952</v>
      </c>
      <c r="T197" s="25">
        <f>32.45*10^6</f>
        <v>32450000.000000004</v>
      </c>
      <c r="U197" s="83" t="s">
        <v>952</v>
      </c>
      <c r="V197" s="25"/>
      <c r="W197" s="46"/>
      <c r="X197" s="29"/>
      <c r="Y197" s="21" t="s">
        <v>1031</v>
      </c>
      <c r="Z197" s="21" t="s">
        <v>1042</v>
      </c>
      <c r="AB197" s="21" t="s">
        <v>1231</v>
      </c>
      <c r="AC197" s="25"/>
    </row>
    <row r="198" spans="2:29" s="21" customFormat="1" outlineLevel="1" x14ac:dyDescent="0.3">
      <c r="B198" s="30" t="s">
        <v>156</v>
      </c>
      <c r="C198" s="30" t="s">
        <v>498</v>
      </c>
      <c r="E198" s="22">
        <v>7.7321419999999996</v>
      </c>
      <c r="F198" s="22">
        <v>8.5377279999999995</v>
      </c>
      <c r="G198" s="68" t="s">
        <v>451</v>
      </c>
      <c r="H198" s="22" t="s">
        <v>167</v>
      </c>
      <c r="I198" s="22" t="s">
        <v>25</v>
      </c>
      <c r="J198" s="29"/>
      <c r="K198" s="23">
        <v>1010</v>
      </c>
      <c r="L198" s="75" t="s">
        <v>1227</v>
      </c>
      <c r="M198" s="24">
        <v>50</v>
      </c>
      <c r="N198" s="79" t="s">
        <v>443</v>
      </c>
      <c r="O198" s="24">
        <v>25.9</v>
      </c>
      <c r="P198" s="79" t="s">
        <v>953</v>
      </c>
      <c r="Q198" s="24"/>
      <c r="R198" s="25"/>
      <c r="S198" s="83"/>
      <c r="T198" s="25"/>
      <c r="U198" s="83"/>
      <c r="V198" s="25"/>
      <c r="W198" s="46"/>
      <c r="X198" s="29"/>
      <c r="Y198" s="21" t="s">
        <v>1031</v>
      </c>
      <c r="Z198" s="21" t="s">
        <v>1034</v>
      </c>
      <c r="AB198" s="21" t="s">
        <v>198</v>
      </c>
      <c r="AC198" s="25"/>
    </row>
    <row r="199" spans="2:29" s="21" customFormat="1" outlineLevel="1" x14ac:dyDescent="0.3">
      <c r="B199" s="30" t="s">
        <v>158</v>
      </c>
      <c r="C199" s="30" t="s">
        <v>498</v>
      </c>
      <c r="E199" s="22">
        <v>6.1666999999999996</v>
      </c>
      <c r="F199" s="22">
        <v>6.7832999999999997</v>
      </c>
      <c r="G199" s="68" t="s">
        <v>451</v>
      </c>
      <c r="H199" s="22" t="s">
        <v>25</v>
      </c>
      <c r="I199" s="22" t="s">
        <v>25</v>
      </c>
      <c r="J199" s="29"/>
      <c r="K199" s="23">
        <v>750</v>
      </c>
      <c r="L199" s="75" t="s">
        <v>1227</v>
      </c>
      <c r="M199" s="24"/>
      <c r="N199" s="79"/>
      <c r="O199" s="24">
        <v>15.25</v>
      </c>
      <c r="P199" s="79" t="s">
        <v>953</v>
      </c>
      <c r="Q199" s="24"/>
      <c r="R199" s="25"/>
      <c r="S199" s="83"/>
      <c r="T199" s="25"/>
      <c r="U199" s="83"/>
      <c r="V199" s="25"/>
      <c r="W199" s="46"/>
      <c r="X199" s="29"/>
      <c r="Y199" s="21" t="s">
        <v>1031</v>
      </c>
      <c r="Z199" s="21" t="s">
        <v>1034</v>
      </c>
      <c r="AB199" s="21" t="s">
        <v>198</v>
      </c>
      <c r="AC199" s="25"/>
    </row>
    <row r="200" spans="2:29" s="21" customFormat="1" outlineLevel="1" x14ac:dyDescent="0.3">
      <c r="B200" s="30" t="s">
        <v>159</v>
      </c>
      <c r="C200" s="30" t="s">
        <v>438</v>
      </c>
      <c r="E200" s="31">
        <v>9.2050219999999996</v>
      </c>
      <c r="F200" s="22">
        <v>12.4918</v>
      </c>
      <c r="G200" s="68" t="s">
        <v>560</v>
      </c>
      <c r="H200" s="22" t="s">
        <v>165</v>
      </c>
      <c r="I200" s="22" t="s">
        <v>25</v>
      </c>
      <c r="J200" s="29"/>
      <c r="K200" s="23">
        <v>360</v>
      </c>
      <c r="L200" s="75" t="s">
        <v>438</v>
      </c>
      <c r="M200" s="24"/>
      <c r="N200" s="79"/>
      <c r="O200" s="24"/>
      <c r="P200" s="79"/>
      <c r="Q200" s="24"/>
      <c r="R200" s="25"/>
      <c r="S200" s="83"/>
      <c r="T200" s="25"/>
      <c r="U200" s="83"/>
      <c r="V200" s="25"/>
      <c r="W200" s="46"/>
      <c r="X200" s="29"/>
      <c r="Y200" s="21" t="s">
        <v>1031</v>
      </c>
      <c r="Z200" s="21" t="s">
        <v>1034</v>
      </c>
      <c r="AB200" s="21" t="s">
        <v>198</v>
      </c>
      <c r="AC200" s="25"/>
    </row>
    <row r="201" spans="2:29" s="21" customFormat="1" outlineLevel="1" x14ac:dyDescent="0.3">
      <c r="B201" s="21" t="s">
        <v>400</v>
      </c>
      <c r="C201" s="21" t="s">
        <v>443</v>
      </c>
      <c r="E201" s="22">
        <v>9.23</v>
      </c>
      <c r="F201" s="22">
        <v>12.55</v>
      </c>
      <c r="G201" s="68" t="s">
        <v>443</v>
      </c>
      <c r="H201" s="22" t="s">
        <v>206</v>
      </c>
      <c r="I201" s="22" t="s">
        <v>25</v>
      </c>
      <c r="J201" s="29"/>
      <c r="K201" s="23">
        <v>350</v>
      </c>
      <c r="L201" s="75" t="s">
        <v>443</v>
      </c>
      <c r="M201" s="24">
        <v>40</v>
      </c>
      <c r="N201" s="79" t="s">
        <v>443</v>
      </c>
      <c r="O201" s="24"/>
      <c r="P201" s="79"/>
      <c r="Q201" s="24"/>
      <c r="R201" s="25"/>
      <c r="S201" s="83"/>
      <c r="T201" s="25"/>
      <c r="U201" s="83"/>
      <c r="V201" s="25"/>
      <c r="W201" s="46"/>
      <c r="X201" s="29"/>
      <c r="Y201" s="21" t="s">
        <v>1031</v>
      </c>
      <c r="Z201" s="21" t="s">
        <v>1034</v>
      </c>
      <c r="AB201" s="21" t="s">
        <v>198</v>
      </c>
      <c r="AC201" s="25"/>
    </row>
    <row r="202" spans="2:29" s="21" customFormat="1" outlineLevel="1" x14ac:dyDescent="0.3">
      <c r="B202" s="30" t="s">
        <v>401</v>
      </c>
      <c r="C202" s="30" t="s">
        <v>497</v>
      </c>
      <c r="E202" s="22">
        <v>7.1633060000000004</v>
      </c>
      <c r="F202" s="22">
        <v>9.2793010000000002</v>
      </c>
      <c r="G202" s="68" t="s">
        <v>443</v>
      </c>
      <c r="H202" s="22" t="s">
        <v>104</v>
      </c>
      <c r="I202" s="22" t="s">
        <v>25</v>
      </c>
      <c r="J202" s="29"/>
      <c r="K202" s="23">
        <v>310</v>
      </c>
      <c r="L202" s="75" t="s">
        <v>443</v>
      </c>
      <c r="M202" s="24"/>
      <c r="N202" s="79"/>
      <c r="O202" s="24"/>
      <c r="P202" s="79"/>
      <c r="Q202" s="24"/>
      <c r="R202" s="25"/>
      <c r="S202" s="83"/>
      <c r="T202" s="25"/>
      <c r="U202" s="83"/>
      <c r="V202" s="25"/>
      <c r="W202" s="46"/>
      <c r="X202" s="29"/>
      <c r="Y202" s="21" t="s">
        <v>1031</v>
      </c>
      <c r="Z202" s="21" t="s">
        <v>1034</v>
      </c>
      <c r="AB202" s="21" t="s">
        <v>198</v>
      </c>
      <c r="AC202" s="25"/>
    </row>
    <row r="203" spans="2:29" s="30" customFormat="1" outlineLevel="1" x14ac:dyDescent="0.3">
      <c r="B203" s="30" t="s">
        <v>155</v>
      </c>
      <c r="C203" s="30" t="s">
        <v>498</v>
      </c>
      <c r="E203" s="53">
        <v>7.7962800000000003</v>
      </c>
      <c r="F203" s="53">
        <v>6.7514399999999997</v>
      </c>
      <c r="G203" s="68" t="s">
        <v>443</v>
      </c>
      <c r="H203" s="53" t="s">
        <v>166</v>
      </c>
      <c r="I203" s="53" t="s">
        <v>25</v>
      </c>
      <c r="J203" s="29"/>
      <c r="K203" s="118">
        <v>200</v>
      </c>
      <c r="L203" s="75" t="s">
        <v>1227</v>
      </c>
      <c r="M203" s="119">
        <v>45</v>
      </c>
      <c r="N203" s="120" t="s">
        <v>443</v>
      </c>
      <c r="O203" s="119">
        <v>31.4</v>
      </c>
      <c r="P203" s="79" t="s">
        <v>953</v>
      </c>
      <c r="Q203" s="24"/>
      <c r="R203" s="121"/>
      <c r="S203" s="122"/>
      <c r="T203" s="121"/>
      <c r="U203" s="122"/>
      <c r="V203" s="25"/>
      <c r="W203" s="123"/>
      <c r="X203" s="29"/>
      <c r="Y203" s="21" t="s">
        <v>1031</v>
      </c>
      <c r="Z203" s="21" t="s">
        <v>1034</v>
      </c>
      <c r="AA203" s="21"/>
      <c r="AB203" s="30" t="s">
        <v>198</v>
      </c>
      <c r="AC203" s="25"/>
    </row>
    <row r="204" spans="2:29" s="30" customFormat="1" outlineLevel="1" x14ac:dyDescent="0.3">
      <c r="B204" s="30" t="s">
        <v>199</v>
      </c>
      <c r="C204" s="30" t="s">
        <v>438</v>
      </c>
      <c r="E204" s="53">
        <v>7.8532219999999997</v>
      </c>
      <c r="F204" s="53">
        <v>10.963701</v>
      </c>
      <c r="G204" s="68" t="s">
        <v>560</v>
      </c>
      <c r="H204" s="53" t="s">
        <v>162</v>
      </c>
      <c r="I204" s="53" t="s">
        <v>25</v>
      </c>
      <c r="J204" s="29"/>
      <c r="K204" s="118">
        <v>240</v>
      </c>
      <c r="L204" s="124" t="s">
        <v>438</v>
      </c>
      <c r="M204" s="119"/>
      <c r="N204" s="120"/>
      <c r="O204" s="119">
        <v>79.2</v>
      </c>
      <c r="P204" s="79" t="s">
        <v>953</v>
      </c>
      <c r="Q204" s="24"/>
      <c r="R204" s="121"/>
      <c r="S204" s="122"/>
      <c r="T204" s="121"/>
      <c r="U204" s="122"/>
      <c r="V204" s="25"/>
      <c r="W204" s="123"/>
      <c r="X204" s="29"/>
      <c r="Y204" s="21" t="s">
        <v>1031</v>
      </c>
      <c r="Z204" s="21" t="s">
        <v>1034</v>
      </c>
      <c r="AA204" s="21"/>
      <c r="AB204" s="30" t="s">
        <v>198</v>
      </c>
      <c r="AC204" s="25"/>
    </row>
    <row r="205" spans="2:29" s="21" customFormat="1" outlineLevel="1" x14ac:dyDescent="0.3">
      <c r="B205" s="21" t="s">
        <v>184</v>
      </c>
      <c r="C205" s="30" t="s">
        <v>438</v>
      </c>
      <c r="E205" s="22">
        <v>5.8890440000000002</v>
      </c>
      <c r="F205" s="22">
        <v>7.9538289999999998</v>
      </c>
      <c r="G205" s="68" t="s">
        <v>560</v>
      </c>
      <c r="H205" s="22" t="s">
        <v>161</v>
      </c>
      <c r="I205" s="22" t="s">
        <v>161</v>
      </c>
      <c r="J205" s="29"/>
      <c r="K205" s="23">
        <v>180</v>
      </c>
      <c r="L205" s="75" t="s">
        <v>438</v>
      </c>
      <c r="M205" s="24"/>
      <c r="N205" s="79"/>
      <c r="O205" s="24">
        <v>10</v>
      </c>
      <c r="P205" s="79" t="s">
        <v>917</v>
      </c>
      <c r="Q205" s="24"/>
      <c r="R205" s="25"/>
      <c r="S205" s="83"/>
      <c r="T205" s="25"/>
      <c r="U205" s="83"/>
      <c r="V205" s="25"/>
      <c r="W205" s="46"/>
      <c r="X205" s="29"/>
      <c r="Y205" s="21" t="s">
        <v>1031</v>
      </c>
      <c r="Z205" s="21" t="s">
        <v>1034</v>
      </c>
      <c r="AB205" s="21" t="s">
        <v>198</v>
      </c>
      <c r="AC205" s="25"/>
    </row>
    <row r="206" spans="2:29" s="21" customFormat="1" outlineLevel="1" x14ac:dyDescent="0.3">
      <c r="B206" s="30" t="s">
        <v>152</v>
      </c>
      <c r="C206" s="30" t="s">
        <v>499</v>
      </c>
      <c r="E206" s="22">
        <v>5.9621029999999999</v>
      </c>
      <c r="F206" s="22">
        <v>8.7211639999999999</v>
      </c>
      <c r="G206" s="68" t="s">
        <v>560</v>
      </c>
      <c r="H206" s="22" t="s">
        <v>161</v>
      </c>
      <c r="I206" s="22" t="s">
        <v>161</v>
      </c>
      <c r="J206" s="29"/>
      <c r="K206" s="23">
        <v>180</v>
      </c>
      <c r="L206" s="75" t="s">
        <v>438</v>
      </c>
      <c r="M206" s="24"/>
      <c r="N206" s="79"/>
      <c r="O206" s="24">
        <v>15.5</v>
      </c>
      <c r="P206" s="79" t="s">
        <v>953</v>
      </c>
      <c r="Q206" s="24"/>
      <c r="R206" s="25"/>
      <c r="S206" s="83"/>
      <c r="T206" s="25"/>
      <c r="U206" s="83"/>
      <c r="V206" s="25"/>
      <c r="W206" s="46"/>
      <c r="X206" s="29"/>
      <c r="Y206" s="21" t="s">
        <v>1031</v>
      </c>
      <c r="Z206" s="21" t="s">
        <v>1034</v>
      </c>
      <c r="AB206" s="21" t="s">
        <v>198</v>
      </c>
      <c r="AC206" s="25"/>
    </row>
    <row r="207" spans="2:29" s="21" customFormat="1" outlineLevel="1" x14ac:dyDescent="0.3">
      <c r="B207" s="30" t="s">
        <v>153</v>
      </c>
      <c r="C207" s="30" t="s">
        <v>438</v>
      </c>
      <c r="E207" s="22">
        <v>12.00451</v>
      </c>
      <c r="F207" s="22">
        <v>8.5917729999999999</v>
      </c>
      <c r="G207" s="68" t="s">
        <v>560</v>
      </c>
      <c r="H207" s="22" t="s">
        <v>163</v>
      </c>
      <c r="I207" s="22" t="s">
        <v>202</v>
      </c>
      <c r="J207" s="29"/>
      <c r="K207" s="23">
        <v>100</v>
      </c>
      <c r="L207" s="75" t="s">
        <v>438</v>
      </c>
      <c r="M207" s="24"/>
      <c r="N207" s="79"/>
      <c r="O207" s="24"/>
      <c r="P207" s="79"/>
      <c r="Q207" s="24"/>
      <c r="R207" s="25"/>
      <c r="S207" s="83"/>
      <c r="T207" s="25"/>
      <c r="U207" s="83"/>
      <c r="V207" s="25"/>
      <c r="W207" s="46"/>
      <c r="X207" s="29"/>
      <c r="Y207" s="21" t="s">
        <v>1031</v>
      </c>
      <c r="Z207" s="21" t="s">
        <v>1034</v>
      </c>
      <c r="AB207" s="21" t="s">
        <v>198</v>
      </c>
      <c r="AC207" s="25"/>
    </row>
    <row r="208" spans="2:29" s="21" customFormat="1" outlineLevel="1" x14ac:dyDescent="0.3">
      <c r="B208" s="21" t="s">
        <v>39</v>
      </c>
      <c r="C208" s="21" t="s">
        <v>437</v>
      </c>
      <c r="E208" s="22">
        <v>7.9567410811306001</v>
      </c>
      <c r="F208" s="22">
        <v>5.4660925269326901</v>
      </c>
      <c r="G208" s="68" t="s">
        <v>437</v>
      </c>
      <c r="H208" s="22" t="s">
        <v>236</v>
      </c>
      <c r="I208" s="22" t="s">
        <v>25</v>
      </c>
      <c r="J208" s="29"/>
      <c r="K208" s="23">
        <v>15</v>
      </c>
      <c r="L208" s="75" t="s">
        <v>437</v>
      </c>
      <c r="M208" s="24"/>
      <c r="N208" s="79"/>
      <c r="O208" s="24"/>
      <c r="P208" s="79"/>
      <c r="Q208" s="24"/>
      <c r="R208" s="25"/>
      <c r="S208" s="83"/>
      <c r="T208" s="25"/>
      <c r="U208" s="83"/>
      <c r="V208" s="25"/>
      <c r="W208" s="46"/>
      <c r="X208" s="29"/>
      <c r="Y208" s="21" t="s">
        <v>1031</v>
      </c>
      <c r="Z208" s="21" t="s">
        <v>1034</v>
      </c>
      <c r="AB208" s="21" t="s">
        <v>198</v>
      </c>
      <c r="AC208" s="25"/>
    </row>
    <row r="209" spans="2:29" s="21" customFormat="1" outlineLevel="1" x14ac:dyDescent="0.3">
      <c r="B209" s="30" t="s">
        <v>157</v>
      </c>
      <c r="C209" s="30" t="s">
        <v>438</v>
      </c>
      <c r="E209" s="22"/>
      <c r="F209" s="22"/>
      <c r="G209" s="68"/>
      <c r="H209" s="22" t="s">
        <v>42</v>
      </c>
      <c r="I209" s="22" t="s">
        <v>25</v>
      </c>
      <c r="J209" s="29"/>
      <c r="K209" s="23">
        <v>330</v>
      </c>
      <c r="L209" s="75" t="s">
        <v>438</v>
      </c>
      <c r="M209" s="24"/>
      <c r="N209" s="79"/>
      <c r="O209" s="24"/>
      <c r="P209" s="79"/>
      <c r="Q209" s="24"/>
      <c r="R209" s="25"/>
      <c r="S209" s="83"/>
      <c r="T209" s="25"/>
      <c r="U209" s="83"/>
      <c r="V209" s="25"/>
      <c r="W209" s="46"/>
      <c r="X209" s="29"/>
      <c r="Y209" s="21" t="s">
        <v>1031</v>
      </c>
      <c r="Z209" s="21" t="s">
        <v>1034</v>
      </c>
      <c r="AB209" s="21" t="s">
        <v>198</v>
      </c>
      <c r="AC209" s="25"/>
    </row>
    <row r="210" spans="2:29" s="21" customFormat="1" outlineLevel="1" x14ac:dyDescent="0.3">
      <c r="B210" s="30" t="s">
        <v>150</v>
      </c>
      <c r="C210" s="30" t="s">
        <v>438</v>
      </c>
      <c r="E210" s="22"/>
      <c r="F210" s="22"/>
      <c r="G210" s="68"/>
      <c r="H210" s="22" t="s">
        <v>25</v>
      </c>
      <c r="I210" s="22" t="s">
        <v>25</v>
      </c>
      <c r="J210" s="29"/>
      <c r="K210" s="23">
        <v>225</v>
      </c>
      <c r="L210" s="75" t="s">
        <v>438</v>
      </c>
      <c r="M210" s="24"/>
      <c r="N210" s="79"/>
      <c r="O210" s="119">
        <v>17</v>
      </c>
      <c r="P210" s="79" t="s">
        <v>953</v>
      </c>
      <c r="Q210" s="24"/>
      <c r="R210" s="25"/>
      <c r="S210" s="83"/>
      <c r="T210" s="25"/>
      <c r="U210" s="83"/>
      <c r="V210" s="25"/>
      <c r="W210" s="46"/>
      <c r="X210" s="29"/>
      <c r="Y210" s="21" t="s">
        <v>1031</v>
      </c>
      <c r="Z210" s="21" t="s">
        <v>1034</v>
      </c>
      <c r="AB210" s="21" t="s">
        <v>198</v>
      </c>
      <c r="AC210" s="25"/>
    </row>
    <row r="211" spans="2:29" s="21" customFormat="1" outlineLevel="1" x14ac:dyDescent="0.3">
      <c r="B211" s="30" t="s">
        <v>149</v>
      </c>
      <c r="C211" s="30" t="s">
        <v>438</v>
      </c>
      <c r="E211" s="22"/>
      <c r="F211" s="22"/>
      <c r="G211" s="68"/>
      <c r="H211" s="22" t="s">
        <v>161</v>
      </c>
      <c r="I211" s="22" t="s">
        <v>161</v>
      </c>
      <c r="J211" s="29"/>
      <c r="K211" s="23">
        <v>180</v>
      </c>
      <c r="L211" s="75" t="s">
        <v>438</v>
      </c>
      <c r="M211" s="24"/>
      <c r="N211" s="79"/>
      <c r="O211" s="24"/>
      <c r="P211" s="79"/>
      <c r="Q211" s="24"/>
      <c r="R211" s="25"/>
      <c r="S211" s="83"/>
      <c r="T211" s="25"/>
      <c r="U211" s="83"/>
      <c r="V211" s="25"/>
      <c r="W211" s="46"/>
      <c r="X211" s="29"/>
      <c r="Y211" s="21" t="s">
        <v>1031</v>
      </c>
      <c r="Z211" s="21" t="s">
        <v>1034</v>
      </c>
      <c r="AB211" s="21" t="s">
        <v>198</v>
      </c>
      <c r="AC211" s="25"/>
    </row>
    <row r="212" spans="2:29" s="21" customFormat="1" outlineLevel="1" x14ac:dyDescent="0.3">
      <c r="B212" s="30" t="s">
        <v>151</v>
      </c>
      <c r="C212" s="30" t="s">
        <v>438</v>
      </c>
      <c r="E212" s="22"/>
      <c r="F212" s="22"/>
      <c r="G212" s="68"/>
      <c r="H212" s="22" t="s">
        <v>162</v>
      </c>
      <c r="I212" s="22" t="s">
        <v>25</v>
      </c>
      <c r="J212" s="29"/>
      <c r="K212" s="23">
        <v>135</v>
      </c>
      <c r="L212" s="75" t="s">
        <v>438</v>
      </c>
      <c r="M212" s="24"/>
      <c r="N212" s="79"/>
      <c r="O212" s="24">
        <v>39.6</v>
      </c>
      <c r="P212" s="79" t="s">
        <v>953</v>
      </c>
      <c r="Q212" s="24"/>
      <c r="R212" s="25"/>
      <c r="S212" s="83"/>
      <c r="T212" s="25"/>
      <c r="U212" s="83"/>
      <c r="V212" s="25"/>
      <c r="W212" s="46"/>
      <c r="X212" s="29"/>
      <c r="Y212" s="21" t="s">
        <v>1031</v>
      </c>
      <c r="Z212" s="21" t="s">
        <v>1034</v>
      </c>
      <c r="AB212" s="21" t="s">
        <v>198</v>
      </c>
      <c r="AC212" s="25"/>
    </row>
    <row r="213" spans="2:29" s="21" customFormat="1" outlineLevel="1" x14ac:dyDescent="0.3">
      <c r="B213" s="30" t="s">
        <v>160</v>
      </c>
      <c r="C213" s="30" t="s">
        <v>438</v>
      </c>
      <c r="E213" s="22"/>
      <c r="F213" s="22"/>
      <c r="G213" s="68"/>
      <c r="H213" s="22" t="s">
        <v>168</v>
      </c>
      <c r="I213" s="22" t="s">
        <v>25</v>
      </c>
      <c r="J213" s="29"/>
      <c r="K213" s="23">
        <v>100</v>
      </c>
      <c r="L213" s="75" t="s">
        <v>438</v>
      </c>
      <c r="M213" s="24"/>
      <c r="N213" s="79"/>
      <c r="O213" s="24"/>
      <c r="P213" s="79"/>
      <c r="Q213" s="24"/>
      <c r="R213" s="25"/>
      <c r="S213" s="83"/>
      <c r="T213" s="25"/>
      <c r="U213" s="83"/>
      <c r="V213" s="25"/>
      <c r="W213" s="46"/>
      <c r="X213" s="29"/>
      <c r="Y213" s="21" t="s">
        <v>1031</v>
      </c>
      <c r="Z213" s="21" t="s">
        <v>1034</v>
      </c>
      <c r="AB213" s="21" t="s">
        <v>198</v>
      </c>
      <c r="AC213" s="25"/>
    </row>
    <row r="214" spans="2:29" s="21" customFormat="1" outlineLevel="1" x14ac:dyDescent="0.3">
      <c r="B214" s="30" t="s">
        <v>154</v>
      </c>
      <c r="C214" s="30" t="s">
        <v>438</v>
      </c>
      <c r="E214" s="22"/>
      <c r="F214" s="22"/>
      <c r="G214" s="68"/>
      <c r="H214" s="22" t="s">
        <v>164</v>
      </c>
      <c r="I214" s="22" t="s">
        <v>25</v>
      </c>
      <c r="J214" s="29"/>
      <c r="K214" s="23">
        <v>115</v>
      </c>
      <c r="L214" s="75" t="s">
        <v>438</v>
      </c>
      <c r="M214" s="24"/>
      <c r="N214" s="79"/>
      <c r="O214" s="24"/>
      <c r="P214" s="79"/>
      <c r="Q214" s="24"/>
      <c r="R214" s="25"/>
      <c r="S214" s="83"/>
      <c r="T214" s="25"/>
      <c r="U214" s="83"/>
      <c r="V214" s="25"/>
      <c r="W214" s="46"/>
      <c r="X214" s="29"/>
      <c r="Y214" s="21" t="s">
        <v>1031</v>
      </c>
      <c r="Z214" s="21" t="s">
        <v>1034</v>
      </c>
      <c r="AB214" s="21" t="s">
        <v>198</v>
      </c>
      <c r="AC214" s="25"/>
    </row>
    <row r="215" spans="2:29" s="21" customFormat="1" outlineLevel="1" x14ac:dyDescent="0.3">
      <c r="B215" s="21" t="s">
        <v>398</v>
      </c>
      <c r="C215" s="21" t="s">
        <v>465</v>
      </c>
      <c r="E215" s="22">
        <v>9.3144683137583009</v>
      </c>
      <c r="F215" s="22">
        <v>7.0223922378474901</v>
      </c>
      <c r="G215" s="68" t="s">
        <v>437</v>
      </c>
      <c r="H215" s="22" t="s">
        <v>42</v>
      </c>
      <c r="I215" s="22" t="s">
        <v>25</v>
      </c>
      <c r="J215" s="29"/>
      <c r="K215" s="23">
        <v>360</v>
      </c>
      <c r="L215" s="75" t="s">
        <v>437</v>
      </c>
      <c r="M215" s="24"/>
      <c r="N215" s="79"/>
      <c r="O215" s="24">
        <v>30</v>
      </c>
      <c r="P215" s="79" t="s">
        <v>917</v>
      </c>
      <c r="Q215" s="24"/>
      <c r="R215" s="25"/>
      <c r="S215" s="83"/>
      <c r="T215" s="25"/>
      <c r="U215" s="83"/>
      <c r="V215" s="25"/>
      <c r="W215" s="46"/>
      <c r="X215" s="29"/>
      <c r="Y215" s="21" t="s">
        <v>1035</v>
      </c>
      <c r="AA215" s="21" t="s">
        <v>1038</v>
      </c>
      <c r="AB215" s="21" t="s">
        <v>1232</v>
      </c>
      <c r="AC215" s="25"/>
    </row>
    <row r="216" spans="2:29" s="21" customFormat="1" outlineLevel="1" x14ac:dyDescent="0.3">
      <c r="B216" s="21" t="s">
        <v>49</v>
      </c>
      <c r="C216" s="21" t="s">
        <v>500</v>
      </c>
      <c r="E216" s="22">
        <v>9.4007768504288904</v>
      </c>
      <c r="F216" s="22">
        <v>8.7459406256676893</v>
      </c>
      <c r="G216" s="68" t="s">
        <v>437</v>
      </c>
      <c r="H216" s="22" t="s">
        <v>236</v>
      </c>
      <c r="I216" s="22" t="s">
        <v>25</v>
      </c>
      <c r="J216" s="29"/>
      <c r="K216" s="23">
        <v>8</v>
      </c>
      <c r="L216" s="75" t="s">
        <v>437</v>
      </c>
      <c r="M216" s="24">
        <v>19</v>
      </c>
      <c r="N216" s="79" t="s">
        <v>443</v>
      </c>
      <c r="O216" s="24"/>
      <c r="P216" s="79"/>
      <c r="Q216" s="24"/>
      <c r="R216" s="25"/>
      <c r="S216" s="83"/>
      <c r="T216" s="25"/>
      <c r="U216" s="83"/>
      <c r="V216" s="25"/>
      <c r="W216" s="46"/>
      <c r="X216" s="29"/>
      <c r="Y216" s="21" t="s">
        <v>1035</v>
      </c>
      <c r="AA216" s="21" t="s">
        <v>1036</v>
      </c>
      <c r="AB216" s="21" t="s">
        <v>1231</v>
      </c>
      <c r="AC216" s="25"/>
    </row>
    <row r="217" spans="2:29" s="21" customFormat="1" outlineLevel="1" x14ac:dyDescent="0.3">
      <c r="B217" s="21" t="s">
        <v>40</v>
      </c>
      <c r="C217" s="21" t="s">
        <v>437</v>
      </c>
      <c r="E217" s="22">
        <v>5.1525522195466902</v>
      </c>
      <c r="F217" s="22">
        <v>8.5172876715660006</v>
      </c>
      <c r="G217" s="68" t="s">
        <v>437</v>
      </c>
      <c r="H217" s="22" t="s">
        <v>228</v>
      </c>
      <c r="I217" s="22" t="s">
        <v>161</v>
      </c>
      <c r="J217" s="29"/>
      <c r="K217" s="23">
        <v>6.4</v>
      </c>
      <c r="L217" s="75" t="s">
        <v>437</v>
      </c>
      <c r="M217" s="24"/>
      <c r="N217" s="79"/>
      <c r="O217" s="24"/>
      <c r="P217" s="79"/>
      <c r="Q217" s="24"/>
      <c r="R217" s="25"/>
      <c r="S217" s="83"/>
      <c r="T217" s="25"/>
      <c r="U217" s="83"/>
      <c r="V217" s="25"/>
      <c r="W217" s="46"/>
      <c r="X217" s="29"/>
      <c r="Y217" s="21" t="s">
        <v>1035</v>
      </c>
      <c r="AA217" s="21" t="s">
        <v>1036</v>
      </c>
      <c r="AB217" s="21" t="s">
        <v>198</v>
      </c>
      <c r="AC217" s="25"/>
    </row>
    <row r="218" spans="2:29" s="21" customFormat="1" outlineLevel="1" x14ac:dyDescent="0.3">
      <c r="B218" s="21" t="s">
        <v>37</v>
      </c>
      <c r="C218" s="21" t="s">
        <v>501</v>
      </c>
      <c r="E218" s="22">
        <v>8.1904531083992005</v>
      </c>
      <c r="F218" s="22">
        <v>3.7303814292016901</v>
      </c>
      <c r="G218" s="68" t="s">
        <v>437</v>
      </c>
      <c r="H218" s="22" t="s">
        <v>224</v>
      </c>
      <c r="I218" s="22" t="s">
        <v>224</v>
      </c>
      <c r="J218" s="29"/>
      <c r="K218" s="23">
        <v>6</v>
      </c>
      <c r="L218" s="75" t="s">
        <v>437</v>
      </c>
      <c r="M218" s="24">
        <v>48</v>
      </c>
      <c r="N218" s="79" t="s">
        <v>443</v>
      </c>
      <c r="O218" s="24"/>
      <c r="P218" s="79"/>
      <c r="Q218" s="24"/>
      <c r="R218" s="25"/>
      <c r="S218" s="83"/>
      <c r="T218" s="25"/>
      <c r="U218" s="83"/>
      <c r="V218" s="25"/>
      <c r="W218" s="46"/>
      <c r="X218" s="29"/>
      <c r="Y218" s="21" t="s">
        <v>1035</v>
      </c>
      <c r="AA218" s="21" t="s">
        <v>1036</v>
      </c>
      <c r="AB218" s="21" t="s">
        <v>198</v>
      </c>
      <c r="AC218" s="25"/>
    </row>
    <row r="219" spans="2:29" s="21" customFormat="1" outlineLevel="1" x14ac:dyDescent="0.3">
      <c r="B219" s="21" t="s">
        <v>48</v>
      </c>
      <c r="C219" s="21" t="s">
        <v>437</v>
      </c>
      <c r="E219" s="22">
        <v>9.4117107215133906</v>
      </c>
      <c r="F219" s="22">
        <v>8.7531504035079006</v>
      </c>
      <c r="G219" s="68" t="s">
        <v>437</v>
      </c>
      <c r="H219" s="22" t="s">
        <v>236</v>
      </c>
      <c r="I219" s="22" t="s">
        <v>25</v>
      </c>
      <c r="J219" s="29"/>
      <c r="K219" s="23">
        <v>4</v>
      </c>
      <c r="L219" s="75" t="s">
        <v>437</v>
      </c>
      <c r="M219" s="24"/>
      <c r="N219" s="79"/>
      <c r="O219" s="24"/>
      <c r="P219" s="79"/>
      <c r="Q219" s="24"/>
      <c r="R219" s="25"/>
      <c r="S219" s="83"/>
      <c r="T219" s="25"/>
      <c r="U219" s="83"/>
      <c r="V219" s="25"/>
      <c r="W219" s="46"/>
      <c r="X219" s="29"/>
      <c r="Y219" s="21" t="s">
        <v>1035</v>
      </c>
      <c r="AA219" s="21" t="s">
        <v>1036</v>
      </c>
      <c r="AB219" s="21" t="s">
        <v>1231</v>
      </c>
      <c r="AC219" s="25"/>
    </row>
    <row r="220" spans="2:29" s="21" customFormat="1" outlineLevel="1" x14ac:dyDescent="0.3">
      <c r="B220" s="21" t="s">
        <v>50</v>
      </c>
      <c r="C220" s="21" t="s">
        <v>437</v>
      </c>
      <c r="E220" s="22">
        <v>9.3713685282779906</v>
      </c>
      <c r="F220" s="22">
        <v>8.8098844885937009</v>
      </c>
      <c r="G220" s="68" t="s">
        <v>437</v>
      </c>
      <c r="H220" s="22" t="s">
        <v>236</v>
      </c>
      <c r="I220" s="22" t="s">
        <v>25</v>
      </c>
      <c r="J220" s="29"/>
      <c r="K220" s="23">
        <v>4</v>
      </c>
      <c r="L220" s="75" t="s">
        <v>437</v>
      </c>
      <c r="M220" s="24"/>
      <c r="N220" s="79"/>
      <c r="O220" s="24"/>
      <c r="P220" s="79"/>
      <c r="Q220" s="24"/>
      <c r="R220" s="25"/>
      <c r="S220" s="83"/>
      <c r="T220" s="25"/>
      <c r="U220" s="83"/>
      <c r="V220" s="25"/>
      <c r="W220" s="46"/>
      <c r="X220" s="29"/>
      <c r="Y220" s="21" t="s">
        <v>1035</v>
      </c>
      <c r="AA220" s="21" t="s">
        <v>1036</v>
      </c>
      <c r="AB220" s="21" t="s">
        <v>1231</v>
      </c>
      <c r="AC220" s="25"/>
    </row>
    <row r="221" spans="2:29" s="21" customFormat="1" outlineLevel="1" x14ac:dyDescent="0.3">
      <c r="B221" s="21" t="s">
        <v>45</v>
      </c>
      <c r="C221" s="21" t="s">
        <v>437</v>
      </c>
      <c r="E221" s="22">
        <v>9.8313621239007905</v>
      </c>
      <c r="F221" s="22">
        <v>8.6705303192123004</v>
      </c>
      <c r="G221" s="68" t="s">
        <v>437</v>
      </c>
      <c r="H221" s="22" t="s">
        <v>69</v>
      </c>
      <c r="I221" s="22" t="s">
        <v>25</v>
      </c>
      <c r="J221" s="29"/>
      <c r="K221" s="23">
        <v>2</v>
      </c>
      <c r="L221" s="75" t="s">
        <v>437</v>
      </c>
      <c r="N221" s="45"/>
      <c r="O221" s="24"/>
      <c r="P221" s="79"/>
      <c r="Q221" s="24"/>
      <c r="R221" s="25"/>
      <c r="S221" s="83"/>
      <c r="T221" s="25"/>
      <c r="U221" s="83"/>
      <c r="V221" s="25"/>
      <c r="W221" s="46"/>
      <c r="X221" s="29"/>
      <c r="Y221" s="21" t="s">
        <v>1035</v>
      </c>
      <c r="AA221" s="21" t="s">
        <v>1036</v>
      </c>
      <c r="AB221" s="21" t="s">
        <v>1231</v>
      </c>
      <c r="AC221" s="25"/>
    </row>
    <row r="222" spans="2:29" s="21" customFormat="1" outlineLevel="1" x14ac:dyDescent="0.3">
      <c r="B222" s="21" t="s">
        <v>46</v>
      </c>
      <c r="C222" s="21" t="s">
        <v>437</v>
      </c>
      <c r="E222" s="22">
        <v>9.8290139702970905</v>
      </c>
      <c r="F222" s="22">
        <v>8.6680063605233908</v>
      </c>
      <c r="G222" s="68" t="s">
        <v>437</v>
      </c>
      <c r="H222" s="22" t="s">
        <v>69</v>
      </c>
      <c r="I222" s="22" t="s">
        <v>25</v>
      </c>
      <c r="J222" s="29"/>
      <c r="K222" s="23">
        <v>2</v>
      </c>
      <c r="L222" s="75" t="s">
        <v>437</v>
      </c>
      <c r="N222" s="45"/>
      <c r="O222" s="24"/>
      <c r="P222" s="79"/>
      <c r="Q222" s="24"/>
      <c r="R222" s="25"/>
      <c r="S222" s="83"/>
      <c r="T222" s="25"/>
      <c r="U222" s="83"/>
      <c r="V222" s="25"/>
      <c r="W222" s="46"/>
      <c r="X222" s="29"/>
      <c r="Y222" s="21" t="s">
        <v>1035</v>
      </c>
      <c r="AA222" s="21" t="s">
        <v>1036</v>
      </c>
      <c r="AB222" s="21" t="s">
        <v>1231</v>
      </c>
      <c r="AC222" s="25"/>
    </row>
    <row r="223" spans="2:29" s="21" customFormat="1" outlineLevel="1" x14ac:dyDescent="0.3">
      <c r="B223" s="21" t="s">
        <v>47</v>
      </c>
      <c r="C223" s="21" t="s">
        <v>502</v>
      </c>
      <c r="E223" s="22">
        <v>9.7732995739469892</v>
      </c>
      <c r="F223" s="22">
        <v>8.6960649490345006</v>
      </c>
      <c r="G223" s="68" t="s">
        <v>437</v>
      </c>
      <c r="H223" s="22" t="s">
        <v>236</v>
      </c>
      <c r="I223" s="22" t="s">
        <v>25</v>
      </c>
      <c r="J223" s="29"/>
      <c r="K223" s="23">
        <v>2</v>
      </c>
      <c r="L223" s="75" t="s">
        <v>437</v>
      </c>
      <c r="N223" s="45"/>
      <c r="O223" s="24"/>
      <c r="P223" s="79"/>
      <c r="Q223" s="24"/>
      <c r="R223" s="25"/>
      <c r="S223" s="83"/>
      <c r="T223" s="25"/>
      <c r="U223" s="83"/>
      <c r="V223" s="25"/>
      <c r="W223" s="46"/>
      <c r="X223" s="29"/>
      <c r="Y223" s="21" t="s">
        <v>1035</v>
      </c>
      <c r="AA223" s="21" t="s">
        <v>1036</v>
      </c>
      <c r="AB223" s="21" t="s">
        <v>1231</v>
      </c>
      <c r="AC223" s="25"/>
    </row>
    <row r="224" spans="2:29" s="21" customFormat="1" outlineLevel="1" x14ac:dyDescent="0.3">
      <c r="B224" s="21" t="s">
        <v>52</v>
      </c>
      <c r="C224" s="21" t="s">
        <v>503</v>
      </c>
      <c r="E224" s="22">
        <v>9.3800261549506008</v>
      </c>
      <c r="F224" s="22">
        <v>8.8378652930280008</v>
      </c>
      <c r="G224" s="68" t="s">
        <v>437</v>
      </c>
      <c r="H224" s="22" t="s">
        <v>236</v>
      </c>
      <c r="I224" s="22" t="s">
        <v>25</v>
      </c>
      <c r="J224" s="29"/>
      <c r="K224" s="23">
        <v>2</v>
      </c>
      <c r="L224" s="75" t="s">
        <v>437</v>
      </c>
      <c r="N224" s="45"/>
      <c r="O224" s="24"/>
      <c r="P224" s="79"/>
      <c r="Q224" s="24"/>
      <c r="R224" s="25"/>
      <c r="S224" s="83"/>
      <c r="T224" s="25"/>
      <c r="U224" s="83"/>
      <c r="V224" s="25"/>
      <c r="W224" s="46"/>
      <c r="X224" s="29"/>
      <c r="Y224" s="21" t="s">
        <v>1035</v>
      </c>
      <c r="AA224" s="21" t="s">
        <v>1036</v>
      </c>
      <c r="AB224" s="21" t="s">
        <v>1231</v>
      </c>
      <c r="AC224" s="25"/>
    </row>
    <row r="225" spans="1:29" s="21" customFormat="1" outlineLevel="1" x14ac:dyDescent="0.3">
      <c r="B225" s="21" t="s">
        <v>51</v>
      </c>
      <c r="C225" s="21" t="s">
        <v>501</v>
      </c>
      <c r="E225" s="22">
        <v>9.3675245945493906</v>
      </c>
      <c r="F225" s="22">
        <v>8.8088545203150908</v>
      </c>
      <c r="G225" s="68" t="s">
        <v>437</v>
      </c>
      <c r="H225" s="22" t="s">
        <v>236</v>
      </c>
      <c r="I225" s="22" t="s">
        <v>25</v>
      </c>
      <c r="J225" s="29"/>
      <c r="K225" s="23">
        <v>1</v>
      </c>
      <c r="L225" s="75" t="s">
        <v>437</v>
      </c>
      <c r="N225" s="45"/>
      <c r="O225" s="24"/>
      <c r="P225" s="79"/>
      <c r="Q225" s="24"/>
      <c r="R225" s="25"/>
      <c r="S225" s="83"/>
      <c r="T225" s="25"/>
      <c r="U225" s="83"/>
      <c r="V225" s="25"/>
      <c r="W225" s="46"/>
      <c r="X225" s="29"/>
      <c r="Y225" s="21" t="s">
        <v>1035</v>
      </c>
      <c r="AA225" s="21" t="s">
        <v>1036</v>
      </c>
      <c r="AB225" s="21" t="s">
        <v>1231</v>
      </c>
      <c r="AC225" s="25"/>
    </row>
    <row r="226" spans="1:29" s="21" customFormat="1" outlineLevel="1" x14ac:dyDescent="0.3">
      <c r="B226" s="21" t="s">
        <v>41</v>
      </c>
      <c r="C226" s="21" t="s">
        <v>437</v>
      </c>
      <c r="E226" s="22">
        <v>6.8680522484733899</v>
      </c>
      <c r="F226" s="22">
        <v>11.182794570923001</v>
      </c>
      <c r="G226" s="68" t="s">
        <v>437</v>
      </c>
      <c r="H226" s="22" t="s">
        <v>236</v>
      </c>
      <c r="I226" s="22" t="s">
        <v>25</v>
      </c>
      <c r="J226" s="29"/>
      <c r="K226" s="23">
        <v>0.4</v>
      </c>
      <c r="L226" s="75" t="s">
        <v>437</v>
      </c>
      <c r="N226" s="45"/>
      <c r="O226" s="24"/>
      <c r="P226" s="79"/>
      <c r="Q226" s="24"/>
      <c r="R226" s="25"/>
      <c r="S226" s="83"/>
      <c r="T226" s="25"/>
      <c r="U226" s="83"/>
      <c r="V226" s="25"/>
      <c r="W226" s="46"/>
      <c r="X226" s="29"/>
      <c r="Y226" s="21" t="s">
        <v>1035</v>
      </c>
      <c r="AA226" s="21" t="s">
        <v>1036</v>
      </c>
      <c r="AB226" s="21" t="s">
        <v>1231</v>
      </c>
      <c r="AC226" s="25"/>
    </row>
    <row r="227" spans="1:29" s="21" customFormat="1" outlineLevel="1" x14ac:dyDescent="0.3">
      <c r="B227" s="21" t="s">
        <v>187</v>
      </c>
      <c r="C227" s="21" t="s">
        <v>439</v>
      </c>
      <c r="E227" s="22"/>
      <c r="F227" s="22"/>
      <c r="G227" s="68"/>
      <c r="H227" s="22" t="s">
        <v>236</v>
      </c>
      <c r="I227" s="22" t="s">
        <v>236</v>
      </c>
      <c r="J227" s="29"/>
      <c r="K227" s="23">
        <v>6</v>
      </c>
      <c r="L227" s="75" t="s">
        <v>439</v>
      </c>
      <c r="M227" s="24"/>
      <c r="N227" s="79"/>
      <c r="O227" s="24"/>
      <c r="P227" s="79"/>
      <c r="Q227" s="24"/>
      <c r="R227" s="25"/>
      <c r="S227" s="83"/>
      <c r="T227" s="25"/>
      <c r="U227" s="83"/>
      <c r="V227" s="25"/>
      <c r="W227" s="46"/>
      <c r="X227" s="29"/>
      <c r="Y227" s="21" t="s">
        <v>1035</v>
      </c>
      <c r="AA227" s="21" t="s">
        <v>1036</v>
      </c>
      <c r="AB227" s="21" t="s">
        <v>1231</v>
      </c>
      <c r="AC227" s="25"/>
    </row>
    <row r="228" spans="1:29" s="21" customFormat="1" outlineLevel="1" x14ac:dyDescent="0.3">
      <c r="B228" s="21" t="s">
        <v>185</v>
      </c>
      <c r="C228" s="21" t="s">
        <v>439</v>
      </c>
      <c r="E228" s="22"/>
      <c r="F228" s="22"/>
      <c r="G228" s="68"/>
      <c r="H228" s="22" t="s">
        <v>236</v>
      </c>
      <c r="I228" s="22" t="s">
        <v>236</v>
      </c>
      <c r="J228" s="29"/>
      <c r="K228" s="23">
        <v>4</v>
      </c>
      <c r="L228" s="75" t="s">
        <v>439</v>
      </c>
      <c r="M228" s="24"/>
      <c r="N228" s="79"/>
      <c r="O228" s="24"/>
      <c r="P228" s="79"/>
      <c r="Q228" s="24"/>
      <c r="R228" s="25"/>
      <c r="S228" s="83"/>
      <c r="T228" s="25"/>
      <c r="U228" s="83"/>
      <c r="V228" s="25"/>
      <c r="W228" s="46"/>
      <c r="X228" s="29"/>
      <c r="Y228" s="21" t="s">
        <v>1035</v>
      </c>
      <c r="AA228" s="21" t="s">
        <v>1036</v>
      </c>
      <c r="AB228" s="21" t="s">
        <v>1231</v>
      </c>
      <c r="AC228" s="25"/>
    </row>
    <row r="229" spans="1:29" s="21" customFormat="1" outlineLevel="1" x14ac:dyDescent="0.3">
      <c r="B229" s="21" t="s">
        <v>186</v>
      </c>
      <c r="C229" s="21" t="s">
        <v>439</v>
      </c>
      <c r="E229" s="22"/>
      <c r="F229" s="22"/>
      <c r="G229" s="68"/>
      <c r="H229" s="22" t="s">
        <v>236</v>
      </c>
      <c r="I229" s="22" t="s">
        <v>236</v>
      </c>
      <c r="J229" s="29"/>
      <c r="K229" s="23">
        <v>4</v>
      </c>
      <c r="L229" s="75" t="s">
        <v>439</v>
      </c>
      <c r="M229" s="24"/>
      <c r="N229" s="79"/>
      <c r="O229" s="24"/>
      <c r="P229" s="79"/>
      <c r="Q229" s="24"/>
      <c r="R229" s="25"/>
      <c r="S229" s="83"/>
      <c r="T229" s="25"/>
      <c r="U229" s="83"/>
      <c r="V229" s="25"/>
      <c r="W229" s="46"/>
      <c r="X229" s="29"/>
      <c r="Y229" s="21" t="s">
        <v>1035</v>
      </c>
      <c r="AA229" s="21" t="s">
        <v>1036</v>
      </c>
      <c r="AB229" s="21" t="s">
        <v>1231</v>
      </c>
      <c r="AC229" s="25"/>
    </row>
    <row r="230" spans="1:29" s="21" customFormat="1" outlineLevel="1" x14ac:dyDescent="0.3">
      <c r="B230" s="21" t="s">
        <v>177</v>
      </c>
      <c r="C230" s="21" t="s">
        <v>439</v>
      </c>
      <c r="D230" s="29"/>
      <c r="E230" s="22"/>
      <c r="F230" s="22"/>
      <c r="G230" s="68"/>
      <c r="H230" s="22" t="s">
        <v>180</v>
      </c>
      <c r="I230" s="22" t="s">
        <v>236</v>
      </c>
      <c r="J230" s="29"/>
      <c r="K230" s="23">
        <f>734.2-6</f>
        <v>728.2</v>
      </c>
      <c r="L230" s="75" t="s">
        <v>439</v>
      </c>
      <c r="N230" s="45"/>
      <c r="O230" s="24"/>
      <c r="P230" s="79"/>
      <c r="Q230" s="24"/>
      <c r="R230" s="25"/>
      <c r="S230" s="83"/>
      <c r="T230" s="25"/>
      <c r="U230" s="83"/>
      <c r="V230" s="25"/>
      <c r="W230" s="46"/>
      <c r="X230" s="29"/>
      <c r="Y230" s="21" t="s">
        <v>1035</v>
      </c>
      <c r="AA230" s="21" t="s">
        <v>1036</v>
      </c>
      <c r="AB230" s="21" t="s">
        <v>198</v>
      </c>
      <c r="AC230" s="25"/>
    </row>
    <row r="231" spans="1:29" x14ac:dyDescent="0.3">
      <c r="A231" s="2"/>
      <c r="D231" s="1"/>
      <c r="E231" s="2"/>
      <c r="H231" s="2"/>
      <c r="I231" s="2"/>
      <c r="J231" s="1"/>
      <c r="X231" s="1"/>
    </row>
    <row r="232" spans="1:29" x14ac:dyDescent="0.3">
      <c r="A232" s="2"/>
      <c r="D232" s="1"/>
      <c r="E232" s="2"/>
      <c r="H232" s="2"/>
      <c r="I232" s="2"/>
      <c r="J232" s="1"/>
      <c r="X232" s="1"/>
    </row>
    <row r="233" spans="1:29" ht="14.5" thickBot="1" x14ac:dyDescent="0.35">
      <c r="B233" s="7" t="s">
        <v>6</v>
      </c>
      <c r="C233" s="7"/>
      <c r="D233" s="1"/>
      <c r="E233" s="8"/>
      <c r="F233" s="7"/>
      <c r="G233" s="40"/>
      <c r="H233" s="8"/>
      <c r="I233" s="8"/>
      <c r="J233" s="1"/>
      <c r="K233" s="11"/>
      <c r="L233" s="74"/>
      <c r="M233" s="7"/>
      <c r="N233" s="40"/>
      <c r="O233" s="18"/>
      <c r="P233" s="78"/>
      <c r="R233" s="15"/>
      <c r="S233" s="85"/>
      <c r="T233" s="15"/>
      <c r="U233" s="85"/>
      <c r="W233" s="41"/>
      <c r="X233" s="1"/>
      <c r="Y233" s="102"/>
      <c r="Z233" s="102"/>
      <c r="AA233" s="102"/>
      <c r="AB233" s="7"/>
    </row>
    <row r="234" spans="1:29" s="21" customFormat="1" outlineLevel="1" x14ac:dyDescent="0.3">
      <c r="B234" s="21" t="s">
        <v>248</v>
      </c>
      <c r="C234" s="21" t="s">
        <v>518</v>
      </c>
      <c r="D234" s="1"/>
      <c r="E234" s="22">
        <v>12.3945665160009</v>
      </c>
      <c r="F234" s="22">
        <v>-12.194137573238001</v>
      </c>
      <c r="G234" s="68" t="s">
        <v>437</v>
      </c>
      <c r="H234" s="21" t="s">
        <v>68</v>
      </c>
      <c r="I234" s="21" t="s">
        <v>68</v>
      </c>
      <c r="J234" s="1"/>
      <c r="K234" s="23">
        <v>128</v>
      </c>
      <c r="L234" s="75" t="s">
        <v>437</v>
      </c>
      <c r="M234" s="24">
        <v>90</v>
      </c>
      <c r="N234" s="79" t="s">
        <v>954</v>
      </c>
      <c r="O234" s="24">
        <v>75</v>
      </c>
      <c r="P234" s="79" t="s">
        <v>963</v>
      </c>
      <c r="Q234" s="16"/>
      <c r="R234" s="25">
        <f>3.8*10^9</f>
        <v>3800000000</v>
      </c>
      <c r="S234" s="79" t="s">
        <v>954</v>
      </c>
      <c r="T234" s="25">
        <f>181*10^6</f>
        <v>181000000</v>
      </c>
      <c r="U234" s="79" t="s">
        <v>954</v>
      </c>
      <c r="V234" s="13"/>
      <c r="W234" s="46" t="s">
        <v>1071</v>
      </c>
      <c r="X234" s="1"/>
      <c r="Y234" s="2" t="s">
        <v>1031</v>
      </c>
      <c r="Z234" s="2" t="s">
        <v>1042</v>
      </c>
      <c r="AA234" s="2"/>
      <c r="AB234" s="21" t="s">
        <v>1232</v>
      </c>
      <c r="AC234" s="13"/>
    </row>
    <row r="235" spans="1:29" x14ac:dyDescent="0.3">
      <c r="D235" s="1"/>
      <c r="J235" s="1"/>
      <c r="X235" s="1"/>
    </row>
    <row r="236" spans="1:29" x14ac:dyDescent="0.3">
      <c r="D236" s="1"/>
      <c r="J236" s="1"/>
      <c r="X236" s="1"/>
    </row>
    <row r="237" spans="1:29" ht="14.5" thickBot="1" x14ac:dyDescent="0.35">
      <c r="B237" s="7" t="s">
        <v>15</v>
      </c>
      <c r="C237" s="7"/>
      <c r="D237" s="1"/>
      <c r="E237" s="8"/>
      <c r="F237" s="7"/>
      <c r="G237" s="40"/>
      <c r="H237" s="8"/>
      <c r="I237" s="8"/>
      <c r="J237" s="1"/>
      <c r="K237" s="11"/>
      <c r="L237" s="74"/>
      <c r="M237" s="7"/>
      <c r="N237" s="40"/>
      <c r="O237" s="18"/>
      <c r="P237" s="78"/>
      <c r="R237" s="15"/>
      <c r="S237" s="85"/>
      <c r="T237" s="15"/>
      <c r="U237" s="85"/>
      <c r="W237" s="41"/>
      <c r="X237" s="1"/>
      <c r="Y237" s="102"/>
      <c r="Z237" s="102"/>
      <c r="AA237" s="102"/>
      <c r="AB237" s="7"/>
    </row>
    <row r="238" spans="1:29" s="21" customFormat="1" outlineLevel="1" x14ac:dyDescent="0.3">
      <c r="B238" s="21" t="s">
        <v>360</v>
      </c>
      <c r="C238" s="21" t="s">
        <v>525</v>
      </c>
      <c r="D238" s="29"/>
      <c r="E238" s="22">
        <v>8.5516459999999999</v>
      </c>
      <c r="F238" s="22">
        <v>-11.264041000000001</v>
      </c>
      <c r="G238" s="68" t="s">
        <v>451</v>
      </c>
      <c r="H238" s="21" t="s">
        <v>148</v>
      </c>
      <c r="I238" s="21" t="s">
        <v>148</v>
      </c>
      <c r="J238" s="29"/>
      <c r="K238" s="23">
        <v>80</v>
      </c>
      <c r="L238" s="75" t="s">
        <v>439</v>
      </c>
      <c r="M238" s="24">
        <v>50.6</v>
      </c>
      <c r="N238" s="79" t="s">
        <v>439</v>
      </c>
      <c r="O238" s="24">
        <v>37</v>
      </c>
      <c r="P238" s="79" t="s">
        <v>439</v>
      </c>
      <c r="Q238" s="24"/>
      <c r="R238" s="25">
        <f>224.5*10^6</f>
        <v>224500000</v>
      </c>
      <c r="S238" s="83" t="s">
        <v>439</v>
      </c>
      <c r="T238" s="25"/>
      <c r="U238" s="83"/>
      <c r="V238" s="25"/>
      <c r="W238" s="46"/>
      <c r="X238" s="29"/>
      <c r="Y238" s="21" t="s">
        <v>1031</v>
      </c>
      <c r="Z238" s="21" t="s">
        <v>1042</v>
      </c>
      <c r="AB238" s="21" t="s">
        <v>4</v>
      </c>
      <c r="AC238" s="25"/>
    </row>
    <row r="239" spans="1:29" s="21" customFormat="1" outlineLevel="1" x14ac:dyDescent="0.3">
      <c r="B239" s="21" t="s">
        <v>383</v>
      </c>
      <c r="C239" s="21" t="s">
        <v>505</v>
      </c>
      <c r="D239" s="29"/>
      <c r="E239" s="22">
        <v>9.0538860000000003</v>
      </c>
      <c r="F239" s="22">
        <v>-11.735469999999999</v>
      </c>
      <c r="G239" s="68" t="s">
        <v>451</v>
      </c>
      <c r="H239" s="21" t="s">
        <v>200</v>
      </c>
      <c r="I239" s="21" t="s">
        <v>231</v>
      </c>
      <c r="J239" s="29"/>
      <c r="K239" s="23">
        <v>143</v>
      </c>
      <c r="L239" s="75" t="s">
        <v>964</v>
      </c>
      <c r="M239" s="24"/>
      <c r="N239" s="79"/>
      <c r="O239" s="24">
        <v>112.8</v>
      </c>
      <c r="P239" s="79" t="s">
        <v>964</v>
      </c>
      <c r="Q239" s="24"/>
      <c r="R239" s="25">
        <v>1911900000</v>
      </c>
      <c r="S239" s="83" t="s">
        <v>1225</v>
      </c>
      <c r="T239" s="25">
        <f>(117.2+16.4)*10^6</f>
        <v>133600000</v>
      </c>
      <c r="U239" s="83" t="s">
        <v>964</v>
      </c>
      <c r="V239" s="25"/>
      <c r="W239" s="46"/>
      <c r="X239" s="29"/>
      <c r="Y239" s="21" t="s">
        <v>1031</v>
      </c>
      <c r="Z239" s="21" t="s">
        <v>1042</v>
      </c>
      <c r="AB239" s="21" t="s">
        <v>4</v>
      </c>
      <c r="AC239" s="25"/>
    </row>
    <row r="240" spans="1:29" s="21" customFormat="1" outlineLevel="1" x14ac:dyDescent="0.3">
      <c r="B240" s="21" t="s">
        <v>190</v>
      </c>
      <c r="C240" s="21" t="s">
        <v>526</v>
      </c>
      <c r="D240" s="29"/>
      <c r="E240" s="22">
        <v>9.8879199999999994</v>
      </c>
      <c r="F240" s="22">
        <v>-11.903575</v>
      </c>
      <c r="G240" s="68" t="s">
        <v>451</v>
      </c>
      <c r="H240" s="21" t="s">
        <v>188</v>
      </c>
      <c r="I240" s="21" t="s">
        <v>188</v>
      </c>
      <c r="J240" s="29"/>
      <c r="K240" s="23">
        <v>91</v>
      </c>
      <c r="L240" s="75" t="s">
        <v>439</v>
      </c>
      <c r="M240" s="24">
        <v>146.4</v>
      </c>
      <c r="N240" s="79" t="s">
        <v>439</v>
      </c>
      <c r="O240" s="24">
        <v>125.1</v>
      </c>
      <c r="P240" s="79" t="s">
        <v>439</v>
      </c>
      <c r="Q240" s="24"/>
      <c r="R240" s="25">
        <f>1386.1*10^6</f>
        <v>1386100000</v>
      </c>
      <c r="S240" s="83" t="s">
        <v>439</v>
      </c>
      <c r="T240" s="25"/>
      <c r="U240" s="83"/>
      <c r="V240" s="25"/>
      <c r="W240" s="46"/>
      <c r="X240" s="29"/>
      <c r="Y240" s="21" t="s">
        <v>1031</v>
      </c>
      <c r="Z240" s="21" t="s">
        <v>1042</v>
      </c>
      <c r="AB240" s="21" t="s">
        <v>4</v>
      </c>
      <c r="AC240" s="25"/>
    </row>
    <row r="241" spans="2:29" s="21" customFormat="1" outlineLevel="1" x14ac:dyDescent="0.3">
      <c r="B241" s="21" t="s">
        <v>213</v>
      </c>
      <c r="C241" s="21" t="s">
        <v>527</v>
      </c>
      <c r="D241" s="29"/>
      <c r="E241" s="22">
        <v>9.8332899999999999</v>
      </c>
      <c r="F241" s="22">
        <v>-11.778122</v>
      </c>
      <c r="G241" s="68" t="s">
        <v>443</v>
      </c>
      <c r="H241" s="21" t="s">
        <v>188</v>
      </c>
      <c r="I241" s="21" t="s">
        <v>188</v>
      </c>
      <c r="J241" s="29"/>
      <c r="K241" s="23">
        <v>65.7</v>
      </c>
      <c r="L241" s="75" t="s">
        <v>439</v>
      </c>
      <c r="M241" s="24"/>
      <c r="N241" s="79"/>
      <c r="O241" s="24">
        <v>131.1</v>
      </c>
      <c r="P241" s="79" t="s">
        <v>439</v>
      </c>
      <c r="Q241" s="24"/>
      <c r="R241" s="25">
        <f>91.4*10^6</f>
        <v>91400000</v>
      </c>
      <c r="S241" s="83" t="s">
        <v>439</v>
      </c>
      <c r="T241" s="25"/>
      <c r="U241" s="83"/>
      <c r="V241" s="25"/>
      <c r="W241" s="46"/>
      <c r="X241" s="29"/>
      <c r="Y241" s="21" t="s">
        <v>1031</v>
      </c>
      <c r="Z241" s="21" t="s">
        <v>1042</v>
      </c>
      <c r="AB241" s="21" t="s">
        <v>4</v>
      </c>
      <c r="AC241" s="25"/>
    </row>
    <row r="242" spans="2:29" s="21" customFormat="1" outlineLevel="1" x14ac:dyDescent="0.3">
      <c r="B242" s="21" t="s">
        <v>220</v>
      </c>
      <c r="C242" s="21" t="s">
        <v>439</v>
      </c>
      <c r="D242" s="29"/>
      <c r="E242" s="22">
        <v>9.769406</v>
      </c>
      <c r="F242" s="22">
        <v>-11.837341</v>
      </c>
      <c r="G242" s="68" t="s">
        <v>560</v>
      </c>
      <c r="H242" s="21" t="s">
        <v>232</v>
      </c>
      <c r="I242" s="21" t="s">
        <v>188</v>
      </c>
      <c r="J242" s="29"/>
      <c r="K242" s="23">
        <v>48.9</v>
      </c>
      <c r="L242" s="75" t="s">
        <v>439</v>
      </c>
      <c r="M242" s="24">
        <v>92</v>
      </c>
      <c r="N242" s="79" t="s">
        <v>439</v>
      </c>
      <c r="O242" s="24">
        <v>73.7</v>
      </c>
      <c r="P242" s="79" t="s">
        <v>439</v>
      </c>
      <c r="Q242" s="24"/>
      <c r="R242" s="25">
        <f>671.6*10^6</f>
        <v>671600000</v>
      </c>
      <c r="S242" s="83" t="s">
        <v>439</v>
      </c>
      <c r="T242" s="25"/>
      <c r="U242" s="83"/>
      <c r="V242" s="25"/>
      <c r="W242" s="46"/>
      <c r="X242" s="29"/>
      <c r="Y242" s="21" t="s">
        <v>1031</v>
      </c>
      <c r="Z242" s="21" t="s">
        <v>1042</v>
      </c>
      <c r="AB242" s="21" t="s">
        <v>4</v>
      </c>
      <c r="AC242" s="25"/>
    </row>
    <row r="243" spans="2:29" s="21" customFormat="1" outlineLevel="1" x14ac:dyDescent="0.3">
      <c r="B243" s="21" t="s">
        <v>219</v>
      </c>
      <c r="C243" s="21" t="s">
        <v>439</v>
      </c>
      <c r="D243" s="29"/>
      <c r="E243" s="22">
        <v>8.7332529999999995</v>
      </c>
      <c r="F243" s="22">
        <v>-11.689276</v>
      </c>
      <c r="G243" s="68" t="s">
        <v>451</v>
      </c>
      <c r="H243" s="21" t="s">
        <v>193</v>
      </c>
      <c r="I243" s="21" t="s">
        <v>233</v>
      </c>
      <c r="J243" s="29"/>
      <c r="K243" s="23">
        <v>36.6</v>
      </c>
      <c r="L243" s="75" t="s">
        <v>439</v>
      </c>
      <c r="M243" s="24">
        <v>71.8</v>
      </c>
      <c r="N243" s="79" t="s">
        <v>439</v>
      </c>
      <c r="O243" s="24">
        <v>58.3</v>
      </c>
      <c r="P243" s="79" t="s">
        <v>439</v>
      </c>
      <c r="Q243" s="24"/>
      <c r="R243" s="25">
        <f>627.9*10^6</f>
        <v>627900000</v>
      </c>
      <c r="S243" s="83" t="s">
        <v>439</v>
      </c>
      <c r="T243" s="25"/>
      <c r="U243" s="83"/>
      <c r="V243" s="25"/>
      <c r="W243" s="46"/>
      <c r="X243" s="29"/>
      <c r="Y243" s="21" t="s">
        <v>1031</v>
      </c>
      <c r="Z243" s="21" t="s">
        <v>1042</v>
      </c>
      <c r="AB243" s="21" t="s">
        <v>4</v>
      </c>
      <c r="AC243" s="25"/>
    </row>
    <row r="244" spans="2:29" s="21" customFormat="1" outlineLevel="1" x14ac:dyDescent="0.3">
      <c r="B244" s="21" t="s">
        <v>218</v>
      </c>
      <c r="C244" s="21" t="s">
        <v>439</v>
      </c>
      <c r="D244" s="29"/>
      <c r="E244" s="22">
        <v>8.9226080000000003</v>
      </c>
      <c r="F244" s="22">
        <v>-12.859529</v>
      </c>
      <c r="G244" s="68" t="s">
        <v>560</v>
      </c>
      <c r="H244" s="21" t="s">
        <v>188</v>
      </c>
      <c r="I244" s="21" t="s">
        <v>188</v>
      </c>
      <c r="J244" s="29"/>
      <c r="K244" s="23">
        <v>35.200000000000003</v>
      </c>
      <c r="L244" s="75" t="s">
        <v>439</v>
      </c>
      <c r="M244" s="24">
        <v>28.9</v>
      </c>
      <c r="N244" s="79" t="s">
        <v>439</v>
      </c>
      <c r="O244" s="24">
        <v>26.3</v>
      </c>
      <c r="P244" s="79" t="s">
        <v>439</v>
      </c>
      <c r="Q244" s="24"/>
      <c r="R244" s="25">
        <f>628.4*10^6</f>
        <v>628400000</v>
      </c>
      <c r="S244" s="83" t="s">
        <v>439</v>
      </c>
      <c r="T244" s="25"/>
      <c r="U244" s="83"/>
      <c r="V244" s="25"/>
      <c r="W244" s="46"/>
      <c r="X244" s="29"/>
      <c r="Y244" s="21" t="s">
        <v>1031</v>
      </c>
      <c r="Z244" s="21" t="s">
        <v>1042</v>
      </c>
      <c r="AB244" s="21" t="s">
        <v>4</v>
      </c>
      <c r="AC244" s="25"/>
    </row>
    <row r="245" spans="2:29" s="21" customFormat="1" outlineLevel="1" x14ac:dyDescent="0.3">
      <c r="B245" s="21" t="s">
        <v>217</v>
      </c>
      <c r="C245" s="21" t="s">
        <v>439</v>
      </c>
      <c r="D245" s="29"/>
      <c r="E245" s="53">
        <v>9.6061999999999905</v>
      </c>
      <c r="F245" s="53">
        <v>-12.1562999999999</v>
      </c>
      <c r="G245" s="70" t="s">
        <v>439</v>
      </c>
      <c r="H245" s="21" t="s">
        <v>188</v>
      </c>
      <c r="I245" s="21" t="s">
        <v>188</v>
      </c>
      <c r="J245" s="29"/>
      <c r="K245" s="23">
        <v>28.6</v>
      </c>
      <c r="L245" s="75" t="s">
        <v>439</v>
      </c>
      <c r="M245" s="24">
        <v>41.8</v>
      </c>
      <c r="N245" s="79" t="s">
        <v>439</v>
      </c>
      <c r="O245" s="24">
        <v>31.1</v>
      </c>
      <c r="P245" s="79" t="s">
        <v>439</v>
      </c>
      <c r="Q245" s="24"/>
      <c r="R245" s="25">
        <f>1324*10^6</f>
        <v>1324000000</v>
      </c>
      <c r="S245" s="83" t="s">
        <v>439</v>
      </c>
      <c r="T245" s="25"/>
      <c r="U245" s="83"/>
      <c r="V245" s="25"/>
      <c r="W245" s="46"/>
      <c r="X245" s="29"/>
      <c r="Y245" s="21" t="s">
        <v>1031</v>
      </c>
      <c r="Z245" s="21" t="s">
        <v>1042</v>
      </c>
      <c r="AB245" s="21" t="s">
        <v>4</v>
      </c>
      <c r="AC245" s="25"/>
    </row>
    <row r="246" spans="2:29" s="21" customFormat="1" outlineLevel="1" x14ac:dyDescent="0.3">
      <c r="B246" s="21" t="s">
        <v>215</v>
      </c>
      <c r="C246" s="21" t="s">
        <v>439</v>
      </c>
      <c r="D246" s="29"/>
      <c r="E246" s="22">
        <v>9.5852000000000004</v>
      </c>
      <c r="F246" s="22">
        <v>-12.1349</v>
      </c>
      <c r="G246" s="68" t="s">
        <v>977</v>
      </c>
      <c r="H246" s="21" t="s">
        <v>232</v>
      </c>
      <c r="I246" s="21" t="s">
        <v>188</v>
      </c>
      <c r="J246" s="29"/>
      <c r="K246" s="23">
        <v>21</v>
      </c>
      <c r="L246" s="75" t="s">
        <v>439</v>
      </c>
      <c r="M246" s="24">
        <v>39.6</v>
      </c>
      <c r="N246" s="79" t="s">
        <v>439</v>
      </c>
      <c r="O246" s="24">
        <v>25.3</v>
      </c>
      <c r="P246" s="79" t="s">
        <v>439</v>
      </c>
      <c r="Q246" s="24"/>
      <c r="R246" s="25">
        <f>435.5*10^6</f>
        <v>435500000</v>
      </c>
      <c r="S246" s="83" t="s">
        <v>439</v>
      </c>
      <c r="T246" s="25"/>
      <c r="U246" s="83"/>
      <c r="V246" s="25"/>
      <c r="W246" s="46"/>
      <c r="X246" s="29"/>
      <c r="Y246" s="21" t="s">
        <v>1031</v>
      </c>
      <c r="Z246" s="21" t="s">
        <v>1042</v>
      </c>
      <c r="AB246" s="21" t="s">
        <v>4</v>
      </c>
      <c r="AC246" s="25"/>
    </row>
    <row r="247" spans="2:29" s="21" customFormat="1" outlineLevel="1" x14ac:dyDescent="0.3">
      <c r="B247" s="21" t="s">
        <v>405</v>
      </c>
      <c r="C247" s="21" t="s">
        <v>528</v>
      </c>
      <c r="D247" s="29"/>
      <c r="E247" s="22">
        <v>7.41</v>
      </c>
      <c r="F247" s="22">
        <v>-11.05</v>
      </c>
      <c r="G247" s="68" t="s">
        <v>443</v>
      </c>
      <c r="H247" s="21" t="s">
        <v>376</v>
      </c>
      <c r="I247" s="21" t="s">
        <v>376</v>
      </c>
      <c r="J247" s="29"/>
      <c r="K247" s="23">
        <v>180</v>
      </c>
      <c r="L247" s="75" t="s">
        <v>442</v>
      </c>
      <c r="M247" s="24"/>
      <c r="N247" s="79"/>
      <c r="O247" s="24"/>
      <c r="P247" s="79"/>
      <c r="Q247" s="24"/>
      <c r="R247" s="25"/>
      <c r="S247" s="83"/>
      <c r="T247" s="25"/>
      <c r="U247" s="83"/>
      <c r="V247" s="25"/>
      <c r="W247" s="46" t="s">
        <v>1072</v>
      </c>
      <c r="X247" s="29"/>
      <c r="Y247" s="21" t="s">
        <v>1031</v>
      </c>
      <c r="Z247" s="21" t="s">
        <v>1034</v>
      </c>
      <c r="AB247" s="21" t="s">
        <v>198</v>
      </c>
      <c r="AC247" s="25"/>
    </row>
    <row r="248" spans="2:29" s="21" customFormat="1" outlineLevel="1" x14ac:dyDescent="0.3">
      <c r="B248" s="21" t="s">
        <v>209</v>
      </c>
      <c r="C248" s="21" t="s">
        <v>439</v>
      </c>
      <c r="D248" s="29"/>
      <c r="E248" s="22"/>
      <c r="F248" s="22"/>
      <c r="G248" s="68"/>
      <c r="H248" s="21" t="s">
        <v>195</v>
      </c>
      <c r="I248" s="21" t="s">
        <v>195</v>
      </c>
      <c r="J248" s="29"/>
      <c r="K248" s="23">
        <v>39.6</v>
      </c>
      <c r="L248" s="75" t="s">
        <v>439</v>
      </c>
      <c r="M248" s="24">
        <v>25.3</v>
      </c>
      <c r="N248" s="79" t="s">
        <v>439</v>
      </c>
      <c r="O248" s="24">
        <v>13.5</v>
      </c>
      <c r="P248" s="79" t="s">
        <v>439</v>
      </c>
      <c r="Q248" s="24"/>
      <c r="R248" s="25">
        <f>59.3*10^6</f>
        <v>59300000</v>
      </c>
      <c r="S248" s="83" t="s">
        <v>439</v>
      </c>
      <c r="T248" s="25"/>
      <c r="U248" s="83"/>
      <c r="V248" s="25"/>
      <c r="W248" s="46"/>
      <c r="X248" s="29"/>
      <c r="Y248" s="21" t="s">
        <v>1031</v>
      </c>
      <c r="Z248" s="21" t="s">
        <v>1034</v>
      </c>
      <c r="AB248" s="21" t="s">
        <v>198</v>
      </c>
      <c r="AC248" s="25"/>
    </row>
    <row r="249" spans="2:29" s="21" customFormat="1" outlineLevel="1" x14ac:dyDescent="0.3">
      <c r="B249" s="21" t="s">
        <v>210</v>
      </c>
      <c r="C249" s="21" t="s">
        <v>439</v>
      </c>
      <c r="D249" s="29"/>
      <c r="E249" s="22"/>
      <c r="F249" s="22"/>
      <c r="G249" s="68"/>
      <c r="H249" s="21" t="s">
        <v>148</v>
      </c>
      <c r="I249" s="21" t="s">
        <v>148</v>
      </c>
      <c r="J249" s="29"/>
      <c r="K249" s="23">
        <v>22.2</v>
      </c>
      <c r="L249" s="75" t="s">
        <v>439</v>
      </c>
      <c r="M249" s="24">
        <v>60.1</v>
      </c>
      <c r="N249" s="79" t="s">
        <v>439</v>
      </c>
      <c r="O249" s="24">
        <v>52.9</v>
      </c>
      <c r="P249" s="79" t="s">
        <v>439</v>
      </c>
      <c r="Q249" s="24"/>
      <c r="R249" s="25">
        <f>41.8*10^6</f>
        <v>41800000</v>
      </c>
      <c r="S249" s="83" t="s">
        <v>439</v>
      </c>
      <c r="T249" s="25"/>
      <c r="U249" s="83"/>
      <c r="V249" s="25"/>
      <c r="W249" s="46"/>
      <c r="X249" s="29"/>
      <c r="Y249" s="21" t="s">
        <v>1031</v>
      </c>
      <c r="Z249" s="21" t="s">
        <v>1034</v>
      </c>
      <c r="AB249" s="21" t="s">
        <v>198</v>
      </c>
      <c r="AC249" s="25"/>
    </row>
    <row r="250" spans="2:29" s="21" customFormat="1" outlineLevel="1" x14ac:dyDescent="0.3">
      <c r="B250" s="21" t="s">
        <v>18</v>
      </c>
      <c r="C250" s="21" t="s">
        <v>467</v>
      </c>
      <c r="D250" s="29"/>
      <c r="E250" s="22">
        <v>7.9032618735730003</v>
      </c>
      <c r="F250" s="22">
        <v>-12.389144897454001</v>
      </c>
      <c r="G250" s="68" t="s">
        <v>437</v>
      </c>
      <c r="H250" s="21" t="s">
        <v>197</v>
      </c>
      <c r="I250" s="21" t="s">
        <v>197</v>
      </c>
      <c r="J250" s="29"/>
      <c r="K250" s="23">
        <v>15.4</v>
      </c>
      <c r="L250" s="75" t="s">
        <v>437</v>
      </c>
      <c r="M250" s="24">
        <v>20.8</v>
      </c>
      <c r="N250" s="79" t="s">
        <v>439</v>
      </c>
      <c r="O250" s="24">
        <v>10.7</v>
      </c>
      <c r="P250" s="79" t="s">
        <v>439</v>
      </c>
      <c r="Q250" s="24"/>
      <c r="R250" s="25">
        <f>77.6*10^6</f>
        <v>77600000</v>
      </c>
      <c r="S250" s="83" t="s">
        <v>439</v>
      </c>
      <c r="T250" s="25"/>
      <c r="U250" s="83"/>
      <c r="V250" s="25"/>
      <c r="W250" s="46" t="s">
        <v>1238</v>
      </c>
      <c r="X250" s="29"/>
      <c r="Y250" s="21" t="s">
        <v>1031</v>
      </c>
      <c r="Z250" s="21" t="s">
        <v>1034</v>
      </c>
      <c r="AB250" s="21" t="s">
        <v>4</v>
      </c>
      <c r="AC250" s="25"/>
    </row>
    <row r="251" spans="2:29" s="21" customFormat="1" outlineLevel="1" x14ac:dyDescent="0.3">
      <c r="B251" s="21" t="s">
        <v>192</v>
      </c>
      <c r="C251" s="21" t="s">
        <v>439</v>
      </c>
      <c r="D251" s="29"/>
      <c r="E251" s="22"/>
      <c r="F251" s="22"/>
      <c r="G251" s="68"/>
      <c r="H251" s="21" t="s">
        <v>200</v>
      </c>
      <c r="I251" s="21" t="s">
        <v>231</v>
      </c>
      <c r="J251" s="29"/>
      <c r="K251" s="23">
        <v>10.8</v>
      </c>
      <c r="L251" s="75" t="s">
        <v>439</v>
      </c>
      <c r="M251" s="24">
        <v>44.5</v>
      </c>
      <c r="N251" s="79" t="s">
        <v>439</v>
      </c>
      <c r="O251" s="24">
        <v>31.8</v>
      </c>
      <c r="P251" s="79" t="s">
        <v>439</v>
      </c>
      <c r="Q251" s="24"/>
      <c r="R251" s="25">
        <f>11.3*10^6</f>
        <v>11300000</v>
      </c>
      <c r="S251" s="83" t="s">
        <v>439</v>
      </c>
      <c r="T251" s="25"/>
      <c r="U251" s="83"/>
      <c r="V251" s="25"/>
      <c r="W251" s="46"/>
      <c r="X251" s="29"/>
      <c r="Y251" s="21" t="s">
        <v>1031</v>
      </c>
      <c r="Z251" s="21" t="s">
        <v>1034</v>
      </c>
      <c r="AB251" s="21" t="s">
        <v>198</v>
      </c>
      <c r="AC251" s="25"/>
    </row>
    <row r="252" spans="2:29" s="21" customFormat="1" outlineLevel="1" x14ac:dyDescent="0.3">
      <c r="B252" s="21" t="s">
        <v>382</v>
      </c>
      <c r="C252" s="21" t="s">
        <v>504</v>
      </c>
      <c r="D252" s="29"/>
      <c r="E252" s="22">
        <v>9.0713682521940893</v>
      </c>
      <c r="F252" s="22">
        <v>-11.7226481437649</v>
      </c>
      <c r="G252" s="68" t="s">
        <v>437</v>
      </c>
      <c r="H252" s="21" t="s">
        <v>200</v>
      </c>
      <c r="I252" s="21" t="s">
        <v>231</v>
      </c>
      <c r="J252" s="29"/>
      <c r="K252" s="23">
        <v>50</v>
      </c>
      <c r="L252" s="75" t="s">
        <v>437</v>
      </c>
      <c r="M252" s="24">
        <v>88</v>
      </c>
      <c r="N252" s="79" t="s">
        <v>438</v>
      </c>
      <c r="O252" s="25"/>
      <c r="P252" s="83"/>
      <c r="Q252" s="24"/>
      <c r="R252" s="25">
        <f>445*10^6</f>
        <v>445000000</v>
      </c>
      <c r="S252" s="83" t="s">
        <v>964</v>
      </c>
      <c r="T252" s="25">
        <f>15.4*10^6</f>
        <v>15400000</v>
      </c>
      <c r="U252" s="83" t="s">
        <v>965</v>
      </c>
      <c r="V252" s="25"/>
      <c r="W252" s="46"/>
      <c r="X252" s="29"/>
      <c r="Y252" s="21" t="s">
        <v>1035</v>
      </c>
      <c r="AA252" s="21" t="s">
        <v>1038</v>
      </c>
      <c r="AB252" s="21" t="s">
        <v>1231</v>
      </c>
      <c r="AC252" s="25"/>
    </row>
    <row r="253" spans="2:29" s="21" customFormat="1" outlineLevel="1" x14ac:dyDescent="0.3">
      <c r="B253" s="21" t="s">
        <v>393</v>
      </c>
      <c r="C253" s="21" t="s">
        <v>528</v>
      </c>
      <c r="D253" s="29"/>
      <c r="E253" s="22">
        <v>9.3216649999999994</v>
      </c>
      <c r="F253" s="22">
        <v>-11.699742000000001</v>
      </c>
      <c r="G253" s="68" t="s">
        <v>560</v>
      </c>
      <c r="H253" s="21" t="s">
        <v>200</v>
      </c>
      <c r="I253" s="21" t="s">
        <v>231</v>
      </c>
      <c r="J253" s="29"/>
      <c r="K253" s="23">
        <v>66</v>
      </c>
      <c r="L253" s="75"/>
      <c r="M253" s="24">
        <v>82.5</v>
      </c>
      <c r="N253" s="79" t="s">
        <v>439</v>
      </c>
      <c r="O253" s="24">
        <v>69.7</v>
      </c>
      <c r="P253" s="79" t="s">
        <v>439</v>
      </c>
      <c r="Q253" s="24"/>
      <c r="R253" s="25">
        <f>1466.9*10^6</f>
        <v>1466900000</v>
      </c>
      <c r="S253" s="83" t="s">
        <v>439</v>
      </c>
      <c r="T253" s="25"/>
      <c r="U253" s="83"/>
      <c r="V253" s="25"/>
      <c r="W253" s="46"/>
      <c r="X253" s="29"/>
      <c r="Y253" s="21" t="s">
        <v>1035</v>
      </c>
      <c r="AA253" s="21" t="s">
        <v>1038</v>
      </c>
      <c r="AB253" s="21" t="s">
        <v>4</v>
      </c>
      <c r="AC253" s="25"/>
    </row>
    <row r="254" spans="2:29" s="21" customFormat="1" outlineLevel="1" x14ac:dyDescent="0.3">
      <c r="B254" s="21" t="s">
        <v>394</v>
      </c>
      <c r="C254" s="21" t="s">
        <v>440</v>
      </c>
      <c r="D254" s="29"/>
      <c r="E254" s="22"/>
      <c r="F254" s="22"/>
      <c r="G254" s="68"/>
      <c r="H254" s="21" t="s">
        <v>200</v>
      </c>
      <c r="I254" s="21" t="s">
        <v>231</v>
      </c>
      <c r="J254" s="29"/>
      <c r="K254" s="23">
        <v>95</v>
      </c>
      <c r="L254" s="75" t="s">
        <v>440</v>
      </c>
      <c r="M254" s="24"/>
      <c r="N254" s="79"/>
      <c r="O254" s="24"/>
      <c r="P254" s="79"/>
      <c r="Q254" s="24"/>
      <c r="R254" s="25"/>
      <c r="S254" s="83"/>
      <c r="T254" s="25"/>
      <c r="U254" s="83"/>
      <c r="V254" s="25"/>
      <c r="W254" s="46"/>
      <c r="X254" s="29"/>
      <c r="Y254" s="21" t="s">
        <v>1035</v>
      </c>
      <c r="AA254" s="21" t="s">
        <v>1038</v>
      </c>
      <c r="AB254" s="21" t="s">
        <v>198</v>
      </c>
      <c r="AC254" s="25"/>
    </row>
    <row r="255" spans="2:29" s="21" customFormat="1" outlineLevel="1" x14ac:dyDescent="0.3">
      <c r="B255" s="21" t="s">
        <v>216</v>
      </c>
      <c r="C255" s="21" t="s">
        <v>439</v>
      </c>
      <c r="D255" s="29"/>
      <c r="E255" s="22">
        <v>9.0538860000000003</v>
      </c>
      <c r="F255" s="22">
        <v>-11.735469999999999</v>
      </c>
      <c r="G255" s="68" t="s">
        <v>451</v>
      </c>
      <c r="H255" s="21" t="s">
        <v>200</v>
      </c>
      <c r="I255" s="21" t="s">
        <v>231</v>
      </c>
      <c r="J255" s="29"/>
      <c r="K255" s="23">
        <v>26.8</v>
      </c>
      <c r="L255" s="75" t="s">
        <v>439</v>
      </c>
      <c r="M255" s="24">
        <v>84.1</v>
      </c>
      <c r="N255" s="79" t="s">
        <v>439</v>
      </c>
      <c r="O255" s="24">
        <v>66.8</v>
      </c>
      <c r="P255" s="79" t="s">
        <v>439</v>
      </c>
      <c r="Q255" s="24"/>
      <c r="R255" s="25">
        <f>310.8*10^6</f>
        <v>310800000</v>
      </c>
      <c r="S255" s="75" t="s">
        <v>439</v>
      </c>
      <c r="T255" s="25"/>
      <c r="U255" s="83"/>
      <c r="V255" s="25"/>
      <c r="W255" s="46"/>
      <c r="X255" s="29"/>
      <c r="Y255" s="21" t="s">
        <v>1035</v>
      </c>
      <c r="AA255" s="21" t="s">
        <v>1038</v>
      </c>
      <c r="AB255" s="21" t="s">
        <v>4</v>
      </c>
      <c r="AC255" s="25"/>
    </row>
    <row r="256" spans="2:29" s="21" customFormat="1" outlineLevel="1" x14ac:dyDescent="0.3">
      <c r="B256" s="21" t="s">
        <v>189</v>
      </c>
      <c r="C256" s="21" t="s">
        <v>439</v>
      </c>
      <c r="D256" s="29"/>
      <c r="E256" s="22">
        <v>8.9226080000000003</v>
      </c>
      <c r="F256" s="22">
        <v>-12.859529</v>
      </c>
      <c r="G256" s="68" t="s">
        <v>560</v>
      </c>
      <c r="H256" s="21" t="s">
        <v>188</v>
      </c>
      <c r="I256" s="21" t="s">
        <v>188</v>
      </c>
      <c r="J256" s="29"/>
      <c r="K256" s="23">
        <v>12.8</v>
      </c>
      <c r="L256" s="75" t="s">
        <v>439</v>
      </c>
      <c r="M256" s="24">
        <v>26</v>
      </c>
      <c r="N256" s="79" t="s">
        <v>439</v>
      </c>
      <c r="O256" s="24">
        <v>14.4</v>
      </c>
      <c r="P256" s="79" t="s">
        <v>439</v>
      </c>
      <c r="Q256" s="24"/>
      <c r="R256" s="25">
        <f>534.6*10^6</f>
        <v>534600000</v>
      </c>
      <c r="S256" s="75" t="s">
        <v>439</v>
      </c>
      <c r="T256" s="25"/>
      <c r="U256" s="83"/>
      <c r="V256" s="25"/>
      <c r="W256" s="46"/>
      <c r="X256" s="29"/>
      <c r="Y256" s="21" t="s">
        <v>1035</v>
      </c>
      <c r="AA256" s="21" t="s">
        <v>1038</v>
      </c>
      <c r="AB256" s="21" t="s">
        <v>4</v>
      </c>
      <c r="AC256" s="25"/>
    </row>
    <row r="257" spans="2:29" s="21" customFormat="1" outlineLevel="1" x14ac:dyDescent="0.3">
      <c r="B257" s="21" t="s">
        <v>211</v>
      </c>
      <c r="C257" s="21" t="s">
        <v>523</v>
      </c>
      <c r="D257" s="29"/>
      <c r="E257" s="22"/>
      <c r="F257" s="22"/>
      <c r="G257" s="68"/>
      <c r="H257" s="21" t="s">
        <v>193</v>
      </c>
      <c r="I257" s="21" t="s">
        <v>233</v>
      </c>
      <c r="J257" s="29"/>
      <c r="K257" s="23">
        <v>52.5</v>
      </c>
      <c r="L257" s="75" t="s">
        <v>439</v>
      </c>
      <c r="M257" s="24">
        <v>42.1</v>
      </c>
      <c r="N257" s="79" t="s">
        <v>439</v>
      </c>
      <c r="O257" s="24">
        <v>73.900000000000006</v>
      </c>
      <c r="P257" s="79" t="s">
        <v>439</v>
      </c>
      <c r="Q257" s="24"/>
      <c r="R257" s="25">
        <f>46.9*10^6</f>
        <v>46900000</v>
      </c>
      <c r="S257" s="75" t="s">
        <v>439</v>
      </c>
      <c r="T257" s="25"/>
      <c r="U257" s="83"/>
      <c r="V257" s="25"/>
      <c r="W257" s="46"/>
      <c r="X257" s="29"/>
      <c r="Y257" s="21" t="s">
        <v>1035</v>
      </c>
      <c r="AA257" s="21" t="s">
        <v>1038</v>
      </c>
      <c r="AB257" s="21" t="s">
        <v>198</v>
      </c>
      <c r="AC257" s="25"/>
    </row>
    <row r="258" spans="2:29" s="21" customFormat="1" outlineLevel="1" x14ac:dyDescent="0.3">
      <c r="B258" s="21" t="s">
        <v>212</v>
      </c>
      <c r="C258" s="21" t="s">
        <v>523</v>
      </c>
      <c r="D258" s="29"/>
      <c r="E258" s="22"/>
      <c r="F258" s="22"/>
      <c r="G258" s="68"/>
      <c r="H258" s="21" t="s">
        <v>193</v>
      </c>
      <c r="I258" s="21" t="s">
        <v>233</v>
      </c>
      <c r="J258" s="29"/>
      <c r="K258" s="23">
        <v>60</v>
      </c>
      <c r="L258" s="75" t="s">
        <v>439</v>
      </c>
      <c r="M258" s="24">
        <v>60.1</v>
      </c>
      <c r="N258" s="79" t="s">
        <v>439</v>
      </c>
      <c r="O258" s="24">
        <v>71.900000000000006</v>
      </c>
      <c r="P258" s="79" t="s">
        <v>439</v>
      </c>
      <c r="Q258" s="24"/>
      <c r="R258" s="25">
        <f>52.9*10^6</f>
        <v>52900000</v>
      </c>
      <c r="S258" s="75" t="s">
        <v>439</v>
      </c>
      <c r="T258" s="25"/>
      <c r="U258" s="83"/>
      <c r="V258" s="25"/>
      <c r="W258" s="46"/>
      <c r="X258" s="29"/>
      <c r="Y258" s="21" t="s">
        <v>1035</v>
      </c>
      <c r="AA258" s="21" t="s">
        <v>1038</v>
      </c>
      <c r="AB258" s="21" t="s">
        <v>198</v>
      </c>
      <c r="AC258" s="25"/>
    </row>
    <row r="259" spans="2:29" s="21" customFormat="1" outlineLevel="1" x14ac:dyDescent="0.3">
      <c r="B259" s="21" t="s">
        <v>214</v>
      </c>
      <c r="C259" s="21" t="s">
        <v>439</v>
      </c>
      <c r="D259" s="29"/>
      <c r="E259" s="22"/>
      <c r="F259" s="22"/>
      <c r="G259" s="68"/>
      <c r="H259" s="21" t="s">
        <v>188</v>
      </c>
      <c r="I259" s="21" t="s">
        <v>188</v>
      </c>
      <c r="J259" s="29"/>
      <c r="K259" s="23">
        <v>28</v>
      </c>
      <c r="L259" s="75" t="s">
        <v>439</v>
      </c>
      <c r="M259" s="24">
        <v>28.9</v>
      </c>
      <c r="N259" s="79" t="s">
        <v>439</v>
      </c>
      <c r="O259" s="24">
        <v>17.399999999999999</v>
      </c>
      <c r="P259" s="79" t="s">
        <v>439</v>
      </c>
      <c r="Q259" s="24"/>
      <c r="R259" s="25">
        <f>63.4*10^6</f>
        <v>63400000</v>
      </c>
      <c r="S259" s="75" t="s">
        <v>439</v>
      </c>
      <c r="T259" s="25"/>
      <c r="U259" s="83"/>
      <c r="V259" s="25"/>
      <c r="W259" s="46"/>
      <c r="X259" s="29"/>
      <c r="Y259" s="21" t="s">
        <v>1035</v>
      </c>
      <c r="AA259" s="21" t="s">
        <v>1038</v>
      </c>
      <c r="AB259" s="21" t="s">
        <v>198</v>
      </c>
      <c r="AC259" s="25"/>
    </row>
    <row r="260" spans="2:29" s="21" customFormat="1" outlineLevel="1" x14ac:dyDescent="0.3">
      <c r="B260" s="21" t="s">
        <v>361</v>
      </c>
      <c r="C260" s="21" t="s">
        <v>525</v>
      </c>
      <c r="D260" s="29"/>
      <c r="E260" s="22">
        <v>8.5516459999999999</v>
      </c>
      <c r="F260" s="22">
        <v>-11.264041000000001</v>
      </c>
      <c r="G260" s="68" t="s">
        <v>451</v>
      </c>
      <c r="H260" s="21" t="s">
        <v>148</v>
      </c>
      <c r="I260" s="21" t="s">
        <v>148</v>
      </c>
      <c r="J260" s="29"/>
      <c r="K260" s="23">
        <v>34.799999999999997</v>
      </c>
      <c r="L260" s="75" t="s">
        <v>439</v>
      </c>
      <c r="M260" s="24">
        <v>44.9</v>
      </c>
      <c r="N260" s="79" t="s">
        <v>439</v>
      </c>
      <c r="O260" s="24">
        <v>30.2</v>
      </c>
      <c r="P260" s="79" t="s">
        <v>439</v>
      </c>
      <c r="Q260" s="24"/>
      <c r="R260" s="25">
        <f>303.2*10^6</f>
        <v>303200000</v>
      </c>
      <c r="S260" s="75" t="s">
        <v>439</v>
      </c>
      <c r="T260" s="25"/>
      <c r="U260" s="83"/>
      <c r="V260" s="25"/>
      <c r="W260" s="46"/>
      <c r="X260" s="29"/>
      <c r="Y260" s="21" t="s">
        <v>1035</v>
      </c>
      <c r="AA260" s="21" t="s">
        <v>1038</v>
      </c>
      <c r="AB260" s="21" t="s">
        <v>4</v>
      </c>
      <c r="AC260" s="25"/>
    </row>
    <row r="261" spans="2:29" s="21" customFormat="1" outlineLevel="1" x14ac:dyDescent="0.3">
      <c r="B261" s="21" t="s">
        <v>1067</v>
      </c>
      <c r="C261" s="21" t="s">
        <v>504</v>
      </c>
      <c r="D261" s="29"/>
      <c r="E261" s="22">
        <v>8.5102777578614006</v>
      </c>
      <c r="F261" s="22">
        <v>-11.2818431854229</v>
      </c>
      <c r="G261" s="68" t="s">
        <v>437</v>
      </c>
      <c r="H261" s="21" t="s">
        <v>148</v>
      </c>
      <c r="I261" s="21" t="s">
        <v>148</v>
      </c>
      <c r="J261" s="29"/>
      <c r="K261" s="23">
        <v>85.5</v>
      </c>
      <c r="L261" s="75"/>
      <c r="M261" s="24">
        <v>16.7</v>
      </c>
      <c r="N261" s="79" t="s">
        <v>439</v>
      </c>
      <c r="O261" s="24">
        <v>92.1</v>
      </c>
      <c r="P261" s="79" t="s">
        <v>439</v>
      </c>
      <c r="Q261" s="24"/>
      <c r="R261" s="117" t="s">
        <v>1029</v>
      </c>
      <c r="S261" s="45" t="s">
        <v>439</v>
      </c>
      <c r="T261" s="25"/>
      <c r="U261" s="83"/>
      <c r="V261" s="25"/>
      <c r="W261" s="46"/>
      <c r="X261" s="29"/>
      <c r="Y261" s="21" t="s">
        <v>1035</v>
      </c>
      <c r="AA261" s="21" t="s">
        <v>1037</v>
      </c>
      <c r="AB261" s="21" t="s">
        <v>4</v>
      </c>
      <c r="AC261" s="25"/>
    </row>
    <row r="262" spans="2:29" s="21" customFormat="1" outlineLevel="1" x14ac:dyDescent="0.3">
      <c r="B262" s="21" t="s">
        <v>1063</v>
      </c>
      <c r="C262" s="21" t="s">
        <v>439</v>
      </c>
      <c r="D262" s="29"/>
      <c r="E262" s="22"/>
      <c r="F262" s="22"/>
      <c r="G262" s="68"/>
      <c r="H262" s="21" t="s">
        <v>200</v>
      </c>
      <c r="I262" s="21" t="s">
        <v>231</v>
      </c>
      <c r="J262" s="29"/>
      <c r="K262" s="23">
        <v>31.8</v>
      </c>
      <c r="L262" s="75" t="s">
        <v>439</v>
      </c>
      <c r="M262" s="24">
        <v>24.3</v>
      </c>
      <c r="N262" s="79" t="s">
        <v>439</v>
      </c>
      <c r="O262" s="24">
        <v>13.5</v>
      </c>
      <c r="P262" s="79" t="s">
        <v>439</v>
      </c>
      <c r="Q262" s="24"/>
      <c r="R262" s="117" t="s">
        <v>1029</v>
      </c>
      <c r="S262" s="45" t="s">
        <v>439</v>
      </c>
      <c r="U262" s="45"/>
      <c r="V262" s="25"/>
      <c r="W262" s="46"/>
      <c r="X262" s="29"/>
      <c r="Y262" s="21" t="s">
        <v>1035</v>
      </c>
      <c r="AA262" s="21" t="s">
        <v>1037</v>
      </c>
      <c r="AB262" s="21" t="s">
        <v>198</v>
      </c>
      <c r="AC262" s="25"/>
    </row>
    <row r="263" spans="2:29" s="21" customFormat="1" outlineLevel="1" x14ac:dyDescent="0.3">
      <c r="B263" s="21" t="s">
        <v>238</v>
      </c>
      <c r="C263" s="21" t="s">
        <v>439</v>
      </c>
      <c r="D263" s="29"/>
      <c r="E263" s="22"/>
      <c r="F263" s="22"/>
      <c r="G263" s="68"/>
      <c r="H263" s="21" t="s">
        <v>148</v>
      </c>
      <c r="I263" s="21" t="s">
        <v>148</v>
      </c>
      <c r="J263" s="29"/>
      <c r="K263" s="23">
        <v>7.8</v>
      </c>
      <c r="L263" s="75" t="s">
        <v>439</v>
      </c>
      <c r="M263" s="24">
        <v>15.1</v>
      </c>
      <c r="N263" s="79" t="s">
        <v>439</v>
      </c>
      <c r="O263" s="24">
        <v>26.4</v>
      </c>
      <c r="P263" s="79" t="s">
        <v>439</v>
      </c>
      <c r="Q263" s="24"/>
      <c r="S263" s="45"/>
      <c r="U263" s="45"/>
      <c r="V263" s="25"/>
      <c r="W263" s="46"/>
      <c r="X263" s="29"/>
      <c r="Y263" s="21" t="s">
        <v>1035</v>
      </c>
      <c r="AA263" s="21" t="s">
        <v>1036</v>
      </c>
      <c r="AB263" s="21" t="s">
        <v>198</v>
      </c>
      <c r="AC263" s="25"/>
    </row>
    <row r="264" spans="2:29" s="21" customFormat="1" outlineLevel="1" x14ac:dyDescent="0.3">
      <c r="B264" s="21" t="s">
        <v>194</v>
      </c>
      <c r="C264" s="21" t="s">
        <v>439</v>
      </c>
      <c r="D264" s="29"/>
      <c r="E264" s="22"/>
      <c r="F264" s="22"/>
      <c r="G264" s="68"/>
      <c r="H264" s="21" t="s">
        <v>148</v>
      </c>
      <c r="I264" s="21" t="s">
        <v>148</v>
      </c>
      <c r="J264" s="29"/>
      <c r="K264" s="23">
        <v>7.8</v>
      </c>
      <c r="L264" s="75" t="s">
        <v>439</v>
      </c>
      <c r="M264" s="24">
        <v>49.1</v>
      </c>
      <c r="N264" s="79" t="s">
        <v>439</v>
      </c>
      <c r="O264" s="24">
        <v>40.4</v>
      </c>
      <c r="P264" s="79" t="s">
        <v>439</v>
      </c>
      <c r="Q264" s="24"/>
      <c r="R264" s="25">
        <f>359.3*10^6</f>
        <v>359300000</v>
      </c>
      <c r="S264" s="83" t="s">
        <v>439</v>
      </c>
      <c r="T264" s="25"/>
      <c r="U264" s="83"/>
      <c r="V264" s="25"/>
      <c r="W264" s="46"/>
      <c r="X264" s="29"/>
      <c r="Y264" s="21" t="s">
        <v>1035</v>
      </c>
      <c r="AA264" s="21" t="s">
        <v>1036</v>
      </c>
      <c r="AB264" s="21" t="s">
        <v>198</v>
      </c>
      <c r="AC264" s="25"/>
    </row>
    <row r="265" spans="2:29" s="21" customFormat="1" outlineLevel="1" x14ac:dyDescent="0.3">
      <c r="B265" s="21" t="s">
        <v>196</v>
      </c>
      <c r="C265" s="21" t="s">
        <v>439</v>
      </c>
      <c r="D265" s="29"/>
      <c r="E265" s="22"/>
      <c r="F265" s="22"/>
      <c r="G265" s="68"/>
      <c r="H265" s="21" t="s">
        <v>195</v>
      </c>
      <c r="I265" s="21" t="s">
        <v>195</v>
      </c>
      <c r="J265" s="29"/>
      <c r="K265" s="23">
        <v>6.4</v>
      </c>
      <c r="L265" s="75" t="s">
        <v>439</v>
      </c>
      <c r="M265" s="24">
        <v>7</v>
      </c>
      <c r="N265" s="79" t="s">
        <v>439</v>
      </c>
      <c r="O265" s="24">
        <v>66.3</v>
      </c>
      <c r="P265" s="79" t="s">
        <v>439</v>
      </c>
      <c r="Q265" s="24"/>
      <c r="S265" s="45"/>
      <c r="U265" s="45"/>
      <c r="V265" s="25"/>
      <c r="W265" s="46"/>
      <c r="X265" s="29"/>
      <c r="Y265" s="21" t="s">
        <v>1035</v>
      </c>
      <c r="AA265" s="21" t="s">
        <v>1036</v>
      </c>
      <c r="AB265" s="21" t="s">
        <v>198</v>
      </c>
      <c r="AC265" s="25"/>
    </row>
    <row r="266" spans="2:29" s="21" customFormat="1" outlineLevel="1" x14ac:dyDescent="0.3">
      <c r="B266" s="21" t="s">
        <v>1066</v>
      </c>
      <c r="C266" s="21" t="s">
        <v>529</v>
      </c>
      <c r="D266" s="29"/>
      <c r="E266" s="22">
        <v>8.1388275287513903</v>
      </c>
      <c r="F266" s="22">
        <v>-11.347246170041</v>
      </c>
      <c r="G266" s="68" t="s">
        <v>437</v>
      </c>
      <c r="H266" s="21" t="s">
        <v>148</v>
      </c>
      <c r="I266" s="21" t="s">
        <v>148</v>
      </c>
      <c r="J266" s="29"/>
      <c r="K266" s="23">
        <v>6</v>
      </c>
      <c r="L266" s="75" t="s">
        <v>437</v>
      </c>
      <c r="M266" s="24"/>
      <c r="N266" s="79"/>
      <c r="P266" s="45"/>
      <c r="Q266" s="24"/>
      <c r="R266" s="117" t="s">
        <v>1029</v>
      </c>
      <c r="S266" s="45" t="s">
        <v>440</v>
      </c>
      <c r="T266" s="25"/>
      <c r="U266" s="83"/>
      <c r="V266" s="25"/>
      <c r="W266" s="46"/>
      <c r="X266" s="29"/>
      <c r="Y266" s="21" t="s">
        <v>1035</v>
      </c>
      <c r="AA266" s="21" t="s">
        <v>1036</v>
      </c>
      <c r="AB266" s="21" t="s">
        <v>1231</v>
      </c>
      <c r="AC266" s="25"/>
    </row>
    <row r="267" spans="2:29" s="21" customFormat="1" outlineLevel="1" x14ac:dyDescent="0.3">
      <c r="B267" s="21" t="s">
        <v>17</v>
      </c>
      <c r="C267" s="21" t="s">
        <v>502</v>
      </c>
      <c r="D267" s="29"/>
      <c r="E267" s="22">
        <v>8.3597153514618903</v>
      </c>
      <c r="F267" s="22">
        <v>-13.1993785500519</v>
      </c>
      <c r="G267" s="68" t="s">
        <v>437</v>
      </c>
      <c r="H267" s="21" t="s">
        <v>17</v>
      </c>
      <c r="I267" s="21" t="s">
        <v>236</v>
      </c>
      <c r="J267" s="29"/>
      <c r="K267" s="23">
        <v>2.4</v>
      </c>
      <c r="L267" s="75" t="s">
        <v>437</v>
      </c>
      <c r="M267" s="28">
        <v>69</v>
      </c>
      <c r="N267" s="79" t="s">
        <v>451</v>
      </c>
      <c r="P267" s="45"/>
      <c r="Q267" s="24"/>
      <c r="R267" s="25">
        <f>220*10^6</f>
        <v>220000000</v>
      </c>
      <c r="S267" s="83" t="s">
        <v>451</v>
      </c>
      <c r="T267" s="25"/>
      <c r="U267" s="83"/>
      <c r="V267" s="25"/>
      <c r="W267" s="46"/>
      <c r="X267" s="29"/>
      <c r="Y267" s="21" t="s">
        <v>1035</v>
      </c>
      <c r="AA267" s="21" t="s">
        <v>1036</v>
      </c>
      <c r="AB267" s="21" t="s">
        <v>1231</v>
      </c>
      <c r="AC267" s="25"/>
    </row>
    <row r="268" spans="2:29" s="21" customFormat="1" outlineLevel="1" x14ac:dyDescent="0.3">
      <c r="B268" s="21" t="s">
        <v>191</v>
      </c>
      <c r="C268" s="21" t="s">
        <v>439</v>
      </c>
      <c r="D268" s="29"/>
      <c r="E268" s="22"/>
      <c r="F268" s="22"/>
      <c r="G268" s="68"/>
      <c r="H268" s="21" t="s">
        <v>200</v>
      </c>
      <c r="I268" s="21" t="s">
        <v>231</v>
      </c>
      <c r="J268" s="29"/>
      <c r="K268" s="23">
        <v>2.4</v>
      </c>
      <c r="L268" s="75" t="s">
        <v>439</v>
      </c>
      <c r="M268" s="24"/>
      <c r="N268" s="79"/>
      <c r="P268" s="45"/>
      <c r="Q268" s="24"/>
      <c r="R268" s="25"/>
      <c r="S268" s="83"/>
      <c r="T268" s="25"/>
      <c r="U268" s="83"/>
      <c r="V268" s="25"/>
      <c r="W268" s="46"/>
      <c r="X268" s="29"/>
      <c r="Y268" s="21" t="s">
        <v>1035</v>
      </c>
      <c r="AA268" s="21" t="s">
        <v>1036</v>
      </c>
      <c r="AB268" s="21" t="s">
        <v>198</v>
      </c>
      <c r="AC268" s="25"/>
    </row>
    <row r="269" spans="2:29" s="21" customFormat="1" outlineLevel="1" x14ac:dyDescent="0.3">
      <c r="B269" s="21" t="s">
        <v>16</v>
      </c>
      <c r="C269" s="21" t="s">
        <v>467</v>
      </c>
      <c r="D269" s="29"/>
      <c r="E269" s="22">
        <v>8.4260566093795006</v>
      </c>
      <c r="F269" s="22">
        <v>-13.1960821151779</v>
      </c>
      <c r="G269" s="68" t="s">
        <v>437</v>
      </c>
      <c r="H269" s="21" t="s">
        <v>236</v>
      </c>
      <c r="I269" s="21" t="s">
        <v>236</v>
      </c>
      <c r="J269" s="29"/>
      <c r="K269" s="23">
        <v>2</v>
      </c>
      <c r="L269" s="75" t="s">
        <v>437</v>
      </c>
      <c r="N269" s="45"/>
      <c r="O269" s="24"/>
      <c r="P269" s="79"/>
      <c r="Q269" s="24"/>
      <c r="R269" s="25"/>
      <c r="S269" s="83"/>
      <c r="T269" s="25"/>
      <c r="U269" s="83"/>
      <c r="V269" s="25"/>
      <c r="W269" s="46"/>
      <c r="X269" s="29"/>
      <c r="Y269" s="21" t="s">
        <v>1035</v>
      </c>
      <c r="AA269" s="21" t="s">
        <v>1036</v>
      </c>
      <c r="AB269" s="21" t="s">
        <v>1231</v>
      </c>
      <c r="AC269" s="25"/>
    </row>
    <row r="270" spans="2:29" s="21" customFormat="1" outlineLevel="1" x14ac:dyDescent="0.3">
      <c r="B270" s="21" t="s">
        <v>1064</v>
      </c>
      <c r="C270" s="21" t="s">
        <v>467</v>
      </c>
      <c r="D270" s="29"/>
      <c r="E270" s="22">
        <v>8.7583714176062006</v>
      </c>
      <c r="F270" s="22">
        <v>-12.7868333458919</v>
      </c>
      <c r="G270" s="68" t="s">
        <v>437</v>
      </c>
      <c r="H270" s="21" t="s">
        <v>234</v>
      </c>
      <c r="I270" s="21" t="s">
        <v>231</v>
      </c>
      <c r="J270" s="29"/>
      <c r="K270" s="23">
        <v>2</v>
      </c>
      <c r="L270" s="75" t="s">
        <v>437</v>
      </c>
      <c r="N270" s="45"/>
      <c r="O270" s="24"/>
      <c r="P270" s="79"/>
      <c r="Q270" s="24"/>
      <c r="R270" s="117" t="s">
        <v>1029</v>
      </c>
      <c r="S270" s="45" t="s">
        <v>439</v>
      </c>
      <c r="T270" s="25"/>
      <c r="U270" s="83"/>
      <c r="V270" s="25"/>
      <c r="W270" s="46"/>
      <c r="X270" s="29"/>
      <c r="Y270" s="21" t="s">
        <v>1035</v>
      </c>
      <c r="AA270" s="21" t="s">
        <v>1036</v>
      </c>
      <c r="AB270" s="21" t="s">
        <v>1231</v>
      </c>
      <c r="AC270" s="25"/>
    </row>
    <row r="271" spans="2:29" s="21" customFormat="1" outlineLevel="1" x14ac:dyDescent="0.3">
      <c r="B271" s="21" t="s">
        <v>1065</v>
      </c>
      <c r="C271" s="21" t="s">
        <v>467</v>
      </c>
      <c r="D271" s="29"/>
      <c r="E271" s="22">
        <v>8.6363237623546905</v>
      </c>
      <c r="F271" s="22">
        <v>-11.6444268822579</v>
      </c>
      <c r="G271" s="68" t="s">
        <v>437</v>
      </c>
      <c r="H271" s="21" t="s">
        <v>236</v>
      </c>
      <c r="I271" s="21" t="s">
        <v>236</v>
      </c>
      <c r="J271" s="29"/>
      <c r="K271" s="23">
        <v>0.64</v>
      </c>
      <c r="L271" s="75" t="s">
        <v>437</v>
      </c>
      <c r="N271" s="45"/>
      <c r="O271" s="24"/>
      <c r="P271" s="79"/>
      <c r="Q271" s="24"/>
      <c r="R271" s="117" t="s">
        <v>1029</v>
      </c>
      <c r="S271" s="45" t="s">
        <v>439</v>
      </c>
      <c r="T271" s="25"/>
      <c r="U271" s="83"/>
      <c r="V271" s="25"/>
      <c r="W271" s="46"/>
      <c r="X271" s="29"/>
      <c r="Y271" s="21" t="s">
        <v>1035</v>
      </c>
      <c r="AA271" s="21" t="s">
        <v>1036</v>
      </c>
      <c r="AB271" s="21" t="s">
        <v>1231</v>
      </c>
      <c r="AC271" s="25"/>
    </row>
    <row r="272" spans="2:29" s="21" customFormat="1" outlineLevel="1" x14ac:dyDescent="0.3">
      <c r="B272" s="21" t="s">
        <v>19</v>
      </c>
      <c r="C272" s="21" t="s">
        <v>467</v>
      </c>
      <c r="D272" s="29"/>
      <c r="E272" s="22">
        <v>8.4117895985563003</v>
      </c>
      <c r="F272" s="22">
        <v>-11.847928762438</v>
      </c>
      <c r="G272" s="68" t="s">
        <v>437</v>
      </c>
      <c r="H272" s="21" t="s">
        <v>235</v>
      </c>
      <c r="I272" s="21" t="s">
        <v>233</v>
      </c>
      <c r="J272" s="29"/>
      <c r="K272" s="23">
        <v>0.25</v>
      </c>
      <c r="L272" s="75" t="s">
        <v>437</v>
      </c>
      <c r="N272" s="45"/>
      <c r="O272" s="24"/>
      <c r="P272" s="79"/>
      <c r="Q272" s="24"/>
      <c r="R272" s="25"/>
      <c r="S272" s="83"/>
      <c r="T272" s="25"/>
      <c r="U272" s="83"/>
      <c r="V272" s="25"/>
      <c r="W272" s="46"/>
      <c r="X272" s="29"/>
      <c r="Y272" s="21" t="s">
        <v>1035</v>
      </c>
      <c r="AA272" s="21" t="s">
        <v>1036</v>
      </c>
      <c r="AB272" s="21" t="s">
        <v>1231</v>
      </c>
      <c r="AC272" s="25"/>
    </row>
    <row r="273" spans="1:30" x14ac:dyDescent="0.3">
      <c r="A273" s="2"/>
      <c r="D273" s="1"/>
      <c r="J273" s="1"/>
      <c r="X273" s="1"/>
    </row>
    <row r="274" spans="1:30" x14ac:dyDescent="0.3">
      <c r="A274" s="2"/>
      <c r="D274" s="1"/>
      <c r="J274" s="1"/>
      <c r="X274" s="1"/>
    </row>
    <row r="275" spans="1:30" ht="14.5" thickBot="1" x14ac:dyDescent="0.35">
      <c r="B275" s="7" t="s">
        <v>34</v>
      </c>
      <c r="C275" s="7"/>
      <c r="D275" s="1"/>
      <c r="E275" s="8"/>
      <c r="F275" s="7"/>
      <c r="G275" s="40"/>
      <c r="H275" s="8"/>
      <c r="I275" s="8"/>
      <c r="J275" s="1"/>
      <c r="K275" s="11"/>
      <c r="L275" s="74"/>
      <c r="M275" s="7"/>
      <c r="N275" s="40"/>
      <c r="O275" s="18"/>
      <c r="P275" s="78"/>
      <c r="R275" s="15"/>
      <c r="S275" s="85"/>
      <c r="T275" s="15"/>
      <c r="U275" s="85"/>
      <c r="W275" s="41"/>
      <c r="X275" s="1"/>
      <c r="Y275" s="102"/>
      <c r="Z275" s="102"/>
      <c r="AA275" s="102"/>
      <c r="AB275" s="7"/>
    </row>
    <row r="276" spans="1:30" s="21" customFormat="1" outlineLevel="1" x14ac:dyDescent="0.3">
      <c r="B276" s="21" t="s">
        <v>247</v>
      </c>
      <c r="C276" s="21" t="s">
        <v>554</v>
      </c>
      <c r="D276" s="29"/>
      <c r="E276" s="22">
        <v>6.8993739999999999</v>
      </c>
      <c r="F276" s="22">
        <v>1.6051409999999999</v>
      </c>
      <c r="G276" s="68" t="s">
        <v>443</v>
      </c>
      <c r="H276" s="21" t="s">
        <v>67</v>
      </c>
      <c r="I276" s="21" t="s">
        <v>67</v>
      </c>
      <c r="J276" s="29"/>
      <c r="K276" s="23">
        <v>147</v>
      </c>
      <c r="L276" s="75" t="s">
        <v>440</v>
      </c>
      <c r="M276" s="24">
        <v>50</v>
      </c>
      <c r="N276" s="79" t="s">
        <v>442</v>
      </c>
      <c r="O276" s="24">
        <v>54</v>
      </c>
      <c r="P276" s="79" t="s">
        <v>968</v>
      </c>
      <c r="Q276" s="24"/>
      <c r="R276" s="25">
        <f>510*10^6</f>
        <v>510000000</v>
      </c>
      <c r="S276" s="83" t="s">
        <v>968</v>
      </c>
      <c r="T276" s="25">
        <f>95*10^6</f>
        <v>95000000</v>
      </c>
      <c r="U276" s="83" t="s">
        <v>969</v>
      </c>
      <c r="V276" s="25"/>
      <c r="W276" s="46" t="s">
        <v>1073</v>
      </c>
      <c r="X276" s="29"/>
      <c r="Y276" s="21" t="s">
        <v>1031</v>
      </c>
      <c r="Z276" s="21" t="s">
        <v>1042</v>
      </c>
      <c r="AB276" s="21" t="s">
        <v>1232</v>
      </c>
      <c r="AC276" s="25"/>
    </row>
    <row r="277" spans="1:30" s="21" customFormat="1" outlineLevel="1" x14ac:dyDescent="0.3">
      <c r="B277" s="21" t="s">
        <v>356</v>
      </c>
      <c r="C277" s="21" t="s">
        <v>495</v>
      </c>
      <c r="D277" s="29"/>
      <c r="E277" s="22">
        <v>7.4240000000000004</v>
      </c>
      <c r="F277" s="22">
        <v>1.43599999999999</v>
      </c>
      <c r="G277" s="68" t="s">
        <v>437</v>
      </c>
      <c r="H277" s="21" t="s">
        <v>67</v>
      </c>
      <c r="I277" s="21" t="s">
        <v>67</v>
      </c>
      <c r="J277" s="29"/>
      <c r="K277" s="23">
        <v>65.599999999999994</v>
      </c>
      <c r="L277" s="75" t="s">
        <v>437</v>
      </c>
      <c r="M277" s="24">
        <v>44</v>
      </c>
      <c r="N277" s="79" t="s">
        <v>442</v>
      </c>
      <c r="O277" s="24">
        <v>31.2</v>
      </c>
      <c r="P277" s="79" t="s">
        <v>989</v>
      </c>
      <c r="Q277" s="24"/>
      <c r="R277" s="25">
        <v>1710000000</v>
      </c>
      <c r="S277" s="83" t="s">
        <v>990</v>
      </c>
      <c r="T277" s="52">
        <f>180*10^6</f>
        <v>180000000</v>
      </c>
      <c r="U277" s="87" t="s">
        <v>991</v>
      </c>
      <c r="V277" s="25"/>
      <c r="W277" s="46"/>
      <c r="X277" s="29"/>
      <c r="Y277" s="21" t="s">
        <v>1031</v>
      </c>
      <c r="Z277" s="21" t="s">
        <v>1042</v>
      </c>
      <c r="AB277" s="21" t="s">
        <v>1231</v>
      </c>
      <c r="AC277" s="25"/>
    </row>
    <row r="278" spans="1:30" s="21" customFormat="1" outlineLevel="1" x14ac:dyDescent="0.3">
      <c r="B278" s="21" t="s">
        <v>357</v>
      </c>
      <c r="C278" s="21" t="s">
        <v>525</v>
      </c>
      <c r="D278" s="29"/>
      <c r="E278" s="22">
        <v>7.0163200000000003</v>
      </c>
      <c r="F278" s="22">
        <v>1.53457</v>
      </c>
      <c r="G278" s="68" t="s">
        <v>443</v>
      </c>
      <c r="H278" s="21" t="s">
        <v>67</v>
      </c>
      <c r="I278" s="21" t="s">
        <v>67</v>
      </c>
      <c r="J278" s="29"/>
      <c r="K278" s="23">
        <v>24</v>
      </c>
      <c r="L278" s="75" t="s">
        <v>1224</v>
      </c>
      <c r="M278" s="24">
        <v>28</v>
      </c>
      <c r="N278" s="79" t="s">
        <v>992</v>
      </c>
      <c r="O278" s="25"/>
      <c r="P278" s="83"/>
      <c r="Q278" s="24"/>
      <c r="R278" s="25">
        <f>510*10^6</f>
        <v>510000000</v>
      </c>
      <c r="S278" s="83" t="s">
        <v>992</v>
      </c>
      <c r="T278" s="25"/>
      <c r="U278" s="83"/>
      <c r="V278" s="25"/>
      <c r="W278" s="46"/>
      <c r="X278" s="29"/>
      <c r="Y278" s="21" t="s">
        <v>1031</v>
      </c>
      <c r="Z278" s="21" t="s">
        <v>1042</v>
      </c>
      <c r="AB278" s="30" t="s">
        <v>4</v>
      </c>
      <c r="AC278" s="25"/>
    </row>
    <row r="279" spans="1:30" s="21" customFormat="1" outlineLevel="1" x14ac:dyDescent="0.3">
      <c r="B279" s="21" t="s">
        <v>260</v>
      </c>
      <c r="C279" s="21" t="s">
        <v>497</v>
      </c>
      <c r="D279" s="29"/>
      <c r="E279" s="22">
        <v>9.6120000000000001</v>
      </c>
      <c r="F279" s="22">
        <v>0.96599999999999997</v>
      </c>
      <c r="G279" s="68" t="s">
        <v>443</v>
      </c>
      <c r="H279" s="21" t="s">
        <v>252</v>
      </c>
      <c r="I279" s="21" t="s">
        <v>65</v>
      </c>
      <c r="J279" s="29"/>
      <c r="K279" s="23">
        <v>17</v>
      </c>
      <c r="L279" s="75" t="s">
        <v>1221</v>
      </c>
      <c r="M279" s="24">
        <v>60</v>
      </c>
      <c r="N279" s="79" t="s">
        <v>1002</v>
      </c>
      <c r="O279" s="25"/>
      <c r="P279" s="83"/>
      <c r="Q279" s="24"/>
      <c r="R279" s="25">
        <f>575*10^6</f>
        <v>575000000</v>
      </c>
      <c r="S279" s="83" t="s">
        <v>1002</v>
      </c>
      <c r="T279" s="25"/>
      <c r="U279" s="83"/>
      <c r="V279" s="25"/>
      <c r="W279" s="46" t="s">
        <v>1003</v>
      </c>
      <c r="X279" s="29"/>
      <c r="Y279" s="21" t="s">
        <v>1031</v>
      </c>
      <c r="Z279" s="21" t="s">
        <v>1042</v>
      </c>
      <c r="AB279" s="30" t="s">
        <v>4</v>
      </c>
      <c r="AC279" s="25"/>
    </row>
    <row r="280" spans="1:30" s="21" customFormat="1" outlineLevel="1" x14ac:dyDescent="0.3">
      <c r="B280" s="21" t="s">
        <v>256</v>
      </c>
      <c r="C280" s="21" t="s">
        <v>1016</v>
      </c>
      <c r="D280" s="29"/>
      <c r="E280" s="22">
        <v>9.9955470000000002</v>
      </c>
      <c r="F280" s="22">
        <v>1.1166700000000001</v>
      </c>
      <c r="G280" s="68" t="s">
        <v>560</v>
      </c>
      <c r="H280" s="21" t="s">
        <v>257</v>
      </c>
      <c r="I280" s="21" t="s">
        <v>65</v>
      </c>
      <c r="J280" s="29"/>
      <c r="K280" s="23">
        <v>13</v>
      </c>
      <c r="L280" s="75" t="s">
        <v>1008</v>
      </c>
      <c r="M280" s="24">
        <v>56</v>
      </c>
      <c r="N280" s="79" t="s">
        <v>1008</v>
      </c>
      <c r="O280" s="25"/>
      <c r="P280" s="83"/>
      <c r="Q280" s="24"/>
      <c r="R280" s="25">
        <f>370*10^6</f>
        <v>370000000</v>
      </c>
      <c r="S280" s="79" t="s">
        <v>1008</v>
      </c>
      <c r="T280" s="25"/>
      <c r="U280" s="83"/>
      <c r="V280" s="25"/>
      <c r="W280" s="46"/>
      <c r="X280" s="29"/>
      <c r="Y280" s="21" t="s">
        <v>1031</v>
      </c>
      <c r="Z280" s="21" t="s">
        <v>1042</v>
      </c>
      <c r="AB280" s="30" t="s">
        <v>4</v>
      </c>
      <c r="AC280" s="25"/>
    </row>
    <row r="281" spans="1:30" s="21" customFormat="1" outlineLevel="1" x14ac:dyDescent="0.3">
      <c r="B281" s="21" t="s">
        <v>367</v>
      </c>
      <c r="C281" s="21" t="s">
        <v>442</v>
      </c>
      <c r="D281" s="29"/>
      <c r="E281" s="22"/>
      <c r="F281" s="22"/>
      <c r="G281" s="68"/>
      <c r="H281" s="21" t="s">
        <v>67</v>
      </c>
      <c r="I281" s="21" t="s">
        <v>67</v>
      </c>
      <c r="J281" s="29"/>
      <c r="K281" s="23">
        <v>15.9</v>
      </c>
      <c r="L281" s="75" t="s">
        <v>442</v>
      </c>
      <c r="M281" s="24"/>
      <c r="N281" s="79"/>
      <c r="O281" s="25"/>
      <c r="P281" s="83"/>
      <c r="Q281" s="24"/>
      <c r="R281" s="25"/>
      <c r="S281" s="83"/>
      <c r="T281" s="25"/>
      <c r="U281" s="83"/>
      <c r="V281" s="25"/>
      <c r="W281" s="46"/>
      <c r="X281" s="29"/>
      <c r="Y281" s="21" t="s">
        <v>1031</v>
      </c>
      <c r="Z281" s="21" t="s">
        <v>1034</v>
      </c>
      <c r="AB281" s="30" t="s">
        <v>198</v>
      </c>
      <c r="AC281" s="25"/>
    </row>
    <row r="282" spans="1:30" s="21" customFormat="1" outlineLevel="1" x14ac:dyDescent="0.3">
      <c r="B282" s="21" t="s">
        <v>368</v>
      </c>
      <c r="C282" s="21" t="s">
        <v>442</v>
      </c>
      <c r="D282" s="29"/>
      <c r="E282" s="22"/>
      <c r="F282" s="22"/>
      <c r="G282" s="68"/>
      <c r="H282" s="21" t="s">
        <v>252</v>
      </c>
      <c r="I282" s="21" t="s">
        <v>65</v>
      </c>
      <c r="J282" s="29"/>
      <c r="K282" s="23">
        <v>24.2</v>
      </c>
      <c r="L282" s="75" t="s">
        <v>442</v>
      </c>
      <c r="M282" s="24"/>
      <c r="N282" s="79"/>
      <c r="O282" s="25"/>
      <c r="P282" s="83"/>
      <c r="Q282" s="24"/>
      <c r="R282" s="25"/>
      <c r="S282" s="83"/>
      <c r="T282" s="25"/>
      <c r="U282" s="83"/>
      <c r="V282" s="25"/>
      <c r="W282" s="46"/>
      <c r="X282" s="29"/>
      <c r="Y282" s="21" t="s">
        <v>1031</v>
      </c>
      <c r="Z282" s="21" t="s">
        <v>1034</v>
      </c>
      <c r="AB282" s="30" t="s">
        <v>198</v>
      </c>
      <c r="AC282" s="25"/>
    </row>
    <row r="283" spans="1:30" s="21" customFormat="1" outlineLevel="1" x14ac:dyDescent="0.3">
      <c r="B283" s="21" t="s">
        <v>369</v>
      </c>
      <c r="C283" s="21" t="s">
        <v>442</v>
      </c>
      <c r="D283" s="29"/>
      <c r="E283" s="22"/>
      <c r="F283" s="22"/>
      <c r="G283" s="68"/>
      <c r="H283" s="21" t="s">
        <v>236</v>
      </c>
      <c r="I283" s="21" t="s">
        <v>236</v>
      </c>
      <c r="J283" s="29"/>
      <c r="K283" s="23">
        <v>17.100000000000001</v>
      </c>
      <c r="L283" s="75" t="s">
        <v>442</v>
      </c>
      <c r="M283" s="24"/>
      <c r="N283" s="79"/>
      <c r="O283" s="25"/>
      <c r="P283" s="83"/>
      <c r="Q283" s="24"/>
      <c r="R283" s="25"/>
      <c r="S283" s="83"/>
      <c r="T283" s="25"/>
      <c r="U283" s="83"/>
      <c r="V283" s="25"/>
      <c r="W283" s="46"/>
      <c r="X283" s="29"/>
      <c r="Y283" s="21" t="s">
        <v>1031</v>
      </c>
      <c r="Z283" s="21" t="s">
        <v>1034</v>
      </c>
      <c r="AB283" s="30" t="s">
        <v>198</v>
      </c>
      <c r="AC283" s="25"/>
    </row>
    <row r="284" spans="1:30" s="21" customFormat="1" outlineLevel="1" x14ac:dyDescent="0.3">
      <c r="B284" s="21" t="s">
        <v>254</v>
      </c>
      <c r="D284" s="29"/>
      <c r="E284" s="22"/>
      <c r="F284" s="22"/>
      <c r="G284" s="68"/>
      <c r="H284" s="21" t="s">
        <v>254</v>
      </c>
      <c r="I284" s="21" t="s">
        <v>65</v>
      </c>
      <c r="J284" s="29"/>
      <c r="K284" s="23">
        <v>10</v>
      </c>
      <c r="L284" s="75" t="s">
        <v>1019</v>
      </c>
      <c r="M284" s="24">
        <v>108</v>
      </c>
      <c r="N284" s="75" t="s">
        <v>1019</v>
      </c>
      <c r="O284" s="25"/>
      <c r="P284" s="83"/>
      <c r="Q284" s="24"/>
      <c r="R284" s="25">
        <f>255*10^6</f>
        <v>255000000</v>
      </c>
      <c r="S284" s="75" t="s">
        <v>1019</v>
      </c>
      <c r="T284" s="25"/>
      <c r="U284" s="83"/>
      <c r="V284" s="25"/>
      <c r="W284" s="46"/>
      <c r="X284" s="29"/>
      <c r="Y284" s="21" t="s">
        <v>1031</v>
      </c>
      <c r="Z284" s="21" t="s">
        <v>1034</v>
      </c>
      <c r="AB284" s="30" t="s">
        <v>198</v>
      </c>
      <c r="AC284" s="25"/>
    </row>
    <row r="285" spans="1:30" s="21" customFormat="1" outlineLevel="1" x14ac:dyDescent="0.3">
      <c r="B285" s="21" t="s">
        <v>253</v>
      </c>
      <c r="D285" s="29"/>
      <c r="E285" s="22"/>
      <c r="F285" s="22"/>
      <c r="G285" s="68"/>
      <c r="H285" s="21" t="s">
        <v>67</v>
      </c>
      <c r="I285" s="21" t="s">
        <v>67</v>
      </c>
      <c r="J285" s="29"/>
      <c r="K285" s="23">
        <v>9</v>
      </c>
      <c r="L285" s="75" t="s">
        <v>1022</v>
      </c>
      <c r="M285" s="24">
        <v>31</v>
      </c>
      <c r="N285" s="79" t="s">
        <v>1022</v>
      </c>
      <c r="O285" s="25"/>
      <c r="P285" s="83"/>
      <c r="Q285" s="24"/>
      <c r="R285" s="25">
        <f>875*10^6</f>
        <v>875000000</v>
      </c>
      <c r="S285" s="83" t="s">
        <v>1022</v>
      </c>
      <c r="T285" s="25"/>
      <c r="U285" s="83"/>
      <c r="V285" s="25"/>
      <c r="W285" s="46"/>
      <c r="X285" s="29"/>
      <c r="Y285" s="21" t="s">
        <v>1035</v>
      </c>
      <c r="AA285" s="21" t="s">
        <v>1036</v>
      </c>
      <c r="AB285" s="30" t="s">
        <v>4</v>
      </c>
      <c r="AC285" s="25"/>
    </row>
    <row r="286" spans="1:30" s="21" customFormat="1" outlineLevel="1" x14ac:dyDescent="0.3">
      <c r="B286" s="21" t="s">
        <v>1068</v>
      </c>
      <c r="C286" s="21" t="s">
        <v>479</v>
      </c>
      <c r="D286" s="29"/>
      <c r="E286" s="22">
        <v>7.0117078511823898</v>
      </c>
      <c r="F286" s="22">
        <v>0.64433097839305897</v>
      </c>
      <c r="G286" s="68" t="s">
        <v>437</v>
      </c>
      <c r="H286" s="21" t="s">
        <v>236</v>
      </c>
      <c r="I286" s="21" t="s">
        <v>236</v>
      </c>
      <c r="J286" s="29"/>
      <c r="K286" s="23">
        <v>1.6</v>
      </c>
      <c r="L286" s="75" t="s">
        <v>437</v>
      </c>
      <c r="M286" s="117" t="s">
        <v>1029</v>
      </c>
      <c r="N286" s="45" t="s">
        <v>440</v>
      </c>
      <c r="O286" s="24"/>
      <c r="P286" s="79"/>
      <c r="Q286" s="24"/>
      <c r="R286" s="25"/>
      <c r="S286" s="83"/>
      <c r="T286" s="25"/>
      <c r="U286" s="83"/>
      <c r="V286" s="25"/>
      <c r="W286" s="46"/>
      <c r="X286" s="29"/>
      <c r="Y286" s="21" t="s">
        <v>1035</v>
      </c>
      <c r="AA286" s="21" t="s">
        <v>1037</v>
      </c>
      <c r="AB286" s="21" t="s">
        <v>1231</v>
      </c>
      <c r="AC286" s="25"/>
      <c r="AD286" s="125"/>
    </row>
    <row r="287" spans="1:30" s="21" customFormat="1" outlineLevel="1" x14ac:dyDescent="0.3">
      <c r="B287" s="21" t="s">
        <v>177</v>
      </c>
      <c r="C287" s="21" t="s">
        <v>439</v>
      </c>
      <c r="D287" s="29"/>
      <c r="E287" s="22"/>
      <c r="F287" s="22"/>
      <c r="G287" s="68"/>
      <c r="H287" s="21" t="s">
        <v>178</v>
      </c>
      <c r="I287" s="21" t="s">
        <v>236</v>
      </c>
      <c r="J287" s="29"/>
      <c r="K287" s="23">
        <v>99.800000000000011</v>
      </c>
      <c r="L287" s="75" t="s">
        <v>439</v>
      </c>
      <c r="N287" s="45"/>
      <c r="O287" s="24"/>
      <c r="P287" s="79"/>
      <c r="Q287" s="24"/>
      <c r="R287" s="25"/>
      <c r="S287" s="83"/>
      <c r="T287" s="25"/>
      <c r="U287" s="83"/>
      <c r="V287" s="25"/>
      <c r="W287" s="46"/>
      <c r="X287" s="29"/>
      <c r="Y287" s="21" t="s">
        <v>1035</v>
      </c>
      <c r="AA287" s="21" t="s">
        <v>1036</v>
      </c>
      <c r="AB287" s="21" t="s">
        <v>198</v>
      </c>
      <c r="AC287" s="25"/>
      <c r="AD287" s="125"/>
    </row>
    <row r="288" spans="1:30" x14ac:dyDescent="0.3">
      <c r="D288" s="1"/>
      <c r="J288" s="1"/>
      <c r="X288" s="1"/>
    </row>
    <row r="289" spans="10:11" x14ac:dyDescent="0.3">
      <c r="J289" s="1"/>
    </row>
    <row r="290" spans="10:11" x14ac:dyDescent="0.3">
      <c r="J290" s="142"/>
      <c r="K290" s="142"/>
    </row>
    <row r="291" spans="10:11" x14ac:dyDescent="0.3">
      <c r="J291" s="142"/>
      <c r="K291" s="142"/>
    </row>
    <row r="292" spans="10:11" x14ac:dyDescent="0.3">
      <c r="J292" s="142"/>
      <c r="K292" s="142"/>
    </row>
    <row r="293" spans="10:11" x14ac:dyDescent="0.3">
      <c r="J293" s="142"/>
      <c r="K293" s="142"/>
    </row>
    <row r="294" spans="10:11" x14ac:dyDescent="0.3">
      <c r="J294" s="9"/>
    </row>
    <row r="295" spans="10:11" x14ac:dyDescent="0.3">
      <c r="J295" s="9"/>
    </row>
  </sheetData>
  <dataValidations count="2">
    <dataValidation type="list" allowBlank="1" showInputMessage="1" showErrorMessage="1" sqref="AA6:AA17 AA238:AA272 AA21:AA38 AA42:AA68 AA72:AA91 AA95:AA96 AA100:AA142 AA146:AA156 AA181:AA184 AA160:AA177 AA234 AA188:AA230 AA276:AA287" xr:uid="{3B90BDF4-0239-4C93-89A0-43A7CFFD2FDD}">
      <formula1>Exclusion_reasons</formula1>
    </dataValidation>
    <dataValidation type="list" allowBlank="1" showInputMessage="1" showErrorMessage="1" sqref="Z72:Z91 Z238:Z272 Z6:Z17 Z21:Z38 Z95:Z96 Z42:Z68 Z100:Z142 Z146:Z156 Z160:Z177 Z181:Z183 Z234 Z188:Z230 Z276:Z287" xr:uid="{99AFCE41-AB22-4E20-9A88-3A2BCDA4A140}">
      <formula1>Calculation_methods</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18F03-B19C-4615-BBD7-282A921A7CFB}">
  <sheetPr codeName="Sheet4">
    <tabColor rgb="FFFFFF33"/>
  </sheetPr>
  <dimension ref="A2:N117"/>
  <sheetViews>
    <sheetView showGridLines="0" zoomScale="70" zoomScaleNormal="70" workbookViewId="0">
      <pane xSplit="3" ySplit="3" topLeftCell="D4" activePane="bottomRight" state="frozen"/>
      <selection pane="topRight" activeCell="D1" sqref="D1"/>
      <selection pane="bottomLeft" activeCell="A4" sqref="A4"/>
      <selection pane="bottomRight"/>
    </sheetView>
  </sheetViews>
  <sheetFormatPr defaultColWidth="8.7265625" defaultRowHeight="13.5" outlineLevelRow="1" x14ac:dyDescent="0.3"/>
  <cols>
    <col min="1" max="1" width="3.54296875" style="2" customWidth="1"/>
    <col min="2" max="2" width="30.26953125" style="2" customWidth="1"/>
    <col min="3" max="3" width="16.90625" style="2" customWidth="1"/>
    <col min="4" max="4" width="13.7265625" style="43" customWidth="1"/>
    <col min="5" max="6" width="11.81640625" style="4" customWidth="1"/>
    <col min="7" max="7" width="7.453125" style="69" customWidth="1"/>
    <col min="8" max="8" width="12.453125" style="4" customWidth="1"/>
    <col min="9" max="9" width="16.81640625" style="4" customWidth="1"/>
    <col min="10" max="10" width="7.453125" style="69" bestFit="1" customWidth="1"/>
    <col min="11" max="11" width="7.26953125" style="69" customWidth="1"/>
    <col min="12" max="12" width="42.81640625" style="132" customWidth="1"/>
    <col min="13" max="13" width="16.81640625" style="69" customWidth="1"/>
    <col min="14" max="14" width="62" style="2" bestFit="1" customWidth="1"/>
    <col min="15" max="17" width="8.7265625" style="2"/>
    <col min="18" max="18" width="13.1796875" style="2" customWidth="1"/>
    <col min="19" max="23" width="8.7265625" style="2"/>
    <col min="24" max="24" width="13.7265625" style="2" bestFit="1" customWidth="1"/>
    <col min="25" max="26" width="8.7265625" style="2"/>
    <col min="27" max="27" width="16.1796875" style="2" bestFit="1" customWidth="1"/>
    <col min="28" max="28" width="13.1796875" style="2" bestFit="1" customWidth="1"/>
    <col min="29" max="29" width="16.54296875" style="2" bestFit="1" customWidth="1"/>
    <col min="30" max="30" width="14.26953125" style="2" bestFit="1" customWidth="1"/>
    <col min="31" max="31" width="8.7265625" style="2"/>
    <col min="32" max="32" width="10.1796875" style="2" bestFit="1" customWidth="1"/>
    <col min="33" max="16384" width="8.7265625" style="2"/>
  </cols>
  <sheetData>
    <row r="2" spans="1:14" ht="20" thickBot="1" x14ac:dyDescent="0.5">
      <c r="A2" s="21"/>
      <c r="B2" s="60" t="s">
        <v>487</v>
      </c>
      <c r="C2" s="66"/>
      <c r="D2" s="2"/>
      <c r="E2" s="60" t="s">
        <v>449</v>
      </c>
      <c r="F2" s="66"/>
      <c r="G2" s="67"/>
      <c r="I2" s="60" t="s">
        <v>1078</v>
      </c>
      <c r="J2" s="71"/>
      <c r="L2" s="95" t="s">
        <v>576</v>
      </c>
      <c r="N2" s="95" t="s">
        <v>1234</v>
      </c>
    </row>
    <row r="3" spans="1:14" ht="40.5" customHeight="1" thickTop="1" x14ac:dyDescent="0.3">
      <c r="B3" s="1" t="s">
        <v>1079</v>
      </c>
      <c r="C3" s="61" t="s">
        <v>591</v>
      </c>
      <c r="D3" s="38"/>
      <c r="E3" s="37" t="s">
        <v>2</v>
      </c>
      <c r="F3" s="37" t="s">
        <v>1</v>
      </c>
      <c r="G3" s="69" t="s">
        <v>342</v>
      </c>
      <c r="H3" s="37"/>
      <c r="I3" s="39" t="s">
        <v>261</v>
      </c>
      <c r="J3" s="69" t="s">
        <v>342</v>
      </c>
      <c r="L3" s="38" t="s">
        <v>703</v>
      </c>
      <c r="N3" s="1" t="s">
        <v>1077</v>
      </c>
    </row>
    <row r="4" spans="1:14" x14ac:dyDescent="0.3">
      <c r="D4" s="38"/>
      <c r="H4" s="37"/>
    </row>
    <row r="5" spans="1:14" ht="14.5" thickBot="1" x14ac:dyDescent="0.35">
      <c r="B5" s="7" t="s">
        <v>23</v>
      </c>
      <c r="C5" s="7"/>
      <c r="D5" s="38"/>
      <c r="E5" s="8"/>
      <c r="F5" s="8"/>
      <c r="G5" s="126"/>
      <c r="H5" s="37"/>
      <c r="I5" s="8"/>
      <c r="J5" s="126"/>
      <c r="L5" s="130"/>
      <c r="N5" s="7"/>
    </row>
    <row r="6" spans="1:14" s="21" customFormat="1" outlineLevel="1" x14ac:dyDescent="0.3">
      <c r="B6" s="21" t="s">
        <v>304</v>
      </c>
      <c r="C6" s="21" t="s">
        <v>1105</v>
      </c>
      <c r="D6" s="38"/>
      <c r="E6" s="22">
        <v>12.309134981231001</v>
      </c>
      <c r="F6" s="22">
        <v>-1.6397953033442001</v>
      </c>
      <c r="G6" s="68" t="s">
        <v>437</v>
      </c>
      <c r="H6" s="37"/>
      <c r="I6" s="22">
        <v>33</v>
      </c>
      <c r="J6" s="68" t="s">
        <v>437</v>
      </c>
      <c r="K6" s="69"/>
      <c r="L6" s="97"/>
      <c r="M6" s="69"/>
      <c r="N6" s="21" t="s">
        <v>1231</v>
      </c>
    </row>
    <row r="7" spans="1:14" s="21" customFormat="1" outlineLevel="1" x14ac:dyDescent="0.3">
      <c r="B7" s="21" t="s">
        <v>305</v>
      </c>
      <c r="C7" s="21" t="s">
        <v>1105</v>
      </c>
      <c r="D7" s="38"/>
      <c r="E7" s="22">
        <v>11.7016386280179</v>
      </c>
      <c r="F7" s="22">
        <v>-0.370488166810859</v>
      </c>
      <c r="G7" s="68" t="s">
        <v>437</v>
      </c>
      <c r="H7" s="37"/>
      <c r="I7" s="22">
        <v>11</v>
      </c>
      <c r="J7" s="68" t="s">
        <v>437</v>
      </c>
      <c r="K7" s="69"/>
      <c r="L7" s="97"/>
      <c r="M7" s="69"/>
      <c r="N7" s="21" t="s">
        <v>4</v>
      </c>
    </row>
    <row r="8" spans="1:14" s="21" customFormat="1" outlineLevel="1" x14ac:dyDescent="0.3">
      <c r="B8" s="21" t="s">
        <v>306</v>
      </c>
      <c r="C8" s="21" t="s">
        <v>437</v>
      </c>
      <c r="D8" s="38"/>
      <c r="E8" s="22">
        <v>12.0723270007959</v>
      </c>
      <c r="F8" s="22">
        <v>0.34961320459764</v>
      </c>
      <c r="G8" s="68" t="s">
        <v>437</v>
      </c>
      <c r="H8" s="37"/>
      <c r="I8" s="22">
        <v>10</v>
      </c>
      <c r="J8" s="68" t="s">
        <v>437</v>
      </c>
      <c r="K8" s="69"/>
      <c r="L8" s="97"/>
      <c r="M8" s="69"/>
      <c r="N8" s="21" t="s">
        <v>4</v>
      </c>
    </row>
    <row r="9" spans="1:14" s="21" customFormat="1" outlineLevel="1" x14ac:dyDescent="0.3">
      <c r="B9" s="21" t="s">
        <v>307</v>
      </c>
      <c r="C9" s="21" t="s">
        <v>437</v>
      </c>
      <c r="D9" s="38"/>
      <c r="E9" s="22">
        <v>14.0260891604739</v>
      </c>
      <c r="F9" s="22">
        <v>-2.1320879456214002E-2</v>
      </c>
      <c r="G9" s="68" t="s">
        <v>437</v>
      </c>
      <c r="H9" s="37"/>
      <c r="I9" s="22">
        <v>15</v>
      </c>
      <c r="J9" s="68" t="s">
        <v>437</v>
      </c>
      <c r="K9" s="69"/>
      <c r="L9" s="97"/>
      <c r="M9" s="69"/>
      <c r="N9" s="21" t="s">
        <v>4</v>
      </c>
    </row>
    <row r="10" spans="1:14" s="21" customFormat="1" outlineLevel="1" x14ac:dyDescent="0.3">
      <c r="B10" s="21" t="s">
        <v>308</v>
      </c>
      <c r="C10" s="21" t="s">
        <v>1105</v>
      </c>
      <c r="D10" s="38"/>
      <c r="E10" s="22">
        <v>11.537625311791</v>
      </c>
      <c r="F10" s="22">
        <v>-3.2521596550931</v>
      </c>
      <c r="G10" s="68" t="s">
        <v>437</v>
      </c>
      <c r="H10" s="37"/>
      <c r="I10" s="22">
        <v>17</v>
      </c>
      <c r="J10" s="68" t="s">
        <v>437</v>
      </c>
      <c r="K10" s="69"/>
      <c r="L10" s="97"/>
      <c r="M10" s="69"/>
      <c r="N10" s="21" t="s">
        <v>4</v>
      </c>
    </row>
    <row r="11" spans="1:14" s="21" customFormat="1" outlineLevel="1" x14ac:dyDescent="0.3">
      <c r="B11" s="21" t="s">
        <v>309</v>
      </c>
      <c r="C11" s="21" t="s">
        <v>1105</v>
      </c>
      <c r="D11" s="38"/>
      <c r="E11" s="22">
        <v>11.1058662521489</v>
      </c>
      <c r="F11" s="22">
        <v>-4.3256440758699899</v>
      </c>
      <c r="G11" s="68" t="s">
        <v>437</v>
      </c>
      <c r="H11" s="37"/>
      <c r="I11" s="22">
        <v>17</v>
      </c>
      <c r="J11" s="68" t="s">
        <v>437</v>
      </c>
      <c r="K11" s="69"/>
      <c r="L11" s="97"/>
      <c r="M11" s="69"/>
      <c r="N11" s="21" t="s">
        <v>4</v>
      </c>
    </row>
    <row r="12" spans="1:14" s="21" customFormat="1" outlineLevel="1" x14ac:dyDescent="0.3">
      <c r="B12" s="21" t="s">
        <v>390</v>
      </c>
      <c r="C12" s="21" t="s">
        <v>1105</v>
      </c>
      <c r="D12" s="38"/>
      <c r="E12" s="22">
        <v>12.038225947738001</v>
      </c>
      <c r="F12" s="22">
        <v>-3.4185853600464</v>
      </c>
      <c r="G12" s="68" t="s">
        <v>437</v>
      </c>
      <c r="H12" s="37"/>
      <c r="I12" s="22">
        <f>20</f>
        <v>20</v>
      </c>
      <c r="J12" s="68" t="s">
        <v>437</v>
      </c>
      <c r="K12" s="69"/>
      <c r="L12" s="97"/>
      <c r="M12" s="69"/>
      <c r="N12" s="21" t="s">
        <v>4</v>
      </c>
    </row>
    <row r="13" spans="1:14" s="21" customFormat="1" outlineLevel="1" x14ac:dyDescent="0.3">
      <c r="B13" s="21" t="s">
        <v>310</v>
      </c>
      <c r="C13" s="21" t="s">
        <v>437</v>
      </c>
      <c r="D13" s="38"/>
      <c r="E13" s="22">
        <v>12.4498247285999</v>
      </c>
      <c r="F13" s="22">
        <v>-3.4739461541105001</v>
      </c>
      <c r="G13" s="68" t="s">
        <v>437</v>
      </c>
      <c r="H13" s="37"/>
      <c r="I13" s="22">
        <v>15</v>
      </c>
      <c r="J13" s="68" t="s">
        <v>437</v>
      </c>
      <c r="K13" s="69"/>
      <c r="L13" s="97"/>
      <c r="M13" s="69"/>
      <c r="N13" s="21" t="s">
        <v>4</v>
      </c>
    </row>
    <row r="14" spans="1:14" s="21" customFormat="1" outlineLevel="1" x14ac:dyDescent="0.3">
      <c r="B14" s="21" t="s">
        <v>311</v>
      </c>
      <c r="C14" s="21" t="s">
        <v>1105</v>
      </c>
      <c r="D14" s="38"/>
      <c r="E14" s="22">
        <v>12.621949866571001</v>
      </c>
      <c r="F14" s="22">
        <v>-0.82379436440691001</v>
      </c>
      <c r="G14" s="68" t="s">
        <v>437</v>
      </c>
      <c r="H14" s="37"/>
      <c r="I14" s="22">
        <v>1.1000000000000001</v>
      </c>
      <c r="J14" s="68" t="s">
        <v>437</v>
      </c>
      <c r="K14" s="69"/>
      <c r="L14" s="97"/>
      <c r="M14" s="69"/>
      <c r="N14" s="21" t="s">
        <v>1231</v>
      </c>
    </row>
    <row r="15" spans="1:14" s="21" customFormat="1" outlineLevel="1" x14ac:dyDescent="0.3">
      <c r="B15" s="21" t="s">
        <v>387</v>
      </c>
      <c r="C15" s="21" t="s">
        <v>1105</v>
      </c>
      <c r="D15" s="38"/>
      <c r="E15" s="22">
        <v>12.367827</v>
      </c>
      <c r="F15" s="22">
        <v>-1.4942740000000001</v>
      </c>
      <c r="G15" s="68" t="s">
        <v>437</v>
      </c>
      <c r="H15" s="37"/>
      <c r="I15" s="22">
        <f>30+6</f>
        <v>36</v>
      </c>
      <c r="J15" s="68" t="s">
        <v>437</v>
      </c>
      <c r="K15" s="69"/>
      <c r="L15" s="97"/>
      <c r="M15" s="69"/>
      <c r="N15" s="21" t="s">
        <v>4</v>
      </c>
    </row>
    <row r="16" spans="1:14" x14ac:dyDescent="0.3">
      <c r="D16" s="38"/>
      <c r="H16" s="37"/>
    </row>
    <row r="17" spans="2:14" x14ac:dyDescent="0.3">
      <c r="D17" s="38"/>
      <c r="H17" s="37"/>
    </row>
    <row r="18" spans="2:14" ht="14.5" thickBot="1" x14ac:dyDescent="0.35">
      <c r="B18" s="7" t="s">
        <v>105</v>
      </c>
      <c r="C18" s="7"/>
      <c r="D18" s="38"/>
      <c r="E18" s="8"/>
      <c r="F18" s="8"/>
      <c r="G18" s="126"/>
      <c r="H18" s="37"/>
      <c r="I18" s="8"/>
      <c r="J18" s="126"/>
      <c r="L18" s="130"/>
      <c r="N18" s="7"/>
    </row>
    <row r="19" spans="2:14" outlineLevel="1" x14ac:dyDescent="0.3">
      <c r="B19" s="2" t="s">
        <v>341</v>
      </c>
      <c r="D19" s="38"/>
      <c r="E19" s="4">
        <v>6.9797609999999999</v>
      </c>
      <c r="F19" s="4">
        <v>2.6662509999999999</v>
      </c>
      <c r="G19" s="69" t="s">
        <v>560</v>
      </c>
      <c r="H19" s="37"/>
      <c r="I19" s="4">
        <v>25</v>
      </c>
      <c r="J19" s="69" t="s">
        <v>1083</v>
      </c>
      <c r="N19" s="2" t="s">
        <v>4</v>
      </c>
    </row>
    <row r="20" spans="2:14" x14ac:dyDescent="0.3">
      <c r="D20" s="38"/>
      <c r="H20" s="37"/>
    </row>
    <row r="21" spans="2:14" x14ac:dyDescent="0.3">
      <c r="B21" s="1"/>
      <c r="C21" s="1"/>
      <c r="D21" s="38"/>
      <c r="H21" s="37"/>
      <c r="I21" s="47"/>
      <c r="J21" s="128"/>
      <c r="L21" s="131"/>
    </row>
    <row r="22" spans="2:14" ht="14.5" thickBot="1" x14ac:dyDescent="0.35">
      <c r="B22" s="7" t="s">
        <v>208</v>
      </c>
      <c r="C22" s="7"/>
      <c r="D22" s="38"/>
      <c r="E22" s="8"/>
      <c r="F22" s="8"/>
      <c r="G22" s="126"/>
      <c r="H22" s="37"/>
      <c r="I22" s="8"/>
      <c r="J22" s="126"/>
      <c r="L22" s="130"/>
      <c r="N22" s="7"/>
    </row>
    <row r="23" spans="2:14" outlineLevel="1" x14ac:dyDescent="0.3">
      <c r="B23" s="2" t="s">
        <v>292</v>
      </c>
      <c r="C23" s="2" t="s">
        <v>437</v>
      </c>
      <c r="D23" s="38"/>
      <c r="E23" s="4">
        <v>9.5165704067878902</v>
      </c>
      <c r="F23" s="4">
        <v>-7.5662970542931003</v>
      </c>
      <c r="G23" s="69" t="s">
        <v>437</v>
      </c>
      <c r="H23" s="37"/>
      <c r="I23" s="4">
        <v>25</v>
      </c>
      <c r="J23" s="69" t="s">
        <v>437</v>
      </c>
      <c r="N23" s="2" t="s">
        <v>4</v>
      </c>
    </row>
    <row r="24" spans="2:14" outlineLevel="1" x14ac:dyDescent="0.3">
      <c r="B24" s="2" t="s">
        <v>293</v>
      </c>
      <c r="C24" s="2" t="s">
        <v>437</v>
      </c>
      <c r="D24" s="38"/>
      <c r="E24" s="4">
        <v>9.5256162280093903</v>
      </c>
      <c r="F24" s="4">
        <v>-5.8213289146090901</v>
      </c>
      <c r="G24" s="69" t="s">
        <v>437</v>
      </c>
      <c r="H24" s="37"/>
      <c r="I24" s="4">
        <v>25</v>
      </c>
      <c r="J24" s="69" t="s">
        <v>437</v>
      </c>
      <c r="N24" s="2" t="s">
        <v>4</v>
      </c>
    </row>
    <row r="25" spans="2:14" x14ac:dyDescent="0.3">
      <c r="D25" s="38"/>
      <c r="F25" s="37"/>
      <c r="G25" s="127"/>
      <c r="H25" s="37"/>
      <c r="N25" s="6"/>
    </row>
    <row r="26" spans="2:14" x14ac:dyDescent="0.3">
      <c r="D26" s="38"/>
      <c r="F26" s="37"/>
      <c r="G26" s="127"/>
      <c r="H26" s="37"/>
      <c r="N26" s="6"/>
    </row>
    <row r="27" spans="2:14" ht="14.5" thickBot="1" x14ac:dyDescent="0.35">
      <c r="B27" s="7" t="s">
        <v>68</v>
      </c>
      <c r="C27" s="7"/>
      <c r="D27" s="38"/>
      <c r="E27" s="8"/>
      <c r="F27" s="8"/>
      <c r="G27" s="126"/>
      <c r="H27" s="37"/>
      <c r="I27" s="8"/>
      <c r="J27" s="126"/>
      <c r="L27" s="130"/>
      <c r="N27" s="7"/>
    </row>
    <row r="28" spans="2:14" s="21" customFormat="1" outlineLevel="1" x14ac:dyDescent="0.3">
      <c r="B28" s="21" t="s">
        <v>312</v>
      </c>
      <c r="C28" s="21" t="s">
        <v>437</v>
      </c>
      <c r="D28" s="38"/>
      <c r="E28" s="22">
        <v>13.4048711389279</v>
      </c>
      <c r="F28" s="22">
        <v>-16.698395846177899</v>
      </c>
      <c r="G28" s="68" t="s">
        <v>437</v>
      </c>
      <c r="H28" s="37"/>
      <c r="I28" s="4">
        <v>10</v>
      </c>
      <c r="J28" s="69" t="s">
        <v>437</v>
      </c>
      <c r="K28" s="69"/>
      <c r="L28" s="132"/>
      <c r="M28" s="69"/>
      <c r="N28" s="2" t="s">
        <v>4</v>
      </c>
    </row>
    <row r="29" spans="2:14" s="21" customFormat="1" outlineLevel="1" x14ac:dyDescent="0.3">
      <c r="B29" s="21" t="s">
        <v>313</v>
      </c>
      <c r="C29" s="21" t="s">
        <v>440</v>
      </c>
      <c r="D29" s="38"/>
      <c r="E29" s="22">
        <v>13.274656</v>
      </c>
      <c r="F29" s="22">
        <v>-16.641625999999999</v>
      </c>
      <c r="G29" s="68" t="s">
        <v>437</v>
      </c>
      <c r="H29" s="37"/>
      <c r="I29" s="4">
        <v>20</v>
      </c>
      <c r="J29" s="69" t="s">
        <v>1084</v>
      </c>
      <c r="K29" s="69"/>
      <c r="L29" s="132"/>
      <c r="M29" s="69"/>
      <c r="N29" s="2" t="s">
        <v>4</v>
      </c>
    </row>
    <row r="30" spans="2:14" x14ac:dyDescent="0.3">
      <c r="D30" s="38"/>
      <c r="H30" s="37"/>
    </row>
    <row r="31" spans="2:14" x14ac:dyDescent="0.3">
      <c r="D31" s="38"/>
      <c r="H31" s="37"/>
    </row>
    <row r="32" spans="2:14" ht="14.5" thickBot="1" x14ac:dyDescent="0.35">
      <c r="B32" s="7" t="s">
        <v>32</v>
      </c>
      <c r="C32" s="7"/>
      <c r="D32" s="38"/>
      <c r="E32" s="8"/>
      <c r="F32" s="8"/>
      <c r="G32" s="126"/>
      <c r="H32" s="37"/>
      <c r="I32" s="8"/>
      <c r="J32" s="126"/>
      <c r="L32" s="130"/>
      <c r="N32" s="7"/>
    </row>
    <row r="33" spans="1:14" outlineLevel="1" x14ac:dyDescent="0.3">
      <c r="B33" s="9" t="s">
        <v>344</v>
      </c>
      <c r="C33" s="9" t="s">
        <v>1105</v>
      </c>
      <c r="D33" s="38"/>
      <c r="E33" s="4">
        <v>5.3627409999999998</v>
      </c>
      <c r="F33" s="4">
        <v>-0.70514699999999997</v>
      </c>
      <c r="G33" s="69" t="s">
        <v>437</v>
      </c>
      <c r="H33" s="37"/>
      <c r="I33" s="4">
        <v>22.5</v>
      </c>
      <c r="J33" s="69" t="s">
        <v>1085</v>
      </c>
      <c r="N33" s="2" t="s">
        <v>1231</v>
      </c>
    </row>
    <row r="34" spans="1:14" outlineLevel="1" x14ac:dyDescent="0.3">
      <c r="B34" s="9" t="s">
        <v>1081</v>
      </c>
      <c r="C34" s="9" t="s">
        <v>437</v>
      </c>
      <c r="D34" s="38"/>
      <c r="E34" s="4">
        <v>5.0076961999999998</v>
      </c>
      <c r="F34" s="4">
        <v>-2.4197220000000002</v>
      </c>
      <c r="G34" s="69" t="s">
        <v>560</v>
      </c>
      <c r="H34" s="37"/>
      <c r="I34" s="4">
        <v>155</v>
      </c>
      <c r="J34" s="69" t="s">
        <v>1094</v>
      </c>
      <c r="N34" s="2" t="s">
        <v>4</v>
      </c>
    </row>
    <row r="35" spans="1:14" s="21" customFormat="1" outlineLevel="1" x14ac:dyDescent="0.3">
      <c r="B35" s="23" t="s">
        <v>294</v>
      </c>
      <c r="C35" s="23" t="s">
        <v>437</v>
      </c>
      <c r="D35" s="38"/>
      <c r="E35" s="22">
        <v>10.9234603770949</v>
      </c>
      <c r="F35" s="22">
        <v>-1.0550308227448899</v>
      </c>
      <c r="G35" s="68" t="s">
        <v>437</v>
      </c>
      <c r="H35" s="37"/>
      <c r="I35" s="22">
        <v>2.5</v>
      </c>
      <c r="J35" s="68" t="s">
        <v>437</v>
      </c>
      <c r="K35" s="69"/>
      <c r="L35" s="97"/>
      <c r="M35" s="69"/>
      <c r="N35" s="21" t="s">
        <v>4</v>
      </c>
    </row>
    <row r="36" spans="1:14" x14ac:dyDescent="0.3">
      <c r="D36" s="38"/>
      <c r="H36" s="37"/>
    </row>
    <row r="37" spans="1:14" x14ac:dyDescent="0.3">
      <c r="D37" s="38"/>
      <c r="H37" s="37"/>
    </row>
    <row r="38" spans="1:14" ht="14.5" thickBot="1" x14ac:dyDescent="0.35">
      <c r="B38" s="7" t="s">
        <v>22</v>
      </c>
      <c r="C38" s="7"/>
      <c r="D38" s="38"/>
      <c r="E38" s="8"/>
      <c r="F38" s="8"/>
      <c r="G38" s="126"/>
      <c r="H38" s="37"/>
      <c r="I38" s="8"/>
      <c r="J38" s="126"/>
      <c r="L38" s="130"/>
      <c r="N38" s="7"/>
    </row>
    <row r="39" spans="1:14" s="21" customFormat="1" outlineLevel="1" x14ac:dyDescent="0.3">
      <c r="A39" s="2"/>
      <c r="B39" s="21" t="s">
        <v>392</v>
      </c>
      <c r="D39" s="38"/>
      <c r="E39" s="22">
        <v>11.827624</v>
      </c>
      <c r="F39" s="22">
        <v>-15.668813</v>
      </c>
      <c r="G39" s="68" t="s">
        <v>560</v>
      </c>
      <c r="H39" s="37"/>
      <c r="I39" s="22">
        <f>10+20</f>
        <v>30</v>
      </c>
      <c r="J39" s="68" t="s">
        <v>1095</v>
      </c>
      <c r="K39" s="69"/>
      <c r="L39" s="97"/>
      <c r="M39" s="69"/>
      <c r="N39" s="21" t="s">
        <v>4</v>
      </c>
    </row>
    <row r="40" spans="1:14" s="21" customFormat="1" outlineLevel="1" x14ac:dyDescent="0.3">
      <c r="B40" s="21" t="s">
        <v>340</v>
      </c>
      <c r="D40" s="38"/>
      <c r="E40" s="22">
        <v>12.262596</v>
      </c>
      <c r="F40" s="22">
        <v>-14.442634</v>
      </c>
      <c r="G40" s="68" t="s">
        <v>560</v>
      </c>
      <c r="H40" s="37"/>
      <c r="I40" s="22">
        <v>5</v>
      </c>
      <c r="J40" s="68" t="s">
        <v>1097</v>
      </c>
      <c r="K40" s="69"/>
      <c r="L40" s="97"/>
      <c r="M40" s="69"/>
      <c r="N40" s="21" t="s">
        <v>4</v>
      </c>
    </row>
    <row r="41" spans="1:14" x14ac:dyDescent="0.3">
      <c r="B41" s="1"/>
      <c r="C41" s="1"/>
      <c r="D41" s="38"/>
      <c r="H41" s="37"/>
      <c r="I41" s="47"/>
      <c r="J41" s="128"/>
      <c r="L41" s="131"/>
    </row>
    <row r="42" spans="1:14" x14ac:dyDescent="0.3">
      <c r="D42" s="38"/>
      <c r="H42" s="37"/>
    </row>
    <row r="43" spans="1:14" ht="14.5" thickBot="1" x14ac:dyDescent="0.35">
      <c r="B43" s="7" t="s">
        <v>7</v>
      </c>
      <c r="C43" s="7"/>
      <c r="D43" s="38"/>
      <c r="E43" s="8"/>
      <c r="F43" s="8"/>
      <c r="G43" s="126"/>
      <c r="H43" s="37"/>
      <c r="I43" s="8"/>
      <c r="J43" s="126"/>
      <c r="L43" s="130"/>
      <c r="N43" s="7"/>
    </row>
    <row r="44" spans="1:14" outlineLevel="1" x14ac:dyDescent="0.3">
      <c r="B44" s="2" t="s">
        <v>269</v>
      </c>
      <c r="C44" s="2" t="s">
        <v>440</v>
      </c>
      <c r="D44" s="38"/>
      <c r="E44" s="4">
        <v>10.382209</v>
      </c>
      <c r="F44" s="4">
        <v>-9.3120879999999993</v>
      </c>
      <c r="G44" s="68" t="s">
        <v>560</v>
      </c>
      <c r="H44" s="37"/>
      <c r="I44" s="4">
        <v>8</v>
      </c>
      <c r="J44" s="69" t="s">
        <v>440</v>
      </c>
      <c r="N44" s="2" t="s">
        <v>4</v>
      </c>
    </row>
    <row r="45" spans="1:14" s="21" customFormat="1" outlineLevel="1" x14ac:dyDescent="0.3">
      <c r="B45" s="21" t="s">
        <v>270</v>
      </c>
      <c r="C45" s="2" t="s">
        <v>440</v>
      </c>
      <c r="D45" s="38"/>
      <c r="E45" s="22">
        <v>9.2693049999999992</v>
      </c>
      <c r="F45" s="22">
        <v>-9.0090990000000009</v>
      </c>
      <c r="G45" s="68" t="s">
        <v>560</v>
      </c>
      <c r="H45" s="37"/>
      <c r="I45" s="22">
        <v>1</v>
      </c>
      <c r="J45" s="68" t="s">
        <v>440</v>
      </c>
      <c r="K45" s="69"/>
      <c r="L45" s="97"/>
      <c r="M45" s="69"/>
      <c r="N45" s="21" t="s">
        <v>4</v>
      </c>
    </row>
    <row r="46" spans="1:14" outlineLevel="1" x14ac:dyDescent="0.3">
      <c r="B46" s="2" t="s">
        <v>339</v>
      </c>
      <c r="C46" s="2" t="s">
        <v>440</v>
      </c>
      <c r="D46" s="38"/>
      <c r="E46" s="4">
        <v>10.041518</v>
      </c>
      <c r="F46" s="4">
        <v>-12.863832</v>
      </c>
      <c r="G46" s="68" t="s">
        <v>560</v>
      </c>
      <c r="H46" s="37"/>
      <c r="I46" s="4">
        <v>80</v>
      </c>
      <c r="J46" s="69" t="s">
        <v>440</v>
      </c>
      <c r="N46" s="2" t="s">
        <v>4</v>
      </c>
    </row>
    <row r="47" spans="1:14" s="21" customFormat="1" outlineLevel="1" x14ac:dyDescent="0.3">
      <c r="B47" s="21" t="s">
        <v>271</v>
      </c>
      <c r="C47" s="2" t="s">
        <v>440</v>
      </c>
      <c r="D47" s="38"/>
      <c r="E47" s="22">
        <v>10.648008000000001</v>
      </c>
      <c r="F47" s="22">
        <v>-9.8826429999999998</v>
      </c>
      <c r="G47" s="68" t="s">
        <v>560</v>
      </c>
      <c r="H47" s="37"/>
      <c r="I47" s="22">
        <v>1</v>
      </c>
      <c r="J47" s="68" t="s">
        <v>440</v>
      </c>
      <c r="K47" s="69"/>
      <c r="L47" s="97"/>
      <c r="M47" s="69"/>
      <c r="N47" s="21" t="s">
        <v>4</v>
      </c>
    </row>
    <row r="48" spans="1:14" s="21" customFormat="1" outlineLevel="1" x14ac:dyDescent="0.3">
      <c r="B48" s="21" t="s">
        <v>272</v>
      </c>
      <c r="C48" s="2" t="s">
        <v>440</v>
      </c>
      <c r="D48" s="38"/>
      <c r="E48" s="22">
        <v>10.616600999999999</v>
      </c>
      <c r="F48" s="22">
        <v>-8.6929569999999998</v>
      </c>
      <c r="G48" s="68" t="s">
        <v>560</v>
      </c>
      <c r="H48" s="37"/>
      <c r="I48" s="22">
        <v>1</v>
      </c>
      <c r="J48" s="68" t="s">
        <v>440</v>
      </c>
      <c r="K48" s="69"/>
      <c r="L48" s="97"/>
      <c r="M48" s="69"/>
      <c r="N48" s="21" t="s">
        <v>4</v>
      </c>
    </row>
    <row r="49" spans="1:14" s="21" customFormat="1" outlineLevel="1" x14ac:dyDescent="0.3">
      <c r="B49" s="21" t="s">
        <v>267</v>
      </c>
      <c r="C49" s="21" t="s">
        <v>437</v>
      </c>
      <c r="D49" s="38"/>
      <c r="E49" s="22">
        <v>9.5787870099998909</v>
      </c>
      <c r="F49" s="22">
        <v>-13.595340791364</v>
      </c>
      <c r="G49" s="68" t="s">
        <v>437</v>
      </c>
      <c r="H49" s="37"/>
      <c r="I49" s="22">
        <v>0.02</v>
      </c>
      <c r="J49" s="68" t="s">
        <v>437</v>
      </c>
      <c r="K49" s="69"/>
      <c r="L49" s="97"/>
      <c r="M49" s="69"/>
      <c r="N49" s="21" t="s">
        <v>1231</v>
      </c>
    </row>
    <row r="50" spans="1:14" s="21" customFormat="1" outlineLevel="1" x14ac:dyDescent="0.3">
      <c r="B50" s="21" t="s">
        <v>268</v>
      </c>
      <c r="C50" s="21" t="s">
        <v>437</v>
      </c>
      <c r="D50" s="38"/>
      <c r="E50" s="22">
        <v>9.7911860092971903</v>
      </c>
      <c r="F50" s="22">
        <v>-13.531654358958001</v>
      </c>
      <c r="G50" s="68" t="s">
        <v>437</v>
      </c>
      <c r="H50" s="37"/>
      <c r="I50" s="22">
        <v>1.4999999999999999E-2</v>
      </c>
      <c r="J50" s="68" t="s">
        <v>437</v>
      </c>
      <c r="K50" s="69"/>
      <c r="L50" s="97"/>
      <c r="M50" s="69"/>
      <c r="N50" s="21" t="s">
        <v>1231</v>
      </c>
    </row>
    <row r="51" spans="1:14" x14ac:dyDescent="0.3">
      <c r="D51" s="38"/>
      <c r="H51" s="37"/>
    </row>
    <row r="52" spans="1:14" x14ac:dyDescent="0.3">
      <c r="D52" s="38"/>
      <c r="H52" s="37"/>
    </row>
    <row r="53" spans="1:14" ht="14.5" thickBot="1" x14ac:dyDescent="0.35">
      <c r="B53" s="7" t="s">
        <v>3</v>
      </c>
      <c r="C53" s="7"/>
      <c r="D53" s="38"/>
      <c r="E53" s="8"/>
      <c r="F53" s="8"/>
      <c r="G53" s="126"/>
      <c r="H53" s="37"/>
      <c r="I53" s="8"/>
      <c r="J53" s="126"/>
      <c r="L53" s="130"/>
      <c r="N53" s="7"/>
    </row>
    <row r="54" spans="1:14" outlineLevel="1" x14ac:dyDescent="0.3">
      <c r="B54" s="2" t="s">
        <v>273</v>
      </c>
      <c r="C54" s="2" t="s">
        <v>437</v>
      </c>
      <c r="D54" s="38"/>
      <c r="E54" s="4">
        <v>12.65</v>
      </c>
      <c r="F54" s="4">
        <v>-8</v>
      </c>
      <c r="G54" s="69" t="s">
        <v>437</v>
      </c>
      <c r="H54" s="37"/>
      <c r="I54" s="4">
        <v>40</v>
      </c>
      <c r="J54" s="69" t="s">
        <v>437</v>
      </c>
      <c r="L54" s="132" t="s">
        <v>1098</v>
      </c>
      <c r="N54" s="2" t="s">
        <v>4</v>
      </c>
    </row>
    <row r="55" spans="1:14" outlineLevel="1" x14ac:dyDescent="0.3">
      <c r="B55" s="2" t="s">
        <v>274</v>
      </c>
      <c r="C55" s="2" t="s">
        <v>437</v>
      </c>
      <c r="D55" s="38"/>
      <c r="E55" s="4">
        <v>14.483000000000001</v>
      </c>
      <c r="F55" s="4">
        <v>-4.1829999999999901</v>
      </c>
      <c r="G55" s="69" t="s">
        <v>437</v>
      </c>
      <c r="H55" s="37"/>
      <c r="I55" s="4">
        <v>20</v>
      </c>
      <c r="J55" s="69" t="s">
        <v>437</v>
      </c>
      <c r="L55" s="132" t="s">
        <v>1099</v>
      </c>
      <c r="N55" s="2" t="s">
        <v>4</v>
      </c>
    </row>
    <row r="56" spans="1:14" outlineLevel="1" x14ac:dyDescent="0.3">
      <c r="B56" s="2" t="s">
        <v>275</v>
      </c>
      <c r="C56" s="2" t="s">
        <v>437</v>
      </c>
      <c r="D56" s="38"/>
      <c r="E56" s="4">
        <v>16.273258155667001</v>
      </c>
      <c r="F56" s="4">
        <v>-5.06615638727329E-2</v>
      </c>
      <c r="G56" s="69" t="s">
        <v>437</v>
      </c>
      <c r="H56" s="37"/>
      <c r="I56" s="4">
        <v>20</v>
      </c>
      <c r="J56" s="69" t="s">
        <v>437</v>
      </c>
      <c r="L56" s="132" t="s">
        <v>1203</v>
      </c>
      <c r="N56" s="2" t="s">
        <v>4</v>
      </c>
    </row>
    <row r="57" spans="1:14" outlineLevel="1" x14ac:dyDescent="0.3">
      <c r="B57" s="2" t="s">
        <v>320</v>
      </c>
      <c r="D57" s="38"/>
      <c r="E57" s="4">
        <v>11.32189</v>
      </c>
      <c r="F57" s="4">
        <v>-5.6935149999999997</v>
      </c>
      <c r="G57" s="69" t="s">
        <v>560</v>
      </c>
      <c r="H57" s="37"/>
      <c r="I57" s="4">
        <v>50</v>
      </c>
      <c r="J57" s="69" t="s">
        <v>1113</v>
      </c>
      <c r="N57" s="2" t="s">
        <v>4</v>
      </c>
    </row>
    <row r="58" spans="1:14" outlineLevel="1" x14ac:dyDescent="0.3">
      <c r="B58" s="2" t="s">
        <v>321</v>
      </c>
      <c r="D58" s="38"/>
      <c r="E58" s="4">
        <v>12.381116</v>
      </c>
      <c r="F58" s="4">
        <v>-5.4608299999999996</v>
      </c>
      <c r="G58" s="69" t="s">
        <v>560</v>
      </c>
      <c r="H58" s="37"/>
      <c r="I58" s="4">
        <v>25</v>
      </c>
      <c r="J58" s="69" t="s">
        <v>1113</v>
      </c>
      <c r="N58" s="2" t="s">
        <v>4</v>
      </c>
    </row>
    <row r="59" spans="1:14" outlineLevel="1" x14ac:dyDescent="0.3">
      <c r="B59" s="2" t="s">
        <v>322</v>
      </c>
      <c r="D59" s="38"/>
      <c r="E59" s="4">
        <v>13.439634</v>
      </c>
      <c r="F59" s="4">
        <v>-6.2373940000000001</v>
      </c>
      <c r="G59" s="69" t="s">
        <v>560</v>
      </c>
      <c r="H59" s="37"/>
      <c r="I59" s="4">
        <v>33</v>
      </c>
      <c r="J59" s="69" t="s">
        <v>1113</v>
      </c>
      <c r="N59" s="2" t="s">
        <v>4</v>
      </c>
    </row>
    <row r="60" spans="1:14" outlineLevel="1" x14ac:dyDescent="0.3">
      <c r="B60" s="2" t="s">
        <v>323</v>
      </c>
      <c r="D60" s="38"/>
      <c r="E60" s="4">
        <v>13.031333999999999</v>
      </c>
      <c r="F60" s="4">
        <v>-9.4840239999999998</v>
      </c>
      <c r="G60" s="69" t="s">
        <v>560</v>
      </c>
      <c r="H60" s="37"/>
      <c r="I60" s="4">
        <v>50</v>
      </c>
      <c r="J60" s="69" t="s">
        <v>1113</v>
      </c>
      <c r="N60" s="2" t="s">
        <v>4</v>
      </c>
    </row>
    <row r="61" spans="1:14" outlineLevel="1" x14ac:dyDescent="0.3">
      <c r="B61" s="2" t="s">
        <v>324</v>
      </c>
      <c r="D61" s="38"/>
      <c r="E61" s="4">
        <v>12.789349</v>
      </c>
      <c r="F61" s="4">
        <v>-6.946701</v>
      </c>
      <c r="G61" s="69" t="s">
        <v>560</v>
      </c>
      <c r="H61" s="37"/>
      <c r="I61" s="4">
        <v>50</v>
      </c>
      <c r="J61" s="69" t="s">
        <v>1113</v>
      </c>
      <c r="N61" s="2" t="s">
        <v>4</v>
      </c>
    </row>
    <row r="62" spans="1:14" s="21" customFormat="1" outlineLevel="1" x14ac:dyDescent="0.3">
      <c r="A62" s="2"/>
      <c r="B62" s="21" t="s">
        <v>277</v>
      </c>
      <c r="D62" s="38"/>
      <c r="E62" s="22">
        <v>14.690884</v>
      </c>
      <c r="F62" s="22">
        <v>-6.0123939999999996</v>
      </c>
      <c r="G62" s="69" t="s">
        <v>560</v>
      </c>
      <c r="H62" s="37"/>
      <c r="I62" s="22"/>
      <c r="J62" s="68"/>
      <c r="K62" s="69"/>
      <c r="L62" s="97" t="s">
        <v>1116</v>
      </c>
      <c r="M62" s="69"/>
      <c r="N62" s="21" t="s">
        <v>4</v>
      </c>
    </row>
    <row r="63" spans="1:14" s="21" customFormat="1" outlineLevel="1" x14ac:dyDescent="0.3">
      <c r="B63" s="21" t="s">
        <v>278</v>
      </c>
      <c r="D63" s="38"/>
      <c r="E63" s="22">
        <v>13.613999</v>
      </c>
      <c r="F63" s="22">
        <v>-8.0211919999999992</v>
      </c>
      <c r="G63" s="69" t="s">
        <v>560</v>
      </c>
      <c r="H63" s="37"/>
      <c r="I63" s="22"/>
      <c r="J63" s="68"/>
      <c r="K63" s="69"/>
      <c r="L63" s="97" t="s">
        <v>1117</v>
      </c>
      <c r="M63" s="69"/>
      <c r="N63" s="21" t="s">
        <v>4</v>
      </c>
    </row>
    <row r="64" spans="1:14" s="21" customFormat="1" outlineLevel="1" x14ac:dyDescent="0.3">
      <c r="B64" s="21" t="s">
        <v>279</v>
      </c>
      <c r="D64" s="38"/>
      <c r="E64" s="22">
        <v>12.666487</v>
      </c>
      <c r="F64" s="22">
        <v>-5.717676</v>
      </c>
      <c r="G64" s="69" t="s">
        <v>560</v>
      </c>
      <c r="H64" s="37"/>
      <c r="I64" s="22"/>
      <c r="J64" s="68"/>
      <c r="K64" s="69"/>
      <c r="L64" s="97" t="s">
        <v>1118</v>
      </c>
      <c r="M64" s="69"/>
      <c r="N64" s="21" t="s">
        <v>4</v>
      </c>
    </row>
    <row r="65" spans="2:14" s="21" customFormat="1" outlineLevel="1" x14ac:dyDescent="0.3">
      <c r="B65" s="21" t="s">
        <v>280</v>
      </c>
      <c r="D65" s="38"/>
      <c r="E65" s="22">
        <v>15.943163</v>
      </c>
      <c r="F65" s="22">
        <v>-3.9917319999999998</v>
      </c>
      <c r="G65" s="69" t="s">
        <v>560</v>
      </c>
      <c r="H65" s="37"/>
      <c r="I65" s="22"/>
      <c r="J65" s="68"/>
      <c r="K65" s="69"/>
      <c r="L65" s="97" t="s">
        <v>1119</v>
      </c>
      <c r="M65" s="69"/>
      <c r="N65" s="21" t="s">
        <v>4</v>
      </c>
    </row>
    <row r="66" spans="2:14" s="21" customFormat="1" outlineLevel="1" x14ac:dyDescent="0.3">
      <c r="B66" s="21" t="s">
        <v>281</v>
      </c>
      <c r="D66" s="38"/>
      <c r="E66" s="22">
        <v>13.295321</v>
      </c>
      <c r="F66" s="22">
        <v>-4.8986330000000002</v>
      </c>
      <c r="G66" s="69" t="s">
        <v>560</v>
      </c>
      <c r="H66" s="37"/>
      <c r="I66" s="22"/>
      <c r="J66" s="68"/>
      <c r="K66" s="69"/>
      <c r="L66" s="97" t="s">
        <v>1120</v>
      </c>
      <c r="M66" s="69"/>
      <c r="N66" s="21" t="s">
        <v>4</v>
      </c>
    </row>
    <row r="67" spans="2:14" x14ac:dyDescent="0.3">
      <c r="D67" s="38"/>
      <c r="H67" s="37"/>
    </row>
    <row r="68" spans="2:14" x14ac:dyDescent="0.3">
      <c r="D68" s="38"/>
      <c r="H68" s="37"/>
    </row>
    <row r="69" spans="2:14" ht="14.5" thickBot="1" x14ac:dyDescent="0.35">
      <c r="B69" s="7" t="s">
        <v>25</v>
      </c>
      <c r="C69" s="7"/>
      <c r="D69" s="38"/>
      <c r="E69" s="8"/>
      <c r="F69" s="8"/>
      <c r="G69" s="126"/>
      <c r="H69" s="37"/>
      <c r="I69" s="8"/>
      <c r="J69" s="126"/>
      <c r="L69" s="130"/>
      <c r="N69" s="7"/>
    </row>
    <row r="70" spans="2:14" s="21" customFormat="1" outlineLevel="1" x14ac:dyDescent="0.3">
      <c r="B70" s="21" t="s">
        <v>391</v>
      </c>
      <c r="C70" s="21" t="s">
        <v>1105</v>
      </c>
      <c r="D70" s="38"/>
      <c r="E70" s="22">
        <v>13.964925077059</v>
      </c>
      <c r="F70" s="22">
        <v>5.51999473623769</v>
      </c>
      <c r="G70" s="68" t="s">
        <v>437</v>
      </c>
      <c r="H70" s="37"/>
      <c r="I70" s="22">
        <v>20</v>
      </c>
      <c r="J70" s="68" t="s">
        <v>1105</v>
      </c>
      <c r="K70" s="69"/>
      <c r="L70" s="97" t="s">
        <v>1129</v>
      </c>
      <c r="M70" s="69"/>
      <c r="N70" s="21" t="s">
        <v>1231</v>
      </c>
    </row>
    <row r="71" spans="2:14" s="21" customFormat="1" outlineLevel="1" x14ac:dyDescent="0.3">
      <c r="B71" s="21" t="s">
        <v>299</v>
      </c>
      <c r="D71" s="38"/>
      <c r="E71" s="22">
        <v>13.450417</v>
      </c>
      <c r="F71" s="22">
        <v>2.1166749999999999</v>
      </c>
      <c r="G71" s="68" t="s">
        <v>560</v>
      </c>
      <c r="H71" s="37"/>
      <c r="I71" s="22">
        <v>20</v>
      </c>
      <c r="J71" s="68" t="s">
        <v>1130</v>
      </c>
      <c r="K71" s="69"/>
      <c r="L71" s="97"/>
      <c r="M71" s="69"/>
      <c r="N71" s="21" t="s">
        <v>4</v>
      </c>
    </row>
    <row r="72" spans="2:14" s="21" customFormat="1" outlineLevel="1" x14ac:dyDescent="0.3">
      <c r="B72" s="21" t="s">
        <v>300</v>
      </c>
      <c r="D72" s="38"/>
      <c r="E72" s="22">
        <v>16.974043999999999</v>
      </c>
      <c r="F72" s="22">
        <v>7.9882109999999997</v>
      </c>
      <c r="G72" s="68" t="s">
        <v>560</v>
      </c>
      <c r="H72" s="37"/>
      <c r="I72" s="22">
        <v>18</v>
      </c>
      <c r="J72" s="68" t="s">
        <v>1131</v>
      </c>
      <c r="K72" s="69"/>
      <c r="L72" s="97" t="s">
        <v>1204</v>
      </c>
      <c r="M72" s="69"/>
      <c r="N72" s="21" t="s">
        <v>4</v>
      </c>
    </row>
    <row r="73" spans="2:14" s="21" customFormat="1" outlineLevel="1" x14ac:dyDescent="0.3">
      <c r="B73" s="21" t="s">
        <v>301</v>
      </c>
      <c r="D73" s="38"/>
      <c r="E73" s="22">
        <v>13.050853</v>
      </c>
      <c r="F73" s="22">
        <v>3.2058149999999999</v>
      </c>
      <c r="G73" s="68" t="s">
        <v>560</v>
      </c>
      <c r="H73" s="37"/>
      <c r="I73" s="22">
        <v>10</v>
      </c>
      <c r="J73" s="68" t="s">
        <v>1131</v>
      </c>
      <c r="K73" s="69"/>
      <c r="L73" s="97"/>
      <c r="M73" s="69"/>
      <c r="N73" s="21" t="s">
        <v>4</v>
      </c>
    </row>
    <row r="74" spans="2:14" s="21" customFormat="1" outlineLevel="1" x14ac:dyDescent="0.3">
      <c r="B74" s="21" t="s">
        <v>302</v>
      </c>
      <c r="D74" s="38"/>
      <c r="E74" s="22">
        <v>13.500283</v>
      </c>
      <c r="F74" s="22">
        <v>7.1058399999999997</v>
      </c>
      <c r="G74" s="68" t="s">
        <v>560</v>
      </c>
      <c r="H74" s="37"/>
      <c r="I74" s="22">
        <v>20</v>
      </c>
      <c r="J74" s="68" t="s">
        <v>1131</v>
      </c>
      <c r="K74" s="69"/>
      <c r="L74" s="97"/>
      <c r="M74" s="69"/>
      <c r="N74" s="21" t="s">
        <v>4</v>
      </c>
    </row>
    <row r="75" spans="2:14" x14ac:dyDescent="0.3">
      <c r="D75" s="38"/>
      <c r="H75" s="37"/>
    </row>
    <row r="76" spans="2:14" x14ac:dyDescent="0.3">
      <c r="D76" s="38"/>
      <c r="H76" s="37"/>
    </row>
    <row r="77" spans="2:14" ht="14.5" thickBot="1" x14ac:dyDescent="0.35">
      <c r="B77" s="7" t="s">
        <v>35</v>
      </c>
      <c r="C77" s="7"/>
      <c r="D77" s="38"/>
      <c r="E77" s="8"/>
      <c r="F77" s="8"/>
      <c r="G77" s="126"/>
      <c r="H77" s="37"/>
      <c r="I77" s="8"/>
      <c r="J77" s="126"/>
      <c r="L77" s="130"/>
      <c r="N77" s="7"/>
    </row>
    <row r="78" spans="2:14" outlineLevel="1" x14ac:dyDescent="0.3">
      <c r="B78" s="2" t="s">
        <v>262</v>
      </c>
      <c r="C78" s="2" t="s">
        <v>437</v>
      </c>
      <c r="D78" s="38"/>
      <c r="E78" s="4">
        <v>8.8431867878428907</v>
      </c>
      <c r="F78" s="4">
        <v>8.1297784918599891</v>
      </c>
      <c r="G78" s="42" t="s">
        <v>437</v>
      </c>
      <c r="H78" s="37"/>
      <c r="I78" s="4">
        <v>50</v>
      </c>
      <c r="J78" s="69" t="s">
        <v>437</v>
      </c>
      <c r="N78" s="2" t="s">
        <v>4</v>
      </c>
    </row>
    <row r="79" spans="2:14" outlineLevel="1" x14ac:dyDescent="0.3">
      <c r="B79" s="2" t="s">
        <v>264</v>
      </c>
      <c r="C79" s="2" t="s">
        <v>437</v>
      </c>
      <c r="D79" s="38"/>
      <c r="E79" s="4">
        <v>10.8523105125089</v>
      </c>
      <c r="F79" s="4">
        <v>10.1676737453089</v>
      </c>
      <c r="G79" s="42" t="s">
        <v>437</v>
      </c>
      <c r="H79" s="37"/>
      <c r="I79" s="4">
        <v>135</v>
      </c>
      <c r="J79" s="69" t="s">
        <v>437</v>
      </c>
      <c r="N79" s="2" t="s">
        <v>4</v>
      </c>
    </row>
    <row r="80" spans="2:14" outlineLevel="1" x14ac:dyDescent="0.3">
      <c r="B80" s="2" t="s">
        <v>265</v>
      </c>
      <c r="C80" s="2" t="s">
        <v>437</v>
      </c>
      <c r="D80" s="38"/>
      <c r="E80" s="4">
        <v>12.985296784231</v>
      </c>
      <c r="F80" s="4">
        <v>7.6085118076269902</v>
      </c>
      <c r="G80" s="42" t="s">
        <v>437</v>
      </c>
      <c r="H80" s="37"/>
      <c r="I80" s="4">
        <v>75</v>
      </c>
      <c r="J80" s="69" t="s">
        <v>437</v>
      </c>
      <c r="N80" s="2" t="s">
        <v>4</v>
      </c>
    </row>
    <row r="81" spans="2:14" outlineLevel="1" x14ac:dyDescent="0.3">
      <c r="B81" s="2" t="s">
        <v>325</v>
      </c>
      <c r="D81" s="38"/>
      <c r="E81" s="4">
        <v>9.9759840000000004</v>
      </c>
      <c r="F81" s="4">
        <v>6.8355829999999997</v>
      </c>
      <c r="G81" s="69" t="s">
        <v>560</v>
      </c>
      <c r="H81" s="37"/>
      <c r="I81" s="4">
        <v>300</v>
      </c>
      <c r="J81" s="69" t="s">
        <v>1133</v>
      </c>
      <c r="N81" s="2" t="s">
        <v>4</v>
      </c>
    </row>
    <row r="82" spans="2:14" outlineLevel="1" x14ac:dyDescent="0.3">
      <c r="B82" s="2" t="s">
        <v>343</v>
      </c>
      <c r="D82" s="38"/>
      <c r="E82" s="4">
        <v>6.457192</v>
      </c>
      <c r="F82" s="4">
        <v>7.5391810000000001</v>
      </c>
      <c r="G82" s="69" t="s">
        <v>560</v>
      </c>
      <c r="H82" s="37"/>
      <c r="I82" s="4">
        <f>100+300</f>
        <v>400</v>
      </c>
      <c r="J82" s="69" t="s">
        <v>1133</v>
      </c>
      <c r="N82" s="2" t="s">
        <v>4</v>
      </c>
    </row>
    <row r="83" spans="2:14" outlineLevel="1" x14ac:dyDescent="0.3">
      <c r="B83" s="2" t="s">
        <v>326</v>
      </c>
      <c r="D83" s="38"/>
      <c r="E83" s="4">
        <v>10.508100000000001</v>
      </c>
      <c r="F83" s="4">
        <v>7.4178790000000001</v>
      </c>
      <c r="G83" s="69" t="s">
        <v>560</v>
      </c>
      <c r="H83" s="37"/>
      <c r="I83" s="4">
        <v>50</v>
      </c>
      <c r="J83" s="69" t="s">
        <v>1133</v>
      </c>
      <c r="N83" s="2" t="s">
        <v>4</v>
      </c>
    </row>
    <row r="84" spans="2:14" outlineLevel="1" x14ac:dyDescent="0.3">
      <c r="B84" s="2" t="s">
        <v>327</v>
      </c>
      <c r="D84" s="38"/>
      <c r="E84" s="4">
        <v>12.570193</v>
      </c>
      <c r="F84" s="4">
        <v>8.9389299999999992</v>
      </c>
      <c r="G84" s="69" t="s">
        <v>560</v>
      </c>
      <c r="H84" s="37"/>
      <c r="I84" s="4">
        <v>50</v>
      </c>
      <c r="J84" s="69" t="s">
        <v>1133</v>
      </c>
      <c r="N84" s="2" t="s">
        <v>4</v>
      </c>
    </row>
    <row r="85" spans="2:14" outlineLevel="1" x14ac:dyDescent="0.3">
      <c r="B85" s="2" t="s">
        <v>328</v>
      </c>
      <c r="D85" s="38"/>
      <c r="E85" s="4">
        <v>6.2048030000000001</v>
      </c>
      <c r="F85" s="4">
        <v>6.7007779999999997</v>
      </c>
      <c r="G85" s="69" t="s">
        <v>560</v>
      </c>
      <c r="H85" s="37"/>
      <c r="I85" s="4">
        <v>3000</v>
      </c>
      <c r="J85" s="69" t="s">
        <v>1133</v>
      </c>
      <c r="N85" s="2" t="s">
        <v>4</v>
      </c>
    </row>
    <row r="86" spans="2:14" outlineLevel="1" x14ac:dyDescent="0.3">
      <c r="B86" s="2" t="s">
        <v>329</v>
      </c>
      <c r="D86" s="38"/>
      <c r="E86" s="4">
        <v>8.493976</v>
      </c>
      <c r="F86" s="4">
        <v>4.5955919999999999</v>
      </c>
      <c r="G86" s="69" t="s">
        <v>560</v>
      </c>
      <c r="H86" s="37"/>
      <c r="I86" s="4">
        <v>500</v>
      </c>
      <c r="J86" s="69" t="s">
        <v>1133</v>
      </c>
      <c r="N86" s="2" t="s">
        <v>4</v>
      </c>
    </row>
    <row r="87" spans="2:14" outlineLevel="1" x14ac:dyDescent="0.3">
      <c r="B87" s="2" t="s">
        <v>330</v>
      </c>
      <c r="D87" s="38"/>
      <c r="E87" s="4">
        <v>7.8028399999999998</v>
      </c>
      <c r="F87" s="4">
        <v>6.7361170000000001</v>
      </c>
      <c r="G87" s="69" t="s">
        <v>560</v>
      </c>
      <c r="H87" s="37"/>
      <c r="I87" s="4">
        <v>1000</v>
      </c>
      <c r="J87" s="69" t="s">
        <v>1133</v>
      </c>
      <c r="N87" s="2" t="s">
        <v>4</v>
      </c>
    </row>
    <row r="88" spans="2:14" outlineLevel="1" x14ac:dyDescent="0.3">
      <c r="B88" s="2" t="s">
        <v>331</v>
      </c>
      <c r="D88" s="38"/>
      <c r="E88" s="4">
        <v>9.4090500000000006</v>
      </c>
      <c r="F88" s="4">
        <v>9.21204</v>
      </c>
      <c r="G88" s="69" t="s">
        <v>560</v>
      </c>
      <c r="H88" s="37"/>
      <c r="I88" s="4">
        <v>70</v>
      </c>
      <c r="J88" s="69" t="s">
        <v>1133</v>
      </c>
      <c r="N88" s="2" t="s">
        <v>4</v>
      </c>
    </row>
    <row r="89" spans="2:14" outlineLevel="1" x14ac:dyDescent="0.3">
      <c r="B89" s="2" t="s">
        <v>332</v>
      </c>
      <c r="D89" s="38"/>
      <c r="E89" s="4">
        <v>11.701591000000001</v>
      </c>
      <c r="F89" s="4">
        <v>9.3347840000000009</v>
      </c>
      <c r="G89" s="69" t="s">
        <v>560</v>
      </c>
      <c r="H89" s="37"/>
      <c r="I89" s="4">
        <v>100</v>
      </c>
      <c r="J89" s="69" t="s">
        <v>1133</v>
      </c>
      <c r="N89" s="2" t="s">
        <v>4</v>
      </c>
    </row>
    <row r="90" spans="2:14" outlineLevel="1" x14ac:dyDescent="0.3">
      <c r="B90" s="2" t="s">
        <v>333</v>
      </c>
      <c r="D90" s="38"/>
      <c r="E90" s="4">
        <v>9.6672790000000006</v>
      </c>
      <c r="F90" s="4">
        <v>8.5144780000000004</v>
      </c>
      <c r="G90" s="69" t="s">
        <v>560</v>
      </c>
      <c r="H90" s="37"/>
      <c r="I90" s="4">
        <v>50</v>
      </c>
      <c r="J90" s="69" t="s">
        <v>1133</v>
      </c>
      <c r="N90" s="2" t="s">
        <v>4</v>
      </c>
    </row>
    <row r="91" spans="2:14" outlineLevel="1" x14ac:dyDescent="0.3">
      <c r="B91" s="2" t="s">
        <v>334</v>
      </c>
      <c r="D91" s="38"/>
      <c r="E91" s="4">
        <v>7.9840650000000002</v>
      </c>
      <c r="F91" s="4">
        <v>5.0947719999999999</v>
      </c>
      <c r="G91" s="69" t="s">
        <v>560</v>
      </c>
      <c r="H91" s="37"/>
      <c r="I91" s="4">
        <v>13</v>
      </c>
      <c r="J91" s="69" t="s">
        <v>1133</v>
      </c>
      <c r="N91" s="2" t="s">
        <v>4</v>
      </c>
    </row>
    <row r="92" spans="2:14" outlineLevel="1" x14ac:dyDescent="0.3">
      <c r="B92" s="2" t="s">
        <v>335</v>
      </c>
      <c r="D92" s="38"/>
      <c r="E92" s="4">
        <v>11.928070999999999</v>
      </c>
      <c r="F92" s="4">
        <v>8.5138079999999992</v>
      </c>
      <c r="G92" s="69" t="s">
        <v>560</v>
      </c>
      <c r="H92" s="37"/>
      <c r="I92" s="4">
        <v>50</v>
      </c>
      <c r="J92" s="69" t="s">
        <v>1133</v>
      </c>
      <c r="N92" s="2" t="s">
        <v>4</v>
      </c>
    </row>
    <row r="93" spans="2:14" outlineLevel="1" x14ac:dyDescent="0.3">
      <c r="B93" s="2" t="s">
        <v>39</v>
      </c>
      <c r="D93" s="38"/>
      <c r="E93" s="4">
        <v>7.6109030000000004</v>
      </c>
      <c r="F93" s="4">
        <v>5.2688179999999996</v>
      </c>
      <c r="G93" s="69" t="s">
        <v>560</v>
      </c>
      <c r="H93" s="37"/>
      <c r="I93" s="4">
        <v>125</v>
      </c>
      <c r="J93" s="69" t="s">
        <v>1133</v>
      </c>
      <c r="N93" s="2" t="s">
        <v>4</v>
      </c>
    </row>
    <row r="94" spans="2:14" outlineLevel="1" x14ac:dyDescent="0.3">
      <c r="B94" s="2" t="s">
        <v>336</v>
      </c>
      <c r="D94" s="38"/>
      <c r="E94" s="4">
        <v>8.5471140000000005</v>
      </c>
      <c r="F94" s="4">
        <v>7.7119200000000001</v>
      </c>
      <c r="G94" s="69" t="s">
        <v>560</v>
      </c>
      <c r="H94" s="37"/>
      <c r="I94" s="4">
        <v>150</v>
      </c>
      <c r="J94" s="69" t="s">
        <v>1133</v>
      </c>
      <c r="N94" s="2" t="s">
        <v>4</v>
      </c>
    </row>
    <row r="95" spans="2:14" outlineLevel="1" x14ac:dyDescent="0.3">
      <c r="B95" s="2" t="s">
        <v>337</v>
      </c>
      <c r="D95" s="38"/>
      <c r="E95" s="4">
        <v>13.041854000000001</v>
      </c>
      <c r="F95" s="4">
        <v>5.2411250000000003</v>
      </c>
      <c r="G95" s="69" t="s">
        <v>560</v>
      </c>
      <c r="H95" s="37"/>
      <c r="I95" s="4">
        <v>100</v>
      </c>
      <c r="J95" s="69" t="s">
        <v>1133</v>
      </c>
      <c r="N95" s="2" t="s">
        <v>4</v>
      </c>
    </row>
    <row r="96" spans="2:14" outlineLevel="1" x14ac:dyDescent="0.3">
      <c r="B96" s="2" t="s">
        <v>338</v>
      </c>
      <c r="D96" s="38"/>
      <c r="E96" s="4">
        <v>9.2097219999999993</v>
      </c>
      <c r="F96" s="4">
        <v>12.478020000000001</v>
      </c>
      <c r="G96" s="69" t="s">
        <v>560</v>
      </c>
      <c r="H96" s="37"/>
      <c r="I96" s="4">
        <v>100</v>
      </c>
      <c r="J96" s="69" t="s">
        <v>1133</v>
      </c>
      <c r="N96" s="2" t="s">
        <v>4</v>
      </c>
    </row>
    <row r="97" spans="2:14" x14ac:dyDescent="0.3">
      <c r="D97" s="38"/>
      <c r="H97" s="37"/>
    </row>
    <row r="98" spans="2:14" x14ac:dyDescent="0.3">
      <c r="D98" s="38"/>
      <c r="H98" s="37"/>
    </row>
    <row r="99" spans="2:14" ht="14.5" thickBot="1" x14ac:dyDescent="0.35">
      <c r="B99" s="7" t="s">
        <v>6</v>
      </c>
      <c r="C99" s="7"/>
      <c r="D99" s="38"/>
      <c r="E99" s="8"/>
      <c r="F99" s="8"/>
      <c r="G99" s="126"/>
      <c r="H99" s="37"/>
      <c r="I99" s="8"/>
      <c r="J99" s="126"/>
      <c r="L99" s="130"/>
      <c r="N99" s="7"/>
    </row>
    <row r="100" spans="2:14" s="21" customFormat="1" outlineLevel="1" x14ac:dyDescent="0.3">
      <c r="B100" s="21" t="s">
        <v>345</v>
      </c>
      <c r="C100" s="21" t="s">
        <v>437</v>
      </c>
      <c r="D100" s="38"/>
      <c r="E100" s="22">
        <v>14.743622752004001</v>
      </c>
      <c r="F100" s="22">
        <v>-17.194058418547002</v>
      </c>
      <c r="G100" s="68" t="s">
        <v>437</v>
      </c>
      <c r="H100" s="37"/>
      <c r="I100" s="22">
        <v>2</v>
      </c>
      <c r="J100" s="68" t="s">
        <v>437</v>
      </c>
      <c r="K100" s="69"/>
      <c r="L100" s="97"/>
      <c r="M100" s="69"/>
      <c r="N100" s="21" t="s">
        <v>1231</v>
      </c>
    </row>
    <row r="101" spans="2:14" s="21" customFormat="1" outlineLevel="1" x14ac:dyDescent="0.3">
      <c r="B101" s="21" t="s">
        <v>282</v>
      </c>
      <c r="C101" s="21" t="s">
        <v>437</v>
      </c>
      <c r="D101" s="38"/>
      <c r="E101" s="22">
        <v>14.474583454116001</v>
      </c>
      <c r="F101" s="22">
        <v>-16.936433315279</v>
      </c>
      <c r="G101" s="68" t="s">
        <v>437</v>
      </c>
      <c r="H101" s="37"/>
      <c r="I101" s="4">
        <v>22</v>
      </c>
      <c r="J101" s="68" t="s">
        <v>437</v>
      </c>
      <c r="K101" s="69"/>
      <c r="L101" s="132"/>
      <c r="M101" s="69"/>
      <c r="N101" s="2" t="s">
        <v>1231</v>
      </c>
    </row>
    <row r="102" spans="2:14" s="21" customFormat="1" outlineLevel="1" x14ac:dyDescent="0.3">
      <c r="B102" s="21" t="s">
        <v>283</v>
      </c>
      <c r="C102" s="21" t="s">
        <v>437</v>
      </c>
      <c r="D102" s="38"/>
      <c r="E102" s="22">
        <v>15.129903420247</v>
      </c>
      <c r="F102" s="22">
        <v>-16.676507951927899</v>
      </c>
      <c r="G102" s="68" t="s">
        <v>437</v>
      </c>
      <c r="H102" s="37"/>
      <c r="I102" s="4">
        <v>30</v>
      </c>
      <c r="J102" s="68" t="s">
        <v>437</v>
      </c>
      <c r="K102" s="69"/>
      <c r="L102" s="132"/>
      <c r="M102" s="69"/>
      <c r="N102" s="2" t="s">
        <v>1231</v>
      </c>
    </row>
    <row r="103" spans="2:14" s="21" customFormat="1" outlineLevel="1" x14ac:dyDescent="0.3">
      <c r="B103" s="21" t="s">
        <v>284</v>
      </c>
      <c r="C103" s="21" t="s">
        <v>437</v>
      </c>
      <c r="D103" s="38"/>
      <c r="E103" s="22">
        <v>15.1550347610589</v>
      </c>
      <c r="F103" s="22">
        <v>-16.594393731217</v>
      </c>
      <c r="G103" s="68" t="s">
        <v>437</v>
      </c>
      <c r="H103" s="37"/>
      <c r="I103" s="4">
        <v>30</v>
      </c>
      <c r="J103" s="68" t="s">
        <v>437</v>
      </c>
      <c r="K103" s="69"/>
      <c r="L103" s="132"/>
      <c r="M103" s="69"/>
      <c r="N103" s="2" t="s">
        <v>1231</v>
      </c>
    </row>
    <row r="104" spans="2:14" s="21" customFormat="1" outlineLevel="1" x14ac:dyDescent="0.3">
      <c r="B104" s="21" t="s">
        <v>285</v>
      </c>
      <c r="C104" s="21" t="s">
        <v>437</v>
      </c>
      <c r="D104" s="38"/>
      <c r="E104" s="22">
        <v>16.5146684216529</v>
      </c>
      <c r="F104" s="22">
        <v>-15.4681363111099</v>
      </c>
      <c r="G104" s="68" t="s">
        <v>437</v>
      </c>
      <c r="H104" s="37"/>
      <c r="I104" s="4">
        <v>20</v>
      </c>
      <c r="J104" s="68" t="s">
        <v>437</v>
      </c>
      <c r="K104" s="69"/>
      <c r="L104" s="132"/>
      <c r="M104" s="69"/>
      <c r="N104" s="2" t="s">
        <v>1231</v>
      </c>
    </row>
    <row r="105" spans="2:14" s="21" customFormat="1" outlineLevel="1" x14ac:dyDescent="0.3">
      <c r="B105" s="21" t="s">
        <v>286</v>
      </c>
      <c r="C105" s="21" t="s">
        <v>437</v>
      </c>
      <c r="D105" s="38"/>
      <c r="E105" s="22">
        <v>13.7660575493029</v>
      </c>
      <c r="F105" s="22">
        <v>-13.6669921874989</v>
      </c>
      <c r="G105" s="68" t="s">
        <v>437</v>
      </c>
      <c r="H105" s="37"/>
      <c r="I105" s="22">
        <v>4</v>
      </c>
      <c r="J105" s="68" t="s">
        <v>437</v>
      </c>
      <c r="K105" s="69"/>
      <c r="L105" s="97"/>
      <c r="M105" s="69"/>
      <c r="N105" s="21" t="s">
        <v>4</v>
      </c>
    </row>
    <row r="106" spans="2:14" s="21" customFormat="1" outlineLevel="1" x14ac:dyDescent="0.3">
      <c r="B106" s="21" t="s">
        <v>287</v>
      </c>
      <c r="C106" s="21" t="s">
        <v>1105</v>
      </c>
      <c r="D106" s="38"/>
      <c r="E106" s="22">
        <v>12.58</v>
      </c>
      <c r="F106" s="22">
        <v>-16.283000000000001</v>
      </c>
      <c r="G106" s="68" t="s">
        <v>437</v>
      </c>
      <c r="H106" s="37"/>
      <c r="I106" s="4">
        <v>10</v>
      </c>
      <c r="J106" s="68" t="s">
        <v>437</v>
      </c>
      <c r="K106" s="69"/>
      <c r="L106" s="132" t="s">
        <v>1205</v>
      </c>
      <c r="M106" s="69"/>
      <c r="N106" s="2" t="s">
        <v>4</v>
      </c>
    </row>
    <row r="107" spans="2:14" s="21" customFormat="1" outlineLevel="1" x14ac:dyDescent="0.3">
      <c r="B107" s="21" t="s">
        <v>288</v>
      </c>
      <c r="C107" s="21" t="s">
        <v>437</v>
      </c>
      <c r="D107" s="38"/>
      <c r="E107" s="22">
        <v>15.8571359103309</v>
      </c>
      <c r="F107" s="22">
        <v>-16.2249097818849</v>
      </c>
      <c r="G107" s="68" t="s">
        <v>437</v>
      </c>
      <c r="H107" s="37"/>
      <c r="I107" s="4">
        <v>20</v>
      </c>
      <c r="J107" s="68" t="s">
        <v>437</v>
      </c>
      <c r="K107" s="69"/>
      <c r="L107" s="132" t="s">
        <v>1151</v>
      </c>
      <c r="M107" s="69"/>
      <c r="N107" s="2" t="s">
        <v>1231</v>
      </c>
    </row>
    <row r="108" spans="2:14" s="21" customFormat="1" outlineLevel="1" x14ac:dyDescent="0.3">
      <c r="B108" s="21" t="s">
        <v>290</v>
      </c>
      <c r="C108" s="21" t="s">
        <v>440</v>
      </c>
      <c r="D108" s="38"/>
      <c r="E108" s="22">
        <v>14.637456</v>
      </c>
      <c r="F108" s="22">
        <v>-17.087416000000001</v>
      </c>
      <c r="G108" s="68" t="s">
        <v>560</v>
      </c>
      <c r="H108" s="37"/>
      <c r="I108" s="4">
        <v>15</v>
      </c>
      <c r="J108" s="69" t="s">
        <v>440</v>
      </c>
      <c r="K108" s="69"/>
      <c r="L108" s="132" t="s">
        <v>1007</v>
      </c>
      <c r="M108" s="69"/>
      <c r="N108" s="2" t="s">
        <v>4</v>
      </c>
    </row>
    <row r="109" spans="2:14" s="21" customFormat="1" outlineLevel="1" x14ac:dyDescent="0.3">
      <c r="B109" s="21" t="s">
        <v>291</v>
      </c>
      <c r="D109" s="38"/>
      <c r="E109" s="22">
        <v>14.166288</v>
      </c>
      <c r="F109" s="22">
        <v>-16.076271999999999</v>
      </c>
      <c r="G109" s="68" t="s">
        <v>560</v>
      </c>
      <c r="H109" s="37"/>
      <c r="I109" s="4">
        <v>20</v>
      </c>
      <c r="J109" s="69" t="s">
        <v>1158</v>
      </c>
      <c r="K109" s="69"/>
      <c r="L109" s="132"/>
      <c r="M109" s="69"/>
      <c r="N109" s="2" t="s">
        <v>4</v>
      </c>
    </row>
    <row r="110" spans="2:14" x14ac:dyDescent="0.3">
      <c r="D110" s="38"/>
      <c r="H110" s="37"/>
    </row>
    <row r="111" spans="2:14" ht="14.5" thickBot="1" x14ac:dyDescent="0.35">
      <c r="B111" s="7" t="s">
        <v>15</v>
      </c>
      <c r="C111" s="7"/>
      <c r="D111" s="38"/>
      <c r="E111" s="8"/>
      <c r="F111" s="8"/>
      <c r="G111" s="126"/>
      <c r="H111" s="37"/>
      <c r="I111" s="8"/>
      <c r="J111" s="126"/>
      <c r="L111" s="130"/>
      <c r="N111" s="7"/>
    </row>
    <row r="112" spans="2:14" s="21" customFormat="1" outlineLevel="1" x14ac:dyDescent="0.3">
      <c r="B112" s="21" t="s">
        <v>395</v>
      </c>
      <c r="C112" s="21" t="s">
        <v>437</v>
      </c>
      <c r="D112" s="38"/>
      <c r="E112" s="22">
        <v>8.4342229999999994</v>
      </c>
      <c r="F112" s="22">
        <v>-12.98282</v>
      </c>
      <c r="G112" s="68" t="s">
        <v>437</v>
      </c>
      <c r="H112" s="37"/>
      <c r="I112" s="22">
        <v>6</v>
      </c>
      <c r="J112" s="68" t="s">
        <v>437</v>
      </c>
      <c r="K112" s="69"/>
      <c r="L112" s="97" t="s">
        <v>1159</v>
      </c>
      <c r="M112" s="69"/>
      <c r="N112" s="21" t="s">
        <v>4</v>
      </c>
    </row>
    <row r="113" spans="1:14" s="21" customFormat="1" outlineLevel="1" x14ac:dyDescent="0.3">
      <c r="B113" s="21" t="s">
        <v>396</v>
      </c>
      <c r="D113" s="38"/>
      <c r="E113" s="22">
        <v>7.9987250000000003</v>
      </c>
      <c r="F113" s="22">
        <v>-11.753035000000001</v>
      </c>
      <c r="G113" s="68" t="s">
        <v>560</v>
      </c>
      <c r="H113" s="37"/>
      <c r="I113" s="22">
        <v>25</v>
      </c>
      <c r="J113" s="68" t="s">
        <v>1166</v>
      </c>
      <c r="K113" s="69"/>
      <c r="L113" s="97" t="s">
        <v>1006</v>
      </c>
      <c r="M113" s="69"/>
      <c r="N113" s="21" t="s">
        <v>4</v>
      </c>
    </row>
    <row r="114" spans="1:14" x14ac:dyDescent="0.3">
      <c r="D114" s="38"/>
      <c r="H114" s="37"/>
    </row>
    <row r="115" spans="1:14" ht="14.5" thickBot="1" x14ac:dyDescent="0.35">
      <c r="B115" s="7" t="s">
        <v>34</v>
      </c>
      <c r="C115" s="7"/>
      <c r="D115" s="38"/>
      <c r="E115" s="8"/>
      <c r="F115" s="8"/>
      <c r="G115" s="126"/>
      <c r="H115" s="37"/>
      <c r="I115" s="8"/>
      <c r="J115" s="126"/>
      <c r="L115" s="130"/>
      <c r="N115" s="7"/>
    </row>
    <row r="116" spans="1:14" s="21" customFormat="1" outlineLevel="1" x14ac:dyDescent="0.3">
      <c r="A116" s="2"/>
      <c r="B116" s="21" t="s">
        <v>297</v>
      </c>
      <c r="C116" s="21" t="s">
        <v>1105</v>
      </c>
      <c r="D116" s="38"/>
      <c r="E116" s="22">
        <v>6.1399999999999002</v>
      </c>
      <c r="F116" s="22">
        <v>1.20999999999999</v>
      </c>
      <c r="G116" s="68" t="s">
        <v>437</v>
      </c>
      <c r="H116" s="37"/>
      <c r="I116" s="22">
        <v>5</v>
      </c>
      <c r="J116" s="68" t="s">
        <v>437</v>
      </c>
      <c r="K116" s="69"/>
      <c r="L116" s="97"/>
      <c r="M116" s="69"/>
      <c r="N116" s="21" t="s">
        <v>4</v>
      </c>
    </row>
    <row r="117" spans="1:14" s="21" customFormat="1" outlineLevel="1" x14ac:dyDescent="0.3">
      <c r="B117" s="21" t="s">
        <v>298</v>
      </c>
      <c r="C117" s="21" t="s">
        <v>440</v>
      </c>
      <c r="D117" s="38"/>
      <c r="E117" s="22">
        <v>9.5474340000000009</v>
      </c>
      <c r="F117" s="22">
        <v>1.197203</v>
      </c>
      <c r="G117" s="68" t="s">
        <v>560</v>
      </c>
      <c r="H117" s="37"/>
      <c r="I117" s="22">
        <v>5</v>
      </c>
      <c r="J117" s="68" t="s">
        <v>440</v>
      </c>
      <c r="K117" s="69"/>
      <c r="L117" s="97"/>
      <c r="M117" s="69"/>
      <c r="N117" s="21" t="s">
        <v>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7C656-997A-4A41-88C6-AD3E49A1F506}">
  <sheetPr>
    <tabColor rgb="FF4DAF4A"/>
  </sheetPr>
  <dimension ref="A2:N43"/>
  <sheetViews>
    <sheetView showGridLines="0" zoomScale="70" zoomScaleNormal="70" workbookViewId="0">
      <pane xSplit="3" ySplit="3" topLeftCell="D4" activePane="bottomRight" state="frozen"/>
      <selection pane="topRight" activeCell="D1" sqref="D1"/>
      <selection pane="bottomLeft" activeCell="A4" sqref="A4"/>
      <selection pane="bottomRight"/>
    </sheetView>
  </sheetViews>
  <sheetFormatPr defaultColWidth="8.7265625" defaultRowHeight="13.5" outlineLevelRow="1" x14ac:dyDescent="0.3"/>
  <cols>
    <col min="1" max="1" width="3.54296875" style="2" customWidth="1"/>
    <col min="2" max="2" width="30.26953125" style="2" customWidth="1"/>
    <col min="3" max="3" width="16.90625" style="2" customWidth="1"/>
    <col min="4" max="4" width="13.7265625" style="43" customWidth="1"/>
    <col min="5" max="6" width="11.81640625" style="4" customWidth="1"/>
    <col min="7" max="7" width="7.453125" style="69" customWidth="1"/>
    <col min="8" max="8" width="12.453125" style="4" customWidth="1"/>
    <col min="9" max="9" width="16.81640625" style="4" customWidth="1"/>
    <col min="10" max="10" width="7.453125" style="69" bestFit="1" customWidth="1"/>
    <col min="11" max="11" width="7.26953125" style="69" customWidth="1"/>
    <col min="12" max="12" width="42.81640625" style="132" bestFit="1" customWidth="1"/>
    <col min="13" max="13" width="16.81640625" style="69" customWidth="1"/>
    <col min="14" max="14" width="62" style="2" customWidth="1"/>
    <col min="15" max="17" width="8.7265625" style="2"/>
    <col min="18" max="18" width="13.1796875" style="2" customWidth="1"/>
    <col min="19" max="23" width="8.7265625" style="2"/>
    <col min="24" max="24" width="13.7265625" style="2" bestFit="1" customWidth="1"/>
    <col min="25" max="26" width="8.7265625" style="2"/>
    <col min="27" max="27" width="16.1796875" style="2" bestFit="1" customWidth="1"/>
    <col min="28" max="28" width="13.1796875" style="2" bestFit="1" customWidth="1"/>
    <col min="29" max="29" width="16.54296875" style="2" bestFit="1" customWidth="1"/>
    <col min="30" max="30" width="14.26953125" style="2" bestFit="1" customWidth="1"/>
    <col min="31" max="31" width="8.7265625" style="2"/>
    <col min="32" max="32" width="10.1796875" style="2" bestFit="1" customWidth="1"/>
    <col min="33" max="16384" width="8.7265625" style="2"/>
  </cols>
  <sheetData>
    <row r="2" spans="1:14" ht="20" thickBot="1" x14ac:dyDescent="0.5">
      <c r="A2" s="21"/>
      <c r="B2" s="60" t="s">
        <v>487</v>
      </c>
      <c r="C2" s="66"/>
      <c r="D2" s="2"/>
      <c r="E2" s="60" t="s">
        <v>449</v>
      </c>
      <c r="F2" s="66"/>
      <c r="G2" s="67"/>
      <c r="I2" s="60" t="s">
        <v>1078</v>
      </c>
      <c r="J2" s="71"/>
      <c r="L2" s="95" t="s">
        <v>576</v>
      </c>
      <c r="N2" s="95" t="s">
        <v>1234</v>
      </c>
    </row>
    <row r="3" spans="1:14" ht="40.5" customHeight="1" thickTop="1" x14ac:dyDescent="0.3">
      <c r="B3" s="1" t="s">
        <v>1240</v>
      </c>
      <c r="C3" s="61" t="s">
        <v>591</v>
      </c>
      <c r="D3" s="38"/>
      <c r="E3" s="37" t="s">
        <v>2</v>
      </c>
      <c r="F3" s="37" t="s">
        <v>1</v>
      </c>
      <c r="G3" s="69" t="s">
        <v>342</v>
      </c>
      <c r="H3" s="37"/>
      <c r="I3" s="39" t="s">
        <v>261</v>
      </c>
      <c r="J3" s="69" t="s">
        <v>342</v>
      </c>
      <c r="L3" s="38" t="s">
        <v>703</v>
      </c>
      <c r="N3" s="1" t="s">
        <v>1077</v>
      </c>
    </row>
    <row r="4" spans="1:14" x14ac:dyDescent="0.3">
      <c r="D4" s="38"/>
      <c r="H4" s="37"/>
    </row>
    <row r="5" spans="1:14" ht="14.5" thickBot="1" x14ac:dyDescent="0.35">
      <c r="B5" s="7" t="s">
        <v>105</v>
      </c>
      <c r="C5" s="7"/>
      <c r="D5" s="38"/>
      <c r="E5" s="8"/>
      <c r="F5" s="8"/>
      <c r="G5" s="126"/>
      <c r="H5" s="37"/>
      <c r="I5" s="8"/>
      <c r="J5" s="126"/>
      <c r="L5" s="130"/>
      <c r="N5" s="7"/>
    </row>
    <row r="6" spans="1:14" outlineLevel="1" x14ac:dyDescent="0.3">
      <c r="B6" s="21" t="s">
        <v>1177</v>
      </c>
      <c r="C6" s="2" t="s">
        <v>440</v>
      </c>
      <c r="D6" s="38"/>
      <c r="G6" s="69" t="s">
        <v>1236</v>
      </c>
      <c r="H6" s="37"/>
      <c r="I6" s="129">
        <v>20</v>
      </c>
      <c r="J6" s="69" t="s">
        <v>1173</v>
      </c>
      <c r="L6" s="43"/>
      <c r="N6" s="2" t="s">
        <v>4</v>
      </c>
    </row>
    <row r="7" spans="1:14" x14ac:dyDescent="0.3">
      <c r="D7" s="38"/>
      <c r="H7" s="37"/>
    </row>
    <row r="8" spans="1:14" x14ac:dyDescent="0.3">
      <c r="B8" s="1"/>
      <c r="C8" s="1"/>
      <c r="D8" s="38"/>
      <c r="H8" s="37"/>
      <c r="I8" s="47"/>
      <c r="J8" s="128"/>
      <c r="L8" s="131"/>
    </row>
    <row r="9" spans="1:14" ht="14.5" thickBot="1" x14ac:dyDescent="0.35">
      <c r="B9" s="7" t="s">
        <v>68</v>
      </c>
      <c r="C9" s="7"/>
      <c r="D9" s="38"/>
      <c r="E9" s="8"/>
      <c r="F9" s="8"/>
      <c r="G9" s="126"/>
      <c r="H9" s="37"/>
      <c r="I9" s="8"/>
      <c r="J9" s="126"/>
      <c r="L9" s="130"/>
      <c r="N9" s="7"/>
    </row>
    <row r="10" spans="1:14" s="21" customFormat="1" outlineLevel="1" x14ac:dyDescent="0.3">
      <c r="B10" s="21" t="s">
        <v>314</v>
      </c>
      <c r="D10" s="38"/>
      <c r="E10" s="22">
        <v>13.318135</v>
      </c>
      <c r="F10" s="22">
        <v>-16.785727000000001</v>
      </c>
      <c r="G10" s="68" t="s">
        <v>560</v>
      </c>
      <c r="H10" s="37"/>
      <c r="I10" s="22">
        <v>4</v>
      </c>
      <c r="J10" s="69" t="s">
        <v>1174</v>
      </c>
      <c r="K10" s="69"/>
      <c r="L10" s="132"/>
      <c r="M10" s="69"/>
      <c r="N10" s="21" t="s">
        <v>4</v>
      </c>
    </row>
    <row r="11" spans="1:14" s="21" customFormat="1" outlineLevel="1" x14ac:dyDescent="0.3">
      <c r="B11" s="21" t="s">
        <v>315</v>
      </c>
      <c r="C11" s="21" t="s">
        <v>437</v>
      </c>
      <c r="D11" s="38"/>
      <c r="E11" s="22">
        <v>13.3444820871239</v>
      </c>
      <c r="F11" s="22">
        <v>-16.805992126464002</v>
      </c>
      <c r="G11" s="68" t="s">
        <v>560</v>
      </c>
      <c r="H11" s="37"/>
      <c r="I11" s="22">
        <v>0.9</v>
      </c>
      <c r="J11" s="68" t="s">
        <v>437</v>
      </c>
      <c r="K11" s="69"/>
      <c r="L11" s="97"/>
      <c r="M11" s="69"/>
      <c r="N11" s="21" t="s">
        <v>1231</v>
      </c>
    </row>
    <row r="12" spans="1:14" s="21" customFormat="1" outlineLevel="1" x14ac:dyDescent="0.3">
      <c r="B12" s="21" t="s">
        <v>316</v>
      </c>
      <c r="C12" s="21" t="s">
        <v>437</v>
      </c>
      <c r="D12" s="38"/>
      <c r="E12" s="22">
        <v>13.32536540673</v>
      </c>
      <c r="F12" s="22">
        <v>-16.798310279847001</v>
      </c>
      <c r="G12" s="68" t="s">
        <v>560</v>
      </c>
      <c r="H12" s="37"/>
      <c r="I12" s="22">
        <v>0.15</v>
      </c>
      <c r="J12" s="68" t="s">
        <v>437</v>
      </c>
      <c r="K12" s="69"/>
      <c r="L12" s="97"/>
      <c r="M12" s="69"/>
      <c r="N12" s="21" t="s">
        <v>1231</v>
      </c>
    </row>
    <row r="13" spans="1:14" s="21" customFormat="1" outlineLevel="1" x14ac:dyDescent="0.3">
      <c r="B13" s="21" t="s">
        <v>317</v>
      </c>
      <c r="C13" s="21" t="s">
        <v>440</v>
      </c>
      <c r="D13" s="38"/>
      <c r="E13" s="22">
        <v>13.479526999999999</v>
      </c>
      <c r="F13" s="22">
        <v>-16.671576999999999</v>
      </c>
      <c r="G13" s="68" t="s">
        <v>560</v>
      </c>
      <c r="H13" s="37"/>
      <c r="I13" s="22">
        <v>0.6</v>
      </c>
      <c r="J13" s="68" t="s">
        <v>440</v>
      </c>
      <c r="K13" s="69"/>
      <c r="L13" s="97"/>
      <c r="M13" s="69"/>
      <c r="N13" s="21" t="s">
        <v>4</v>
      </c>
    </row>
    <row r="14" spans="1:14" x14ac:dyDescent="0.3">
      <c r="D14" s="38"/>
      <c r="H14" s="37"/>
    </row>
    <row r="15" spans="1:14" x14ac:dyDescent="0.3">
      <c r="D15" s="38"/>
      <c r="H15" s="37"/>
    </row>
    <row r="16" spans="1:14" ht="14.5" thickBot="1" x14ac:dyDescent="0.35">
      <c r="B16" s="7" t="s">
        <v>32</v>
      </c>
      <c r="C16" s="7"/>
      <c r="D16" s="38"/>
      <c r="E16" s="8"/>
      <c r="F16" s="8"/>
      <c r="G16" s="126"/>
      <c r="H16" s="37"/>
      <c r="I16" s="8"/>
      <c r="J16" s="126"/>
      <c r="L16" s="130"/>
      <c r="N16" s="7"/>
    </row>
    <row r="17" spans="2:14" s="21" customFormat="1" outlineLevel="1" x14ac:dyDescent="0.3">
      <c r="B17" s="23" t="s">
        <v>295</v>
      </c>
      <c r="C17" s="23" t="s">
        <v>1105</v>
      </c>
      <c r="D17" s="38"/>
      <c r="E17" s="4">
        <v>5.556</v>
      </c>
      <c r="F17" s="4">
        <v>-0.19600000000000001</v>
      </c>
      <c r="G17" s="68" t="s">
        <v>437</v>
      </c>
      <c r="H17" s="37"/>
      <c r="I17" s="4">
        <v>225</v>
      </c>
      <c r="J17" s="68" t="s">
        <v>437</v>
      </c>
      <c r="K17" s="69"/>
      <c r="L17" s="97"/>
      <c r="M17" s="69"/>
      <c r="N17" s="21" t="s">
        <v>4</v>
      </c>
    </row>
    <row r="18" spans="2:14" x14ac:dyDescent="0.3">
      <c r="D18" s="38"/>
      <c r="H18" s="37"/>
    </row>
    <row r="19" spans="2:14" x14ac:dyDescent="0.3">
      <c r="D19" s="38"/>
      <c r="H19" s="37"/>
    </row>
    <row r="20" spans="2:14" ht="14.5" thickBot="1" x14ac:dyDescent="0.35">
      <c r="B20" s="7" t="s">
        <v>3</v>
      </c>
      <c r="C20" s="7"/>
      <c r="D20" s="38"/>
      <c r="E20" s="8"/>
      <c r="F20" s="8"/>
      <c r="G20" s="126"/>
      <c r="H20" s="37"/>
      <c r="I20" s="8"/>
      <c r="J20" s="126"/>
      <c r="L20" s="130"/>
      <c r="N20" s="7"/>
    </row>
    <row r="21" spans="2:14" outlineLevel="1" x14ac:dyDescent="0.3">
      <c r="B21" s="2" t="s">
        <v>319</v>
      </c>
      <c r="D21" s="38"/>
      <c r="E21" s="4">
        <v>14.437022000000001</v>
      </c>
      <c r="F21" s="4">
        <v>-11.444781000000001</v>
      </c>
      <c r="G21" s="69" t="s">
        <v>560</v>
      </c>
      <c r="H21" s="37"/>
      <c r="I21" s="4">
        <v>10</v>
      </c>
      <c r="J21" s="4" t="s">
        <v>1113</v>
      </c>
      <c r="L21" s="43"/>
      <c r="N21" s="2" t="s">
        <v>4</v>
      </c>
    </row>
    <row r="22" spans="2:14" outlineLevel="1" x14ac:dyDescent="0.3">
      <c r="B22" s="21" t="s">
        <v>276</v>
      </c>
      <c r="C22" s="2" t="s">
        <v>437</v>
      </c>
      <c r="D22" s="38"/>
      <c r="E22" s="22">
        <v>16.46</v>
      </c>
      <c r="F22" s="22">
        <v>-2.5899999999999901</v>
      </c>
      <c r="G22" s="69" t="s">
        <v>437</v>
      </c>
      <c r="H22" s="37"/>
      <c r="I22" s="22">
        <v>1.1000000000000001</v>
      </c>
      <c r="J22" s="22" t="s">
        <v>437</v>
      </c>
      <c r="L22" s="46" t="s">
        <v>1180</v>
      </c>
      <c r="N22" s="21" t="s">
        <v>4</v>
      </c>
    </row>
    <row r="23" spans="2:14" outlineLevel="1" x14ac:dyDescent="0.3">
      <c r="B23" s="2" t="s">
        <v>118</v>
      </c>
      <c r="D23" s="38"/>
      <c r="E23" s="4">
        <v>16.273258155667001</v>
      </c>
      <c r="F23" s="4">
        <v>-5.06615638727329E-2</v>
      </c>
      <c r="G23" s="69" t="s">
        <v>560</v>
      </c>
      <c r="H23" s="37"/>
      <c r="J23" s="4"/>
      <c r="L23" s="43" t="s">
        <v>1181</v>
      </c>
      <c r="N23" s="2" t="s">
        <v>4</v>
      </c>
    </row>
    <row r="24" spans="2:14" x14ac:dyDescent="0.3">
      <c r="D24" s="38"/>
      <c r="H24" s="37"/>
    </row>
    <row r="25" spans="2:14" x14ac:dyDescent="0.3">
      <c r="D25" s="38"/>
      <c r="H25" s="37"/>
    </row>
    <row r="26" spans="2:14" ht="14.5" thickBot="1" x14ac:dyDescent="0.35">
      <c r="B26" s="7" t="s">
        <v>25</v>
      </c>
      <c r="C26" s="7"/>
      <c r="D26" s="38"/>
      <c r="E26" s="8"/>
      <c r="F26" s="8"/>
      <c r="G26" s="126"/>
      <c r="H26" s="37"/>
      <c r="I26" s="8"/>
      <c r="J26" s="126"/>
      <c r="L26" s="130"/>
      <c r="N26" s="7"/>
    </row>
    <row r="27" spans="2:14" s="21" customFormat="1" outlineLevel="1" x14ac:dyDescent="0.3">
      <c r="B27" s="21" t="s">
        <v>1177</v>
      </c>
      <c r="C27" s="21" t="s">
        <v>440</v>
      </c>
      <c r="D27" s="38"/>
      <c r="E27" s="22"/>
      <c r="F27" s="22"/>
      <c r="G27" s="68"/>
      <c r="H27" s="37"/>
      <c r="I27" s="22">
        <v>30</v>
      </c>
      <c r="J27" s="68" t="s">
        <v>440</v>
      </c>
      <c r="K27" s="69"/>
      <c r="L27" s="97" t="s">
        <v>1186</v>
      </c>
      <c r="M27" s="69"/>
      <c r="N27" s="2" t="s">
        <v>4</v>
      </c>
    </row>
    <row r="28" spans="2:14" x14ac:dyDescent="0.3">
      <c r="D28" s="38"/>
      <c r="H28" s="37"/>
    </row>
    <row r="29" spans="2:14" x14ac:dyDescent="0.3">
      <c r="D29" s="38"/>
      <c r="H29" s="37"/>
    </row>
    <row r="30" spans="2:14" ht="14.5" thickBot="1" x14ac:dyDescent="0.35">
      <c r="B30" s="7" t="s">
        <v>35</v>
      </c>
      <c r="C30" s="7"/>
      <c r="D30" s="38"/>
      <c r="E30" s="8"/>
      <c r="F30" s="8"/>
      <c r="G30" s="126"/>
      <c r="H30" s="37"/>
      <c r="I30" s="8"/>
      <c r="J30" s="126"/>
      <c r="L30" s="130"/>
      <c r="N30" s="7"/>
    </row>
    <row r="31" spans="2:14" outlineLevel="1" x14ac:dyDescent="0.3">
      <c r="B31" s="2" t="s">
        <v>1190</v>
      </c>
      <c r="C31" s="2" t="s">
        <v>437</v>
      </c>
      <c r="D31" s="38"/>
      <c r="E31" s="4">
        <v>12.8472371992489</v>
      </c>
      <c r="F31" s="4">
        <v>7.6700448989816898</v>
      </c>
      <c r="G31" s="42" t="s">
        <v>437</v>
      </c>
      <c r="H31" s="37"/>
      <c r="I31" s="4">
        <v>10.175000000000001</v>
      </c>
      <c r="J31" s="69" t="s">
        <v>437</v>
      </c>
      <c r="N31" s="2" t="s">
        <v>4</v>
      </c>
    </row>
    <row r="32" spans="2:14" x14ac:dyDescent="0.3">
      <c r="D32" s="38"/>
      <c r="H32" s="37"/>
    </row>
    <row r="33" spans="1:14" x14ac:dyDescent="0.3">
      <c r="D33" s="38"/>
      <c r="H33" s="37"/>
    </row>
    <row r="34" spans="1:14" ht="14.5" thickBot="1" x14ac:dyDescent="0.35">
      <c r="B34" s="7" t="s">
        <v>6</v>
      </c>
      <c r="C34" s="7"/>
      <c r="D34" s="38"/>
      <c r="E34" s="8"/>
      <c r="F34" s="8"/>
      <c r="G34" s="126"/>
      <c r="H34" s="37"/>
      <c r="I34" s="8"/>
      <c r="J34" s="126"/>
      <c r="L34" s="130"/>
      <c r="N34" s="7"/>
    </row>
    <row r="35" spans="1:14" s="21" customFormat="1" outlineLevel="1" x14ac:dyDescent="0.3">
      <c r="B35" s="21" t="s">
        <v>289</v>
      </c>
      <c r="C35" s="21" t="s">
        <v>437</v>
      </c>
      <c r="D35" s="38"/>
      <c r="E35" s="22">
        <v>15.040414432438</v>
      </c>
      <c r="F35" s="22">
        <v>-16.880986690518</v>
      </c>
      <c r="G35" s="68" t="s">
        <v>437</v>
      </c>
      <c r="H35" s="37"/>
      <c r="I35" s="4">
        <v>158.69999999999999</v>
      </c>
      <c r="J35" s="68" t="s">
        <v>1189</v>
      </c>
      <c r="K35" s="69"/>
      <c r="L35" s="97"/>
      <c r="M35" s="69"/>
      <c r="N35" s="2" t="s">
        <v>1232</v>
      </c>
    </row>
    <row r="36" spans="1:14" s="21" customFormat="1" outlineLevel="1" x14ac:dyDescent="0.3">
      <c r="B36" s="21" t="s">
        <v>388</v>
      </c>
      <c r="C36" s="21" t="s">
        <v>437</v>
      </c>
      <c r="D36" s="38"/>
      <c r="E36" s="22">
        <v>15.720751999999999</v>
      </c>
      <c r="F36" s="22">
        <v>-16.462477</v>
      </c>
      <c r="G36" s="68" t="s">
        <v>437</v>
      </c>
      <c r="H36" s="37"/>
      <c r="I36" s="4">
        <v>50</v>
      </c>
      <c r="J36" s="45" t="s">
        <v>437</v>
      </c>
      <c r="K36" s="69"/>
      <c r="L36" s="97" t="s">
        <v>1199</v>
      </c>
      <c r="M36" s="69"/>
      <c r="N36" s="2" t="s">
        <v>4</v>
      </c>
    </row>
    <row r="37" spans="1:14" s="21" customFormat="1" outlineLevel="1" x14ac:dyDescent="0.3">
      <c r="B37" s="21" t="s">
        <v>389</v>
      </c>
      <c r="C37" s="21" t="s">
        <v>437</v>
      </c>
      <c r="D37" s="38"/>
      <c r="E37" s="22">
        <v>15.890593510422001</v>
      </c>
      <c r="F37" s="22">
        <v>-16.425354480742001</v>
      </c>
      <c r="G37" s="68" t="s">
        <v>437</v>
      </c>
      <c r="H37" s="37"/>
      <c r="I37" s="4">
        <f>15 + 35</f>
        <v>50</v>
      </c>
      <c r="J37" s="68" t="s">
        <v>437</v>
      </c>
      <c r="K37" s="69"/>
      <c r="L37" s="46" t="s">
        <v>1213</v>
      </c>
      <c r="M37" s="69"/>
      <c r="N37" s="2" t="s">
        <v>4</v>
      </c>
    </row>
    <row r="38" spans="1:14" x14ac:dyDescent="0.3">
      <c r="D38" s="38"/>
      <c r="H38" s="37"/>
    </row>
    <row r="39" spans="1:14" x14ac:dyDescent="0.3">
      <c r="D39" s="38"/>
      <c r="H39" s="37"/>
    </row>
    <row r="40" spans="1:14" ht="14.5" thickBot="1" x14ac:dyDescent="0.35">
      <c r="B40" s="7" t="s">
        <v>34</v>
      </c>
      <c r="C40" s="7"/>
      <c r="D40" s="38"/>
      <c r="E40" s="8"/>
      <c r="F40" s="8"/>
      <c r="G40" s="126"/>
      <c r="H40" s="37"/>
      <c r="I40" s="8"/>
      <c r="J40" s="126"/>
      <c r="L40" s="130"/>
      <c r="N40" s="7"/>
    </row>
    <row r="41" spans="1:14" s="21" customFormat="1" outlineLevel="1" x14ac:dyDescent="0.3">
      <c r="A41" s="2"/>
      <c r="B41" s="2" t="s">
        <v>296</v>
      </c>
      <c r="C41" s="21" t="s">
        <v>1105</v>
      </c>
      <c r="D41" s="38"/>
      <c r="E41" s="4">
        <v>6.1367938134177002</v>
      </c>
      <c r="F41" s="4">
        <v>1.21364593505639</v>
      </c>
      <c r="G41" s="68" t="s">
        <v>437</v>
      </c>
      <c r="H41" s="37"/>
      <c r="I41" s="4">
        <v>25.2</v>
      </c>
      <c r="J41" s="68" t="s">
        <v>437</v>
      </c>
      <c r="K41" s="69"/>
      <c r="L41" s="132" t="s">
        <v>1214</v>
      </c>
      <c r="M41" s="69"/>
      <c r="N41" s="2" t="s">
        <v>4</v>
      </c>
    </row>
    <row r="42" spans="1:14" x14ac:dyDescent="0.3">
      <c r="D42" s="38"/>
      <c r="H42" s="37"/>
    </row>
    <row r="43" spans="1:14" x14ac:dyDescent="0.3">
      <c r="H43" s="3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2FA49-6D27-4FD2-AB26-F2D56633C6C6}">
  <sheetPr>
    <tabColor theme="0" tint="-0.499984740745262"/>
  </sheetPr>
  <dimension ref="B1:G247"/>
  <sheetViews>
    <sheetView showGridLines="0" zoomScale="70" zoomScaleNormal="70" workbookViewId="0">
      <pane ySplit="2" topLeftCell="A3" activePane="bottomLeft" state="frozen"/>
      <selection pane="bottomLeft"/>
    </sheetView>
  </sheetViews>
  <sheetFormatPr defaultRowHeight="13.5" x14ac:dyDescent="0.3"/>
  <cols>
    <col min="1" max="1" width="3.54296875" style="2" customWidth="1"/>
    <col min="2" max="2" width="3.81640625" style="33" bestFit="1" customWidth="1"/>
    <col min="3" max="3" width="50.26953125" style="58" bestFit="1" customWidth="1"/>
    <col min="4" max="4" width="58" style="55" customWidth="1"/>
    <col min="5" max="5" width="7" style="33" customWidth="1"/>
    <col min="6" max="6" width="22" style="2" customWidth="1"/>
    <col min="7" max="7" width="80.90625" style="2" customWidth="1"/>
    <col min="8" max="16384" width="8.7265625" style="2"/>
  </cols>
  <sheetData>
    <row r="1" spans="2:7" s="64" customFormat="1" ht="15" x14ac:dyDescent="0.3">
      <c r="C1" s="91"/>
      <c r="D1" s="99"/>
      <c r="E1" s="88"/>
      <c r="G1" s="2"/>
    </row>
    <row r="2" spans="2:7" s="65" customFormat="1" ht="30.5" thickBot="1" x14ac:dyDescent="0.35">
      <c r="B2" s="137" t="s">
        <v>552</v>
      </c>
      <c r="C2" s="138" t="s">
        <v>643</v>
      </c>
      <c r="D2" s="137" t="s">
        <v>436</v>
      </c>
      <c r="E2" s="139" t="s">
        <v>239</v>
      </c>
      <c r="F2" s="140" t="s">
        <v>590</v>
      </c>
      <c r="G2" s="141" t="s">
        <v>568</v>
      </c>
    </row>
    <row r="3" spans="2:7" s="65" customFormat="1" ht="15" x14ac:dyDescent="0.3">
      <c r="C3" s="92"/>
      <c r="D3" s="100"/>
      <c r="E3" s="89"/>
      <c r="G3" s="1"/>
    </row>
    <row r="4" spans="2:7" s="65" customFormat="1" ht="15.5" thickBot="1" x14ac:dyDescent="0.35">
      <c r="C4" s="93" t="s">
        <v>559</v>
      </c>
      <c r="D4" s="93"/>
      <c r="E4" s="93"/>
      <c r="F4" s="93"/>
      <c r="G4" s="136"/>
    </row>
    <row r="5" spans="2:7" s="1" customFormat="1" ht="14" thickTop="1" x14ac:dyDescent="0.3">
      <c r="C5" s="94"/>
      <c r="D5" s="101"/>
      <c r="E5" s="90"/>
    </row>
    <row r="6" spans="2:7" x14ac:dyDescent="0.3">
      <c r="B6" s="33" t="s">
        <v>437</v>
      </c>
      <c r="C6" s="58" t="s">
        <v>147</v>
      </c>
      <c r="D6" s="55" t="s">
        <v>540</v>
      </c>
      <c r="E6" s="33">
        <v>2019</v>
      </c>
      <c r="F6" s="62">
        <v>43475</v>
      </c>
      <c r="G6" s="57" t="s">
        <v>569</v>
      </c>
    </row>
    <row r="7" spans="2:7" x14ac:dyDescent="0.3">
      <c r="B7" s="33" t="s">
        <v>438</v>
      </c>
      <c r="C7" s="58" t="s">
        <v>535</v>
      </c>
      <c r="D7" s="55" t="s">
        <v>541</v>
      </c>
      <c r="E7" s="33">
        <v>2017</v>
      </c>
      <c r="F7" s="62">
        <v>43287</v>
      </c>
      <c r="G7" s="57" t="s">
        <v>454</v>
      </c>
    </row>
    <row r="8" spans="2:7" x14ac:dyDescent="0.3">
      <c r="B8" s="33" t="s">
        <v>439</v>
      </c>
      <c r="C8" s="58" t="s">
        <v>599</v>
      </c>
      <c r="D8" s="55" t="s">
        <v>548</v>
      </c>
      <c r="E8" s="33">
        <v>2012</v>
      </c>
      <c r="F8" s="62">
        <v>43287</v>
      </c>
      <c r="G8" s="57" t="s">
        <v>455</v>
      </c>
    </row>
    <row r="9" spans="2:7" x14ac:dyDescent="0.3">
      <c r="B9" s="33" t="s">
        <v>440</v>
      </c>
      <c r="C9" s="58" t="s">
        <v>530</v>
      </c>
      <c r="D9" s="55" t="s">
        <v>549</v>
      </c>
      <c r="E9" s="33">
        <v>2018</v>
      </c>
      <c r="F9" s="62">
        <v>43430</v>
      </c>
      <c r="G9" s="57" t="s">
        <v>456</v>
      </c>
    </row>
    <row r="10" spans="2:7" x14ac:dyDescent="0.3">
      <c r="B10" s="33" t="s">
        <v>441</v>
      </c>
      <c r="C10" s="58" t="s">
        <v>531</v>
      </c>
      <c r="D10" s="55" t="s">
        <v>550</v>
      </c>
      <c r="E10" s="33">
        <v>2018</v>
      </c>
      <c r="F10" s="62">
        <v>43409</v>
      </c>
      <c r="G10" s="57" t="s">
        <v>457</v>
      </c>
    </row>
    <row r="11" spans="2:7" x14ac:dyDescent="0.3">
      <c r="B11" s="33" t="s">
        <v>442</v>
      </c>
      <c r="C11" s="58" t="s">
        <v>536</v>
      </c>
      <c r="D11" s="55" t="s">
        <v>551</v>
      </c>
      <c r="E11" s="33">
        <v>2018</v>
      </c>
      <c r="F11" s="62">
        <v>43614</v>
      </c>
      <c r="G11" s="63" t="s">
        <v>458</v>
      </c>
    </row>
    <row r="12" spans="2:7" x14ac:dyDescent="0.3">
      <c r="B12" s="33" t="s">
        <v>443</v>
      </c>
      <c r="C12" s="58" t="s">
        <v>532</v>
      </c>
      <c r="D12" s="55" t="s">
        <v>539</v>
      </c>
      <c r="E12" s="33">
        <v>2019</v>
      </c>
      <c r="F12" s="62">
        <v>43619</v>
      </c>
      <c r="G12" s="57" t="s">
        <v>453</v>
      </c>
    </row>
    <row r="13" spans="2:7" x14ac:dyDescent="0.3">
      <c r="B13" s="33" t="s">
        <v>452</v>
      </c>
      <c r="C13" s="58" t="s">
        <v>533</v>
      </c>
      <c r="D13" s="55" t="s">
        <v>537</v>
      </c>
      <c r="E13" s="33">
        <v>2019</v>
      </c>
      <c r="F13" s="62">
        <v>43580</v>
      </c>
      <c r="G13" s="57" t="s">
        <v>459</v>
      </c>
    </row>
    <row r="14" spans="2:7" x14ac:dyDescent="0.3">
      <c r="B14" s="33" t="s">
        <v>451</v>
      </c>
      <c r="C14" s="58" t="s">
        <v>534</v>
      </c>
      <c r="D14" s="55" t="s">
        <v>538</v>
      </c>
      <c r="E14" s="33">
        <v>2016</v>
      </c>
      <c r="F14" s="62">
        <v>43287</v>
      </c>
      <c r="G14" s="57" t="s">
        <v>492</v>
      </c>
    </row>
    <row r="17" spans="2:7" s="65" customFormat="1" ht="15.5" thickBot="1" x14ac:dyDescent="0.35">
      <c r="C17" s="93" t="s">
        <v>561</v>
      </c>
      <c r="D17" s="93"/>
      <c r="E17" s="93"/>
      <c r="F17" s="93"/>
      <c r="G17" s="136"/>
    </row>
    <row r="18" spans="2:7" s="1" customFormat="1" ht="14" thickTop="1" x14ac:dyDescent="0.3">
      <c r="C18" s="94"/>
      <c r="D18" s="101"/>
      <c r="E18" s="90"/>
    </row>
    <row r="19" spans="2:7" x14ac:dyDescent="0.3">
      <c r="B19" s="33" t="s">
        <v>562</v>
      </c>
      <c r="C19" s="58" t="s">
        <v>567</v>
      </c>
      <c r="D19" s="55" t="s">
        <v>565</v>
      </c>
      <c r="E19" s="33">
        <v>1992</v>
      </c>
      <c r="F19" s="62">
        <v>43497</v>
      </c>
      <c r="G19" s="57" t="s">
        <v>566</v>
      </c>
    </row>
    <row r="20" spans="2:7" x14ac:dyDescent="0.3">
      <c r="B20" s="33" t="s">
        <v>563</v>
      </c>
      <c r="C20" s="58" t="s">
        <v>570</v>
      </c>
      <c r="D20" s="55" t="s">
        <v>572</v>
      </c>
      <c r="E20" s="33">
        <v>2015</v>
      </c>
      <c r="F20" s="62">
        <v>43472</v>
      </c>
      <c r="G20" s="57" t="s">
        <v>571</v>
      </c>
    </row>
    <row r="21" spans="2:7" x14ac:dyDescent="0.3">
      <c r="B21" s="33" t="s">
        <v>573</v>
      </c>
      <c r="C21" s="58" t="s">
        <v>652</v>
      </c>
      <c r="D21" s="55" t="s">
        <v>651</v>
      </c>
      <c r="E21" s="33" t="s">
        <v>575</v>
      </c>
      <c r="F21" s="62">
        <v>43624</v>
      </c>
      <c r="G21" s="57" t="s">
        <v>574</v>
      </c>
    </row>
    <row r="22" spans="2:7" x14ac:dyDescent="0.3">
      <c r="B22" s="33" t="s">
        <v>579</v>
      </c>
      <c r="C22" s="58" t="s">
        <v>578</v>
      </c>
      <c r="D22" s="55" t="s">
        <v>577</v>
      </c>
      <c r="E22" s="33">
        <v>2017</v>
      </c>
      <c r="F22" s="62">
        <v>43367</v>
      </c>
      <c r="G22" s="57" t="s">
        <v>580</v>
      </c>
    </row>
    <row r="23" spans="2:7" x14ac:dyDescent="0.3">
      <c r="B23" s="33" t="s">
        <v>581</v>
      </c>
      <c r="C23" s="58" t="s">
        <v>585</v>
      </c>
      <c r="D23" s="55" t="s">
        <v>586</v>
      </c>
      <c r="E23" s="33">
        <v>2010</v>
      </c>
      <c r="F23" s="62">
        <v>43472</v>
      </c>
      <c r="G23" s="57" t="s">
        <v>584</v>
      </c>
    </row>
    <row r="24" spans="2:7" x14ac:dyDescent="0.3">
      <c r="B24" s="33" t="s">
        <v>582</v>
      </c>
      <c r="C24" s="58" t="s">
        <v>587</v>
      </c>
      <c r="D24" s="55" t="s">
        <v>588</v>
      </c>
      <c r="E24" s="33">
        <v>2005</v>
      </c>
      <c r="F24" s="62">
        <v>43270</v>
      </c>
      <c r="G24" s="57" t="s">
        <v>589</v>
      </c>
    </row>
    <row r="25" spans="2:7" x14ac:dyDescent="0.3">
      <c r="B25" s="33" t="s">
        <v>583</v>
      </c>
      <c r="C25" s="58" t="s">
        <v>594</v>
      </c>
      <c r="D25" s="55" t="s">
        <v>595</v>
      </c>
      <c r="E25" s="33">
        <v>2017</v>
      </c>
      <c r="F25" s="62">
        <v>43472</v>
      </c>
      <c r="G25" s="57" t="s">
        <v>593</v>
      </c>
    </row>
    <row r="26" spans="2:7" x14ac:dyDescent="0.3">
      <c r="F26" s="62"/>
      <c r="G26" s="57"/>
    </row>
    <row r="27" spans="2:7" x14ac:dyDescent="0.3">
      <c r="F27" s="62"/>
      <c r="G27" s="57"/>
    </row>
    <row r="28" spans="2:7" s="65" customFormat="1" ht="15.5" thickBot="1" x14ac:dyDescent="0.35">
      <c r="C28" s="93" t="s">
        <v>600</v>
      </c>
      <c r="D28" s="93"/>
      <c r="E28" s="93"/>
      <c r="F28" s="93"/>
      <c r="G28" s="136"/>
    </row>
    <row r="29" spans="2:7" ht="14" thickTop="1" x14ac:dyDescent="0.3">
      <c r="F29" s="62"/>
      <c r="G29" s="57"/>
    </row>
    <row r="30" spans="2:7" x14ac:dyDescent="0.3">
      <c r="B30" s="33" t="s">
        <v>596</v>
      </c>
      <c r="C30" s="58" t="s">
        <v>147</v>
      </c>
      <c r="D30" s="55" t="s">
        <v>598</v>
      </c>
      <c r="E30" s="33" t="s">
        <v>575</v>
      </c>
      <c r="F30" s="62">
        <v>43624</v>
      </c>
      <c r="G30" s="57" t="s">
        <v>597</v>
      </c>
    </row>
    <row r="31" spans="2:7" x14ac:dyDescent="0.3">
      <c r="B31" s="33" t="s">
        <v>601</v>
      </c>
      <c r="C31" s="58" t="s">
        <v>147</v>
      </c>
      <c r="D31" s="55" t="s">
        <v>603</v>
      </c>
      <c r="E31" s="33" t="s">
        <v>575</v>
      </c>
      <c r="F31" s="62">
        <v>43624</v>
      </c>
      <c r="G31" s="57" t="s">
        <v>602</v>
      </c>
    </row>
    <row r="32" spans="2:7" x14ac:dyDescent="0.3">
      <c r="B32" s="33" t="s">
        <v>605</v>
      </c>
      <c r="C32" s="58" t="s">
        <v>607</v>
      </c>
      <c r="D32" s="55" t="s">
        <v>606</v>
      </c>
      <c r="E32" s="33">
        <v>2006</v>
      </c>
      <c r="F32" s="62">
        <v>43367</v>
      </c>
      <c r="G32" s="57" t="s">
        <v>604</v>
      </c>
    </row>
    <row r="33" spans="2:7" x14ac:dyDescent="0.3">
      <c r="B33" s="33" t="s">
        <v>608</v>
      </c>
      <c r="C33" s="58" t="s">
        <v>611</v>
      </c>
      <c r="D33" s="55" t="s">
        <v>610</v>
      </c>
      <c r="E33" s="33">
        <v>2013</v>
      </c>
      <c r="F33" s="62">
        <v>43472</v>
      </c>
      <c r="G33" s="57" t="s">
        <v>609</v>
      </c>
    </row>
    <row r="34" spans="2:7" x14ac:dyDescent="0.3">
      <c r="B34" s="33" t="s">
        <v>612</v>
      </c>
      <c r="C34" s="58" t="s">
        <v>147</v>
      </c>
      <c r="D34" s="55" t="s">
        <v>614</v>
      </c>
      <c r="E34" s="33" t="s">
        <v>575</v>
      </c>
      <c r="F34" s="62">
        <v>43624</v>
      </c>
      <c r="G34" s="57" t="s">
        <v>613</v>
      </c>
    </row>
    <row r="35" spans="2:7" x14ac:dyDescent="0.3">
      <c r="B35" s="33" t="s">
        <v>615</v>
      </c>
      <c r="C35" s="58" t="s">
        <v>147</v>
      </c>
      <c r="D35" s="55" t="s">
        <v>617</v>
      </c>
      <c r="E35" s="33" t="s">
        <v>575</v>
      </c>
      <c r="F35" s="62">
        <v>43624</v>
      </c>
      <c r="G35" s="57" t="s">
        <v>616</v>
      </c>
    </row>
    <row r="36" spans="2:7" x14ac:dyDescent="0.3">
      <c r="B36" s="33" t="s">
        <v>618</v>
      </c>
      <c r="C36" s="58" t="s">
        <v>147</v>
      </c>
      <c r="D36" s="55" t="s">
        <v>620</v>
      </c>
      <c r="E36" s="33" t="s">
        <v>575</v>
      </c>
      <c r="F36" s="62">
        <v>43624</v>
      </c>
      <c r="G36" s="57" t="s">
        <v>619</v>
      </c>
    </row>
    <row r="37" spans="2:7" x14ac:dyDescent="0.3">
      <c r="B37" s="33" t="s">
        <v>621</v>
      </c>
      <c r="C37" s="58" t="s">
        <v>147</v>
      </c>
      <c r="D37" s="55" t="s">
        <v>626</v>
      </c>
      <c r="E37" s="33" t="s">
        <v>575</v>
      </c>
      <c r="F37" s="62">
        <v>43624</v>
      </c>
      <c r="G37" s="57" t="s">
        <v>625</v>
      </c>
    </row>
    <row r="38" spans="2:7" x14ac:dyDescent="0.3">
      <c r="B38" s="33" t="s">
        <v>627</v>
      </c>
      <c r="C38" s="58" t="s">
        <v>147</v>
      </c>
      <c r="D38" s="55" t="s">
        <v>629</v>
      </c>
      <c r="E38" s="33" t="s">
        <v>575</v>
      </c>
      <c r="F38" s="62">
        <v>43624</v>
      </c>
      <c r="G38" s="57" t="s">
        <v>628</v>
      </c>
    </row>
    <row r="39" spans="2:7" x14ac:dyDescent="0.3">
      <c r="B39" s="33" t="s">
        <v>630</v>
      </c>
      <c r="C39" s="58" t="s">
        <v>147</v>
      </c>
      <c r="D39" s="55" t="s">
        <v>632</v>
      </c>
      <c r="E39" s="33" t="s">
        <v>575</v>
      </c>
      <c r="F39" s="62">
        <v>43624</v>
      </c>
      <c r="G39" s="57" t="s">
        <v>631</v>
      </c>
    </row>
    <row r="40" spans="2:7" x14ac:dyDescent="0.3">
      <c r="F40" s="62"/>
      <c r="G40" s="57"/>
    </row>
    <row r="41" spans="2:7" x14ac:dyDescent="0.3">
      <c r="F41" s="62"/>
      <c r="G41" s="57"/>
    </row>
    <row r="42" spans="2:7" s="65" customFormat="1" ht="15.5" thickBot="1" x14ac:dyDescent="0.35">
      <c r="C42" s="93" t="s">
        <v>633</v>
      </c>
      <c r="D42" s="93"/>
      <c r="E42" s="93"/>
      <c r="F42" s="93"/>
      <c r="G42" s="136"/>
    </row>
    <row r="43" spans="2:7" ht="14" thickTop="1" x14ac:dyDescent="0.3">
      <c r="F43" s="62"/>
      <c r="G43" s="57"/>
    </row>
    <row r="44" spans="2:7" x14ac:dyDescent="0.3">
      <c r="B44" s="33" t="s">
        <v>634</v>
      </c>
      <c r="C44" s="58" t="s">
        <v>644</v>
      </c>
      <c r="D44" s="55" t="s">
        <v>642</v>
      </c>
      <c r="E44" s="33">
        <v>2012</v>
      </c>
      <c r="F44" s="62">
        <v>43624</v>
      </c>
      <c r="G44" s="57" t="s">
        <v>645</v>
      </c>
    </row>
    <row r="45" spans="2:7" x14ac:dyDescent="0.3">
      <c r="B45" s="33" t="s">
        <v>635</v>
      </c>
      <c r="C45" s="58" t="s">
        <v>646</v>
      </c>
      <c r="D45" s="55" t="s">
        <v>647</v>
      </c>
      <c r="E45" s="33" t="s">
        <v>575</v>
      </c>
      <c r="F45" s="62">
        <v>43367</v>
      </c>
      <c r="G45" s="57" t="s">
        <v>648</v>
      </c>
    </row>
    <row r="46" spans="2:7" x14ac:dyDescent="0.3">
      <c r="B46" s="33" t="s">
        <v>622</v>
      </c>
      <c r="C46" s="58" t="s">
        <v>650</v>
      </c>
      <c r="D46" s="55" t="s">
        <v>653</v>
      </c>
      <c r="E46" s="33" t="s">
        <v>575</v>
      </c>
      <c r="F46" s="62">
        <v>43624</v>
      </c>
      <c r="G46" s="57" t="s">
        <v>649</v>
      </c>
    </row>
    <row r="47" spans="2:7" x14ac:dyDescent="0.3">
      <c r="B47" s="33" t="s">
        <v>636</v>
      </c>
      <c r="C47" s="58" t="s">
        <v>654</v>
      </c>
      <c r="D47" s="55" t="s">
        <v>655</v>
      </c>
      <c r="E47" s="33">
        <v>2012</v>
      </c>
      <c r="F47" s="62">
        <v>43318</v>
      </c>
      <c r="G47" s="57" t="s">
        <v>656</v>
      </c>
    </row>
    <row r="48" spans="2:7" x14ac:dyDescent="0.3">
      <c r="B48" s="33" t="s">
        <v>637</v>
      </c>
      <c r="C48" s="58" t="s">
        <v>646</v>
      </c>
      <c r="D48" s="55" t="s">
        <v>659</v>
      </c>
      <c r="E48" s="33" t="s">
        <v>575</v>
      </c>
      <c r="F48" s="62">
        <v>43367</v>
      </c>
      <c r="G48" s="57" t="s">
        <v>658</v>
      </c>
    </row>
    <row r="49" spans="2:7" x14ac:dyDescent="0.3">
      <c r="B49" s="33" t="s">
        <v>638</v>
      </c>
      <c r="C49" s="58" t="s">
        <v>661</v>
      </c>
      <c r="D49" s="55" t="s">
        <v>660</v>
      </c>
      <c r="E49" s="33">
        <v>1996</v>
      </c>
      <c r="F49" s="62">
        <v>43624</v>
      </c>
      <c r="G49" s="57" t="s">
        <v>662</v>
      </c>
    </row>
    <row r="50" spans="2:7" x14ac:dyDescent="0.3">
      <c r="B50" s="33" t="s">
        <v>639</v>
      </c>
      <c r="C50" s="58" t="s">
        <v>646</v>
      </c>
      <c r="D50" s="55" t="s">
        <v>665</v>
      </c>
      <c r="E50" s="33" t="s">
        <v>575</v>
      </c>
      <c r="F50" s="62">
        <v>43367</v>
      </c>
      <c r="G50" s="57" t="s">
        <v>664</v>
      </c>
    </row>
    <row r="51" spans="2:7" x14ac:dyDescent="0.3">
      <c r="B51" s="33" t="s">
        <v>640</v>
      </c>
      <c r="C51" s="58" t="s">
        <v>668</v>
      </c>
      <c r="D51" s="55" t="s">
        <v>667</v>
      </c>
      <c r="E51" s="33">
        <v>2017</v>
      </c>
      <c r="F51" s="62">
        <v>43624</v>
      </c>
      <c r="G51" s="57" t="s">
        <v>666</v>
      </c>
    </row>
    <row r="52" spans="2:7" x14ac:dyDescent="0.3">
      <c r="B52" s="33" t="s">
        <v>624</v>
      </c>
      <c r="C52" s="58" t="s">
        <v>670</v>
      </c>
      <c r="D52" s="55" t="s">
        <v>671</v>
      </c>
      <c r="E52" s="33">
        <v>2017</v>
      </c>
      <c r="F52" s="62">
        <v>43418</v>
      </c>
      <c r="G52" s="57" t="s">
        <v>669</v>
      </c>
    </row>
    <row r="53" spans="2:7" x14ac:dyDescent="0.3">
      <c r="B53" s="33" t="s">
        <v>641</v>
      </c>
      <c r="C53" s="58" t="s">
        <v>674</v>
      </c>
      <c r="D53" s="98" t="s">
        <v>673</v>
      </c>
      <c r="E53" s="33" t="s">
        <v>575</v>
      </c>
      <c r="F53" s="62">
        <v>43624</v>
      </c>
      <c r="G53" s="57" t="s">
        <v>672</v>
      </c>
    </row>
    <row r="54" spans="2:7" x14ac:dyDescent="0.3">
      <c r="B54" s="33" t="s">
        <v>676</v>
      </c>
      <c r="C54" s="58" t="s">
        <v>679</v>
      </c>
      <c r="D54" s="55" t="s">
        <v>678</v>
      </c>
      <c r="E54" s="33">
        <v>2017</v>
      </c>
      <c r="F54" s="62">
        <v>43624</v>
      </c>
      <c r="G54" s="57" t="s">
        <v>677</v>
      </c>
    </row>
    <row r="55" spans="2:7" x14ac:dyDescent="0.3">
      <c r="F55" s="62"/>
      <c r="G55" s="57"/>
    </row>
    <row r="56" spans="2:7" x14ac:dyDescent="0.3">
      <c r="F56" s="62"/>
      <c r="G56" s="57"/>
    </row>
    <row r="57" spans="2:7" s="65" customFormat="1" ht="15.5" thickBot="1" x14ac:dyDescent="0.35">
      <c r="C57" s="93" t="s">
        <v>680</v>
      </c>
      <c r="D57" s="93"/>
      <c r="E57" s="93"/>
      <c r="F57" s="93"/>
      <c r="G57" s="136"/>
    </row>
    <row r="58" spans="2:7" ht="14" thickTop="1" x14ac:dyDescent="0.3">
      <c r="F58" s="62"/>
      <c r="G58" s="57"/>
    </row>
    <row r="59" spans="2:7" x14ac:dyDescent="0.3">
      <c r="B59" s="33" t="s">
        <v>681</v>
      </c>
      <c r="C59" s="58" t="s">
        <v>687</v>
      </c>
      <c r="D59" s="55" t="s">
        <v>688</v>
      </c>
      <c r="E59" s="33" t="s">
        <v>575</v>
      </c>
      <c r="F59" s="62">
        <v>43287</v>
      </c>
      <c r="G59" s="57" t="s">
        <v>686</v>
      </c>
    </row>
    <row r="60" spans="2:7" x14ac:dyDescent="0.3">
      <c r="B60" s="33" t="s">
        <v>682</v>
      </c>
      <c r="C60" s="58" t="s">
        <v>691</v>
      </c>
      <c r="D60" s="55" t="s">
        <v>690</v>
      </c>
      <c r="E60" s="33">
        <v>2015</v>
      </c>
      <c r="F60" s="62">
        <v>43287</v>
      </c>
      <c r="G60" s="57" t="s">
        <v>689</v>
      </c>
    </row>
    <row r="61" spans="2:7" x14ac:dyDescent="0.3">
      <c r="B61" s="33" t="s">
        <v>657</v>
      </c>
      <c r="C61" s="58" t="s">
        <v>696</v>
      </c>
      <c r="D61" s="55" t="s">
        <v>694</v>
      </c>
      <c r="E61" s="33">
        <v>2007</v>
      </c>
      <c r="F61" s="62">
        <v>43287</v>
      </c>
      <c r="G61" s="57" t="s">
        <v>695</v>
      </c>
    </row>
    <row r="62" spans="2:7" x14ac:dyDescent="0.3">
      <c r="B62" s="33" t="s">
        <v>683</v>
      </c>
      <c r="C62" s="58" t="s">
        <v>698</v>
      </c>
      <c r="D62" s="55" t="s">
        <v>699</v>
      </c>
      <c r="E62" s="33" t="s">
        <v>575</v>
      </c>
      <c r="F62" s="62">
        <v>43624</v>
      </c>
      <c r="G62" s="57" t="s">
        <v>697</v>
      </c>
    </row>
    <row r="63" spans="2:7" x14ac:dyDescent="0.3">
      <c r="B63" s="33" t="s">
        <v>684</v>
      </c>
      <c r="C63" s="58" t="s">
        <v>700</v>
      </c>
      <c r="D63" s="55" t="s">
        <v>702</v>
      </c>
      <c r="E63" s="33">
        <v>2017</v>
      </c>
      <c r="F63" s="62">
        <v>43318</v>
      </c>
      <c r="G63" s="57" t="s">
        <v>701</v>
      </c>
    </row>
    <row r="64" spans="2:7" x14ac:dyDescent="0.3">
      <c r="B64" s="33" t="s">
        <v>685</v>
      </c>
      <c r="C64" s="58" t="s">
        <v>704</v>
      </c>
      <c r="D64" s="55" t="s">
        <v>705</v>
      </c>
      <c r="E64" s="33">
        <v>2012</v>
      </c>
      <c r="F64" s="62">
        <v>43624</v>
      </c>
      <c r="G64" s="57" t="s">
        <v>706</v>
      </c>
    </row>
    <row r="65" spans="2:7" x14ac:dyDescent="0.3">
      <c r="B65" s="33" t="s">
        <v>663</v>
      </c>
      <c r="C65" s="58" t="s">
        <v>530</v>
      </c>
      <c r="D65" s="55" t="s">
        <v>708</v>
      </c>
      <c r="E65" s="33">
        <v>2015</v>
      </c>
      <c r="F65" s="62">
        <v>43371</v>
      </c>
      <c r="G65" s="57" t="s">
        <v>707</v>
      </c>
    </row>
    <row r="66" spans="2:7" x14ac:dyDescent="0.3">
      <c r="B66" s="33" t="s">
        <v>709</v>
      </c>
      <c r="C66" s="58" t="s">
        <v>710</v>
      </c>
      <c r="D66" s="135" t="s">
        <v>711</v>
      </c>
      <c r="E66" s="33">
        <v>2012</v>
      </c>
      <c r="F66" s="62">
        <v>43318</v>
      </c>
      <c r="G66" s="57" t="s">
        <v>712</v>
      </c>
    </row>
    <row r="67" spans="2:7" x14ac:dyDescent="0.3">
      <c r="B67" s="33" t="s">
        <v>713</v>
      </c>
      <c r="C67" s="58" t="s">
        <v>714</v>
      </c>
      <c r="D67" s="55" t="s">
        <v>716</v>
      </c>
      <c r="E67" s="33">
        <v>2019</v>
      </c>
      <c r="F67" s="62">
        <v>43624</v>
      </c>
      <c r="G67" s="57" t="s">
        <v>715</v>
      </c>
    </row>
    <row r="68" spans="2:7" x14ac:dyDescent="0.3">
      <c r="B68" s="33" t="s">
        <v>623</v>
      </c>
      <c r="C68" s="58" t="s">
        <v>719</v>
      </c>
      <c r="D68" s="55" t="s">
        <v>718</v>
      </c>
      <c r="E68" s="33" t="s">
        <v>575</v>
      </c>
      <c r="F68" s="62">
        <v>43624</v>
      </c>
      <c r="G68" s="57" t="s">
        <v>717</v>
      </c>
    </row>
    <row r="69" spans="2:7" x14ac:dyDescent="0.3">
      <c r="B69" s="33" t="s">
        <v>692</v>
      </c>
      <c r="C69" s="58" t="s">
        <v>714</v>
      </c>
      <c r="D69" s="55" t="s">
        <v>720</v>
      </c>
      <c r="E69" s="33">
        <v>2019</v>
      </c>
      <c r="F69" s="62">
        <v>43624</v>
      </c>
      <c r="G69" s="57" t="s">
        <v>721</v>
      </c>
    </row>
    <row r="70" spans="2:7" x14ac:dyDescent="0.3">
      <c r="B70" s="33" t="s">
        <v>722</v>
      </c>
      <c r="C70" s="58" t="s">
        <v>724</v>
      </c>
      <c r="D70" s="55" t="s">
        <v>725</v>
      </c>
      <c r="E70" s="33">
        <v>2012</v>
      </c>
      <c r="F70" s="62">
        <v>43624</v>
      </c>
      <c r="G70" s="57" t="s">
        <v>723</v>
      </c>
    </row>
    <row r="71" spans="2:7" x14ac:dyDescent="0.3">
      <c r="B71" s="33" t="s">
        <v>693</v>
      </c>
      <c r="C71" s="58" t="s">
        <v>728</v>
      </c>
      <c r="D71" s="55" t="s">
        <v>729</v>
      </c>
      <c r="E71" s="33">
        <v>2015</v>
      </c>
      <c r="F71" s="62">
        <v>43624</v>
      </c>
      <c r="G71" s="57" t="s">
        <v>730</v>
      </c>
    </row>
    <row r="72" spans="2:7" x14ac:dyDescent="0.3">
      <c r="B72" s="33" t="s">
        <v>731</v>
      </c>
      <c r="C72" s="58" t="s">
        <v>687</v>
      </c>
      <c r="D72" s="55" t="s">
        <v>732</v>
      </c>
      <c r="E72" s="33" t="s">
        <v>575</v>
      </c>
      <c r="F72" s="62">
        <v>43287</v>
      </c>
      <c r="G72" s="57" t="s">
        <v>733</v>
      </c>
    </row>
    <row r="73" spans="2:7" x14ac:dyDescent="0.3">
      <c r="B73" s="33" t="s">
        <v>734</v>
      </c>
      <c r="C73" s="58" t="s">
        <v>737</v>
      </c>
      <c r="D73" s="55" t="s">
        <v>735</v>
      </c>
      <c r="E73" s="33">
        <v>2018</v>
      </c>
      <c r="F73" s="62">
        <v>43411</v>
      </c>
      <c r="G73" s="57" t="s">
        <v>736</v>
      </c>
    </row>
    <row r="76" spans="2:7" s="65" customFormat="1" ht="15.5" thickBot="1" x14ac:dyDescent="0.35">
      <c r="C76" s="93" t="s">
        <v>738</v>
      </c>
      <c r="D76" s="93"/>
      <c r="E76" s="93"/>
      <c r="F76" s="93"/>
      <c r="G76" s="136"/>
    </row>
    <row r="77" spans="2:7" ht="14" thickTop="1" x14ac:dyDescent="0.3">
      <c r="F77" s="62"/>
      <c r="G77" s="57"/>
    </row>
    <row r="78" spans="2:7" x14ac:dyDescent="0.3">
      <c r="B78" s="33" t="s">
        <v>739</v>
      </c>
      <c r="C78" s="58" t="s">
        <v>741</v>
      </c>
      <c r="D78" s="55" t="s">
        <v>742</v>
      </c>
      <c r="E78" s="33">
        <v>2017</v>
      </c>
      <c r="F78" s="62">
        <v>43510</v>
      </c>
      <c r="G78" s="57" t="s">
        <v>743</v>
      </c>
    </row>
    <row r="79" spans="2:7" x14ac:dyDescent="0.3">
      <c r="B79" s="33" t="s">
        <v>740</v>
      </c>
      <c r="C79" s="58" t="s">
        <v>147</v>
      </c>
      <c r="D79" s="55" t="s">
        <v>744</v>
      </c>
      <c r="E79" s="33" t="s">
        <v>575</v>
      </c>
      <c r="F79" s="62">
        <v>43624</v>
      </c>
      <c r="G79" s="57" t="s">
        <v>745</v>
      </c>
    </row>
    <row r="82" spans="2:7" s="65" customFormat="1" ht="15.5" thickBot="1" x14ac:dyDescent="0.35">
      <c r="C82" s="93" t="s">
        <v>746</v>
      </c>
      <c r="D82" s="93"/>
      <c r="E82" s="93"/>
      <c r="F82" s="93"/>
      <c r="G82" s="136"/>
    </row>
    <row r="83" spans="2:7" ht="14" thickTop="1" x14ac:dyDescent="0.3">
      <c r="F83" s="62"/>
      <c r="G83" s="57"/>
    </row>
    <row r="84" spans="2:7" x14ac:dyDescent="0.3">
      <c r="B84" s="33" t="s">
        <v>747</v>
      </c>
      <c r="C84" s="58" t="s">
        <v>147</v>
      </c>
      <c r="D84" s="55" t="s">
        <v>758</v>
      </c>
      <c r="E84" s="33" t="s">
        <v>575</v>
      </c>
      <c r="F84" s="62">
        <v>43624</v>
      </c>
      <c r="G84" s="57" t="s">
        <v>757</v>
      </c>
    </row>
    <row r="85" spans="2:7" x14ac:dyDescent="0.3">
      <c r="B85" s="33" t="s">
        <v>748</v>
      </c>
      <c r="C85" s="58" t="s">
        <v>760</v>
      </c>
      <c r="D85" s="55" t="s">
        <v>761</v>
      </c>
      <c r="E85" s="33" t="s">
        <v>575</v>
      </c>
      <c r="F85" s="62">
        <v>43315</v>
      </c>
      <c r="G85" s="57" t="s">
        <v>759</v>
      </c>
    </row>
    <row r="86" spans="2:7" x14ac:dyDescent="0.3">
      <c r="B86" s="33" t="s">
        <v>749</v>
      </c>
      <c r="C86" s="58" t="s">
        <v>536</v>
      </c>
      <c r="D86" s="55" t="s">
        <v>762</v>
      </c>
      <c r="E86" s="33">
        <v>2011</v>
      </c>
      <c r="F86" s="62">
        <v>43614</v>
      </c>
      <c r="G86" s="57" t="s">
        <v>763</v>
      </c>
    </row>
    <row r="87" spans="2:7" x14ac:dyDescent="0.3">
      <c r="B87" s="33" t="s">
        <v>750</v>
      </c>
      <c r="C87" s="58" t="s">
        <v>765</v>
      </c>
      <c r="D87" s="55" t="s">
        <v>766</v>
      </c>
      <c r="E87" s="33">
        <v>2018</v>
      </c>
      <c r="F87" s="62">
        <v>43624</v>
      </c>
      <c r="G87" s="57" t="s">
        <v>764</v>
      </c>
    </row>
    <row r="88" spans="2:7" x14ac:dyDescent="0.3">
      <c r="B88" s="33" t="s">
        <v>751</v>
      </c>
      <c r="C88" s="58" t="s">
        <v>760</v>
      </c>
      <c r="D88" s="55" t="s">
        <v>768</v>
      </c>
      <c r="E88" s="33" t="s">
        <v>575</v>
      </c>
      <c r="F88" s="62">
        <v>43315</v>
      </c>
      <c r="G88" s="57" t="s">
        <v>767</v>
      </c>
    </row>
    <row r="89" spans="2:7" x14ac:dyDescent="0.3">
      <c r="B89" s="33" t="s">
        <v>752</v>
      </c>
      <c r="C89" s="58" t="s">
        <v>760</v>
      </c>
      <c r="D89" s="55" t="s">
        <v>770</v>
      </c>
      <c r="E89" s="33" t="s">
        <v>575</v>
      </c>
      <c r="F89" s="62">
        <v>43315</v>
      </c>
      <c r="G89" s="57" t="s">
        <v>769</v>
      </c>
    </row>
    <row r="90" spans="2:7" x14ac:dyDescent="0.3">
      <c r="B90" s="33" t="s">
        <v>753</v>
      </c>
      <c r="C90" s="58" t="s">
        <v>771</v>
      </c>
      <c r="D90" s="55" t="s">
        <v>772</v>
      </c>
      <c r="E90" s="33">
        <v>2014</v>
      </c>
      <c r="F90" s="62">
        <v>43624</v>
      </c>
      <c r="G90" s="57" t="s">
        <v>773</v>
      </c>
    </row>
    <row r="91" spans="2:7" x14ac:dyDescent="0.3">
      <c r="B91" s="33" t="s">
        <v>754</v>
      </c>
      <c r="C91" s="58" t="s">
        <v>760</v>
      </c>
      <c r="D91" s="55" t="s">
        <v>776</v>
      </c>
      <c r="E91" s="33" t="s">
        <v>575</v>
      </c>
      <c r="F91" s="62">
        <v>43315</v>
      </c>
      <c r="G91" s="57" t="s">
        <v>777</v>
      </c>
    </row>
    <row r="92" spans="2:7" x14ac:dyDescent="0.3">
      <c r="B92" s="33" t="s">
        <v>755</v>
      </c>
      <c r="C92" s="58" t="s">
        <v>760</v>
      </c>
      <c r="D92" s="55" t="s">
        <v>779</v>
      </c>
      <c r="E92" s="33" t="s">
        <v>575</v>
      </c>
      <c r="F92" s="62">
        <v>43315</v>
      </c>
      <c r="G92" s="57" t="s">
        <v>778</v>
      </c>
    </row>
    <row r="93" spans="2:7" x14ac:dyDescent="0.3">
      <c r="B93" s="33" t="s">
        <v>756</v>
      </c>
      <c r="C93" s="58" t="s">
        <v>782</v>
      </c>
      <c r="D93" s="55" t="s">
        <v>781</v>
      </c>
      <c r="E93" s="33" t="s">
        <v>575</v>
      </c>
      <c r="F93" s="62">
        <v>43649</v>
      </c>
      <c r="G93" s="57" t="s">
        <v>780</v>
      </c>
    </row>
    <row r="94" spans="2:7" x14ac:dyDescent="0.3">
      <c r="B94" s="33" t="s">
        <v>783</v>
      </c>
      <c r="C94" s="58" t="s">
        <v>790</v>
      </c>
      <c r="D94" s="55" t="s">
        <v>791</v>
      </c>
      <c r="E94" s="33" t="s">
        <v>575</v>
      </c>
      <c r="F94" s="62">
        <v>43624</v>
      </c>
      <c r="G94" s="57" t="s">
        <v>792</v>
      </c>
    </row>
    <row r="95" spans="2:7" x14ac:dyDescent="0.3">
      <c r="B95" s="33" t="s">
        <v>784</v>
      </c>
      <c r="C95" s="58" t="s">
        <v>147</v>
      </c>
      <c r="D95" s="55" t="s">
        <v>10</v>
      </c>
      <c r="E95" s="33" t="s">
        <v>575</v>
      </c>
      <c r="F95" s="62">
        <v>43624</v>
      </c>
      <c r="G95" s="57" t="s">
        <v>794</v>
      </c>
    </row>
    <row r="96" spans="2:7" x14ac:dyDescent="0.3">
      <c r="B96" s="33" t="s">
        <v>785</v>
      </c>
      <c r="C96" s="58" t="s">
        <v>1027</v>
      </c>
      <c r="D96" s="55" t="s">
        <v>793</v>
      </c>
      <c r="E96" s="33">
        <v>2006</v>
      </c>
      <c r="F96" s="62">
        <v>43669</v>
      </c>
      <c r="G96" s="57" t="s">
        <v>1026</v>
      </c>
    </row>
    <row r="97" spans="2:7" x14ac:dyDescent="0.3">
      <c r="B97" s="33" t="s">
        <v>786</v>
      </c>
      <c r="C97" s="58" t="s">
        <v>147</v>
      </c>
      <c r="D97" s="55" t="s">
        <v>1052</v>
      </c>
      <c r="E97" s="33" t="s">
        <v>575</v>
      </c>
      <c r="F97" s="62">
        <v>43315</v>
      </c>
      <c r="G97" s="57" t="s">
        <v>1025</v>
      </c>
    </row>
    <row r="98" spans="2:7" x14ac:dyDescent="0.3">
      <c r="B98" s="33" t="s">
        <v>787</v>
      </c>
      <c r="C98" s="58" t="s">
        <v>796</v>
      </c>
      <c r="D98" s="55" t="s">
        <v>795</v>
      </c>
      <c r="E98" s="33">
        <v>2005</v>
      </c>
      <c r="F98" s="62">
        <v>43624</v>
      </c>
      <c r="G98" s="57" t="s">
        <v>797</v>
      </c>
    </row>
    <row r="99" spans="2:7" x14ac:dyDescent="0.3">
      <c r="B99" s="33" t="s">
        <v>788</v>
      </c>
      <c r="C99" s="58" t="s">
        <v>760</v>
      </c>
      <c r="D99" s="55" t="s">
        <v>798</v>
      </c>
      <c r="E99" s="33" t="s">
        <v>575</v>
      </c>
      <c r="F99" s="62">
        <v>43315</v>
      </c>
      <c r="G99" s="57" t="s">
        <v>799</v>
      </c>
    </row>
    <row r="100" spans="2:7" x14ac:dyDescent="0.3">
      <c r="B100" s="33" t="s">
        <v>789</v>
      </c>
      <c r="C100" s="58" t="s">
        <v>760</v>
      </c>
      <c r="D100" s="55" t="s">
        <v>806</v>
      </c>
      <c r="E100" s="33" t="s">
        <v>575</v>
      </c>
      <c r="F100" s="62">
        <v>43315</v>
      </c>
      <c r="G100" s="57" t="s">
        <v>805</v>
      </c>
    </row>
    <row r="101" spans="2:7" x14ac:dyDescent="0.3">
      <c r="B101" s="33" t="s">
        <v>800</v>
      </c>
      <c r="C101" s="58" t="s">
        <v>147</v>
      </c>
      <c r="D101" s="55" t="s">
        <v>807</v>
      </c>
      <c r="E101" s="33" t="s">
        <v>575</v>
      </c>
      <c r="F101" s="62">
        <v>43624</v>
      </c>
      <c r="G101" s="57" t="s">
        <v>808</v>
      </c>
    </row>
    <row r="102" spans="2:7" x14ac:dyDescent="0.3">
      <c r="B102" s="33" t="s">
        <v>774</v>
      </c>
      <c r="C102" s="58" t="s">
        <v>147</v>
      </c>
      <c r="D102" s="55" t="s">
        <v>810</v>
      </c>
      <c r="E102" s="33" t="s">
        <v>575</v>
      </c>
      <c r="F102" s="62">
        <v>43624</v>
      </c>
      <c r="G102" s="57" t="s">
        <v>809</v>
      </c>
    </row>
    <row r="103" spans="2:7" x14ac:dyDescent="0.3">
      <c r="B103" s="33" t="s">
        <v>801</v>
      </c>
      <c r="C103" s="58" t="s">
        <v>760</v>
      </c>
      <c r="D103" s="55" t="s">
        <v>811</v>
      </c>
      <c r="E103" s="33" t="s">
        <v>575</v>
      </c>
      <c r="F103" s="62">
        <v>43315</v>
      </c>
      <c r="G103" s="57" t="s">
        <v>812</v>
      </c>
    </row>
    <row r="104" spans="2:7" x14ac:dyDescent="0.3">
      <c r="B104" s="33" t="s">
        <v>802</v>
      </c>
      <c r="C104" s="58" t="s">
        <v>760</v>
      </c>
      <c r="D104" s="55" t="s">
        <v>814</v>
      </c>
      <c r="E104" s="33" t="s">
        <v>575</v>
      </c>
      <c r="F104" s="62">
        <v>43315</v>
      </c>
      <c r="G104" s="57" t="s">
        <v>813</v>
      </c>
    </row>
    <row r="105" spans="2:7" x14ac:dyDescent="0.3">
      <c r="B105" s="33" t="s">
        <v>803</v>
      </c>
      <c r="C105" s="58" t="s">
        <v>147</v>
      </c>
      <c r="D105" s="55" t="s">
        <v>817</v>
      </c>
      <c r="E105" s="33" t="s">
        <v>575</v>
      </c>
      <c r="F105" s="62">
        <v>43624</v>
      </c>
      <c r="G105" s="57" t="s">
        <v>816</v>
      </c>
    </row>
    <row r="106" spans="2:7" x14ac:dyDescent="0.3">
      <c r="B106" s="33" t="s">
        <v>804</v>
      </c>
      <c r="C106" s="58" t="s">
        <v>760</v>
      </c>
      <c r="D106" s="55" t="s">
        <v>824</v>
      </c>
      <c r="E106" s="33" t="s">
        <v>575</v>
      </c>
      <c r="F106" s="62">
        <v>43315</v>
      </c>
      <c r="G106" s="57" t="s">
        <v>823</v>
      </c>
    </row>
    <row r="107" spans="2:7" x14ac:dyDescent="0.3">
      <c r="B107" s="33" t="s">
        <v>818</v>
      </c>
      <c r="C107" s="58" t="s">
        <v>147</v>
      </c>
      <c r="D107" s="55" t="s">
        <v>826</v>
      </c>
      <c r="E107" s="33" t="s">
        <v>575</v>
      </c>
      <c r="F107" s="62">
        <v>43624</v>
      </c>
      <c r="G107" s="57" t="s">
        <v>825</v>
      </c>
    </row>
    <row r="108" spans="2:7" x14ac:dyDescent="0.3">
      <c r="B108" s="33" t="s">
        <v>819</v>
      </c>
      <c r="C108" s="58" t="s">
        <v>760</v>
      </c>
      <c r="D108" s="55" t="s">
        <v>827</v>
      </c>
      <c r="E108" s="33" t="s">
        <v>575</v>
      </c>
      <c r="F108" s="62">
        <v>43315</v>
      </c>
      <c r="G108" s="57" t="s">
        <v>823</v>
      </c>
    </row>
    <row r="109" spans="2:7" x14ac:dyDescent="0.3">
      <c r="B109" s="33" t="s">
        <v>775</v>
      </c>
      <c r="C109" s="58" t="s">
        <v>828</v>
      </c>
      <c r="D109" s="55" t="s">
        <v>830</v>
      </c>
      <c r="E109" s="33" t="s">
        <v>575</v>
      </c>
      <c r="F109" s="62">
        <v>43668</v>
      </c>
      <c r="G109" s="57" t="s">
        <v>829</v>
      </c>
    </row>
    <row r="110" spans="2:7" x14ac:dyDescent="0.3">
      <c r="B110" s="33" t="s">
        <v>820</v>
      </c>
      <c r="C110" s="58" t="s">
        <v>1160</v>
      </c>
      <c r="D110" s="55" t="s">
        <v>832</v>
      </c>
      <c r="E110" s="33">
        <v>2017</v>
      </c>
      <c r="F110" s="62">
        <v>43668</v>
      </c>
      <c r="G110" s="57" t="s">
        <v>831</v>
      </c>
    </row>
    <row r="111" spans="2:7" x14ac:dyDescent="0.3">
      <c r="B111" s="33" t="s">
        <v>821</v>
      </c>
      <c r="C111" s="58" t="s">
        <v>760</v>
      </c>
      <c r="D111" s="55" t="s">
        <v>835</v>
      </c>
      <c r="E111" s="33" t="s">
        <v>575</v>
      </c>
      <c r="F111" s="62">
        <v>43315</v>
      </c>
      <c r="G111" s="57" t="s">
        <v>834</v>
      </c>
    </row>
    <row r="112" spans="2:7" x14ac:dyDescent="0.3">
      <c r="B112" s="33" t="s">
        <v>822</v>
      </c>
      <c r="C112" s="58" t="s">
        <v>840</v>
      </c>
      <c r="D112" s="55" t="s">
        <v>841</v>
      </c>
      <c r="E112" s="33">
        <v>2019</v>
      </c>
      <c r="F112" s="62">
        <v>43482</v>
      </c>
      <c r="G112" s="57" t="s">
        <v>842</v>
      </c>
    </row>
    <row r="113" spans="2:7" x14ac:dyDescent="0.3">
      <c r="B113" s="33" t="s">
        <v>836</v>
      </c>
      <c r="C113" s="58" t="s">
        <v>147</v>
      </c>
      <c r="D113" s="55" t="s">
        <v>843</v>
      </c>
      <c r="E113" s="33" t="s">
        <v>575</v>
      </c>
      <c r="F113" s="62">
        <v>43668</v>
      </c>
      <c r="G113" s="57" t="s">
        <v>844</v>
      </c>
    </row>
    <row r="114" spans="2:7" x14ac:dyDescent="0.3">
      <c r="B114" s="33" t="s">
        <v>837</v>
      </c>
      <c r="C114" s="58" t="s">
        <v>760</v>
      </c>
      <c r="D114" s="55" t="s">
        <v>846</v>
      </c>
      <c r="E114" s="33" t="s">
        <v>575</v>
      </c>
      <c r="F114" s="62">
        <v>43315</v>
      </c>
      <c r="G114" s="57" t="s">
        <v>845</v>
      </c>
    </row>
    <row r="115" spans="2:7" x14ac:dyDescent="0.3">
      <c r="B115" s="33" t="s">
        <v>838</v>
      </c>
      <c r="C115" s="58" t="s">
        <v>760</v>
      </c>
      <c r="D115" s="55" t="s">
        <v>847</v>
      </c>
      <c r="E115" s="33" t="s">
        <v>575</v>
      </c>
      <c r="F115" s="62">
        <v>43315</v>
      </c>
      <c r="G115" s="57" t="s">
        <v>845</v>
      </c>
    </row>
    <row r="116" spans="2:7" x14ac:dyDescent="0.3">
      <c r="B116" s="33" t="s">
        <v>839</v>
      </c>
      <c r="C116" s="58" t="s">
        <v>760</v>
      </c>
      <c r="D116" s="55" t="s">
        <v>849</v>
      </c>
      <c r="E116" s="33" t="s">
        <v>575</v>
      </c>
      <c r="F116" s="62">
        <v>43315</v>
      </c>
      <c r="G116" s="57" t="s">
        <v>848</v>
      </c>
    </row>
    <row r="117" spans="2:7" x14ac:dyDescent="0.3">
      <c r="B117" s="33" t="s">
        <v>850</v>
      </c>
      <c r="C117" s="58" t="s">
        <v>760</v>
      </c>
      <c r="D117" s="55" t="s">
        <v>852</v>
      </c>
      <c r="E117" s="33" t="s">
        <v>575</v>
      </c>
      <c r="F117" s="62">
        <v>43315</v>
      </c>
      <c r="G117" s="57" t="s">
        <v>853</v>
      </c>
    </row>
    <row r="118" spans="2:7" x14ac:dyDescent="0.3">
      <c r="B118" s="33" t="s">
        <v>851</v>
      </c>
      <c r="C118" s="58" t="s">
        <v>760</v>
      </c>
      <c r="D118" s="55" t="s">
        <v>855</v>
      </c>
      <c r="E118" s="33">
        <v>2015</v>
      </c>
      <c r="F118" s="62">
        <v>43668</v>
      </c>
      <c r="G118" s="57" t="s">
        <v>854</v>
      </c>
    </row>
    <row r="119" spans="2:7" x14ac:dyDescent="0.3">
      <c r="B119" s="33" t="s">
        <v>856</v>
      </c>
      <c r="C119" s="58" t="s">
        <v>760</v>
      </c>
      <c r="D119" s="55" t="s">
        <v>857</v>
      </c>
      <c r="E119" s="33" t="s">
        <v>575</v>
      </c>
      <c r="F119" s="62">
        <v>43315</v>
      </c>
      <c r="G119" s="57" t="s">
        <v>858</v>
      </c>
    </row>
    <row r="122" spans="2:7" s="65" customFormat="1" ht="15.5" thickBot="1" x14ac:dyDescent="0.35">
      <c r="C122" s="93" t="s">
        <v>860</v>
      </c>
      <c r="D122" s="93"/>
      <c r="E122" s="93"/>
      <c r="F122" s="93"/>
      <c r="G122" s="136"/>
    </row>
    <row r="123" spans="2:7" ht="14" thickTop="1" x14ac:dyDescent="0.3">
      <c r="F123" s="62"/>
      <c r="G123" s="57"/>
    </row>
    <row r="124" spans="2:7" x14ac:dyDescent="0.3">
      <c r="B124" s="33" t="s">
        <v>859</v>
      </c>
      <c r="C124" s="58" t="s">
        <v>865</v>
      </c>
      <c r="D124" s="55" t="s">
        <v>864</v>
      </c>
      <c r="E124" s="33" t="s">
        <v>575</v>
      </c>
      <c r="F124" s="62">
        <v>43624</v>
      </c>
      <c r="G124" s="57" t="s">
        <v>863</v>
      </c>
    </row>
    <row r="125" spans="2:7" x14ac:dyDescent="0.3">
      <c r="B125" s="33" t="s">
        <v>861</v>
      </c>
      <c r="C125" s="58" t="s">
        <v>865</v>
      </c>
      <c r="D125" s="55" t="s">
        <v>866</v>
      </c>
      <c r="E125" s="33" t="s">
        <v>575</v>
      </c>
      <c r="F125" s="62">
        <v>43624</v>
      </c>
      <c r="G125" s="57" t="s">
        <v>867</v>
      </c>
    </row>
    <row r="126" spans="2:7" x14ac:dyDescent="0.3">
      <c r="B126" s="33" t="s">
        <v>862</v>
      </c>
      <c r="C126" s="58" t="s">
        <v>872</v>
      </c>
      <c r="D126" s="55" t="s">
        <v>871</v>
      </c>
      <c r="E126" s="33">
        <v>2015</v>
      </c>
      <c r="F126" s="62">
        <v>43624</v>
      </c>
      <c r="G126" s="57" t="s">
        <v>870</v>
      </c>
    </row>
    <row r="127" spans="2:7" x14ac:dyDescent="0.3">
      <c r="B127" s="33" t="s">
        <v>868</v>
      </c>
      <c r="C127" s="58" t="s">
        <v>650</v>
      </c>
      <c r="D127" s="55" t="s">
        <v>874</v>
      </c>
      <c r="E127" s="33" t="s">
        <v>575</v>
      </c>
      <c r="F127" s="62">
        <v>43624</v>
      </c>
      <c r="G127" s="57" t="s">
        <v>873</v>
      </c>
    </row>
    <row r="128" spans="2:7" x14ac:dyDescent="0.3">
      <c r="B128" s="33" t="s">
        <v>869</v>
      </c>
      <c r="C128" s="58" t="s">
        <v>880</v>
      </c>
      <c r="D128" s="55" t="s">
        <v>881</v>
      </c>
      <c r="E128" s="33">
        <v>2016</v>
      </c>
      <c r="F128" s="62">
        <v>43497</v>
      </c>
      <c r="G128" s="57" t="s">
        <v>882</v>
      </c>
    </row>
    <row r="129" spans="2:7" x14ac:dyDescent="0.3">
      <c r="B129" s="33" t="s">
        <v>875</v>
      </c>
      <c r="C129" s="58" t="s">
        <v>1059</v>
      </c>
      <c r="D129" s="55" t="s">
        <v>1060</v>
      </c>
      <c r="E129" s="33">
        <v>2018</v>
      </c>
      <c r="F129" s="62">
        <v>43369</v>
      </c>
      <c r="G129" s="57" t="s">
        <v>1061</v>
      </c>
    </row>
    <row r="130" spans="2:7" x14ac:dyDescent="0.3">
      <c r="B130" s="33" t="s">
        <v>876</v>
      </c>
      <c r="C130" s="58" t="s">
        <v>1056</v>
      </c>
      <c r="D130" s="55" t="s">
        <v>1054</v>
      </c>
      <c r="E130" s="33" t="s">
        <v>575</v>
      </c>
      <c r="F130" s="62">
        <v>43669</v>
      </c>
      <c r="G130" s="57" t="s">
        <v>1055</v>
      </c>
    </row>
    <row r="131" spans="2:7" x14ac:dyDescent="0.3">
      <c r="B131" s="33" t="s">
        <v>877</v>
      </c>
      <c r="C131" s="58" t="s">
        <v>885</v>
      </c>
      <c r="D131" s="55" t="s">
        <v>883</v>
      </c>
      <c r="E131" s="33">
        <v>2009</v>
      </c>
      <c r="F131" s="62">
        <v>43624</v>
      </c>
      <c r="G131" s="57" t="s">
        <v>884</v>
      </c>
    </row>
    <row r="134" spans="2:7" s="65" customFormat="1" ht="15.5" thickBot="1" x14ac:dyDescent="0.35">
      <c r="C134" s="93" t="s">
        <v>886</v>
      </c>
      <c r="D134" s="93"/>
      <c r="E134" s="93"/>
      <c r="F134" s="93"/>
      <c r="G134" s="136"/>
    </row>
    <row r="135" spans="2:7" ht="14" thickTop="1" x14ac:dyDescent="0.3">
      <c r="F135" s="62"/>
      <c r="G135" s="57"/>
    </row>
    <row r="136" spans="2:7" x14ac:dyDescent="0.3">
      <c r="B136" s="33" t="s">
        <v>878</v>
      </c>
      <c r="C136" s="58" t="s">
        <v>890</v>
      </c>
      <c r="D136" s="55" t="s">
        <v>891</v>
      </c>
      <c r="E136" s="33">
        <v>2006</v>
      </c>
      <c r="F136" s="62">
        <v>43624</v>
      </c>
      <c r="G136" s="57" t="s">
        <v>889</v>
      </c>
    </row>
    <row r="137" spans="2:7" x14ac:dyDescent="0.3">
      <c r="B137" s="33" t="s">
        <v>879</v>
      </c>
      <c r="C137" s="58" t="s">
        <v>147</v>
      </c>
      <c r="D137" s="55" t="s">
        <v>205</v>
      </c>
      <c r="E137" s="33" t="s">
        <v>575</v>
      </c>
      <c r="F137" s="62">
        <v>43624</v>
      </c>
      <c r="G137" s="57" t="s">
        <v>887</v>
      </c>
    </row>
    <row r="138" spans="2:7" x14ac:dyDescent="0.3">
      <c r="B138" s="33" t="s">
        <v>888</v>
      </c>
      <c r="C138" s="58" t="s">
        <v>893</v>
      </c>
      <c r="D138" s="55" t="s">
        <v>894</v>
      </c>
      <c r="E138" s="33" t="s">
        <v>575</v>
      </c>
      <c r="F138" s="62">
        <v>43624</v>
      </c>
      <c r="G138" s="57" t="s">
        <v>892</v>
      </c>
    </row>
    <row r="139" spans="2:7" x14ac:dyDescent="0.3">
      <c r="B139" s="33" t="s">
        <v>895</v>
      </c>
      <c r="C139" s="58" t="s">
        <v>897</v>
      </c>
      <c r="D139" s="55" t="s">
        <v>898</v>
      </c>
      <c r="E139" s="33">
        <v>2001</v>
      </c>
      <c r="F139" s="62">
        <v>43624</v>
      </c>
      <c r="G139" s="57" t="s">
        <v>896</v>
      </c>
    </row>
    <row r="142" spans="2:7" s="65" customFormat="1" ht="15.5" thickBot="1" x14ac:dyDescent="0.35">
      <c r="C142" s="93" t="s">
        <v>899</v>
      </c>
      <c r="D142" s="93"/>
      <c r="E142" s="93"/>
      <c r="F142" s="93"/>
      <c r="G142" s="136"/>
    </row>
    <row r="143" spans="2:7" ht="14" thickTop="1" x14ac:dyDescent="0.3">
      <c r="F143" s="62"/>
      <c r="G143" s="57"/>
    </row>
    <row r="144" spans="2:7" x14ac:dyDescent="0.3">
      <c r="B144" s="33" t="s">
        <v>900</v>
      </c>
      <c r="C144" s="58" t="s">
        <v>905</v>
      </c>
      <c r="D144" s="55" t="s">
        <v>906</v>
      </c>
      <c r="E144" s="33" t="s">
        <v>575</v>
      </c>
      <c r="F144" s="62">
        <v>43367</v>
      </c>
      <c r="G144" s="57" t="s">
        <v>904</v>
      </c>
    </row>
    <row r="145" spans="2:7" x14ac:dyDescent="0.3">
      <c r="B145" s="33" t="s">
        <v>901</v>
      </c>
      <c r="C145" s="58" t="s">
        <v>907</v>
      </c>
      <c r="D145" s="55" t="s">
        <v>908</v>
      </c>
      <c r="E145" s="33">
        <v>2016</v>
      </c>
      <c r="F145" s="62">
        <v>43367</v>
      </c>
      <c r="G145" s="57" t="s">
        <v>909</v>
      </c>
    </row>
    <row r="146" spans="2:7" x14ac:dyDescent="0.3">
      <c r="B146" s="33" t="s">
        <v>902</v>
      </c>
      <c r="C146" s="58" t="s">
        <v>910</v>
      </c>
      <c r="D146" s="55" t="s">
        <v>912</v>
      </c>
      <c r="E146" s="33">
        <v>2017</v>
      </c>
      <c r="F146" s="62">
        <v>43314</v>
      </c>
      <c r="G146" s="57" t="s">
        <v>911</v>
      </c>
    </row>
    <row r="147" spans="2:7" x14ac:dyDescent="0.3">
      <c r="B147" s="33" t="s">
        <v>903</v>
      </c>
      <c r="C147" s="58" t="s">
        <v>913</v>
      </c>
      <c r="D147" s="55" t="s">
        <v>915</v>
      </c>
      <c r="E147" s="33">
        <v>2014</v>
      </c>
      <c r="F147" s="62">
        <v>43314</v>
      </c>
      <c r="G147" s="57" t="s">
        <v>914</v>
      </c>
    </row>
    <row r="148" spans="2:7" x14ac:dyDescent="0.3">
      <c r="B148" s="33" t="s">
        <v>916</v>
      </c>
      <c r="C148" s="58" t="s">
        <v>925</v>
      </c>
      <c r="D148" s="55" t="s">
        <v>926</v>
      </c>
      <c r="E148" s="33">
        <v>2008</v>
      </c>
      <c r="F148" s="62">
        <v>43481</v>
      </c>
      <c r="G148" s="57" t="s">
        <v>927</v>
      </c>
    </row>
    <row r="149" spans="2:7" x14ac:dyDescent="0.3">
      <c r="B149" s="33" t="s">
        <v>917</v>
      </c>
      <c r="C149" s="58" t="s">
        <v>920</v>
      </c>
      <c r="D149" s="55" t="s">
        <v>970</v>
      </c>
      <c r="E149" s="33">
        <v>2017</v>
      </c>
      <c r="F149" s="62">
        <v>43382</v>
      </c>
      <c r="G149" s="57" t="s">
        <v>921</v>
      </c>
    </row>
    <row r="150" spans="2:7" x14ac:dyDescent="0.3">
      <c r="B150" s="33" t="s">
        <v>918</v>
      </c>
      <c r="C150" s="58" t="s">
        <v>922</v>
      </c>
      <c r="D150" s="55" t="s">
        <v>924</v>
      </c>
      <c r="E150" s="33">
        <v>2017</v>
      </c>
      <c r="F150" s="62">
        <v>43382</v>
      </c>
      <c r="G150" s="57" t="s">
        <v>923</v>
      </c>
    </row>
    <row r="151" spans="2:7" x14ac:dyDescent="0.3">
      <c r="B151" s="33" t="s">
        <v>919</v>
      </c>
      <c r="C151" s="58" t="s">
        <v>931</v>
      </c>
      <c r="D151" s="55" t="s">
        <v>930</v>
      </c>
      <c r="E151" s="33">
        <v>2015</v>
      </c>
      <c r="F151" s="62">
        <v>43382</v>
      </c>
      <c r="G151" s="57" t="s">
        <v>929</v>
      </c>
    </row>
    <row r="152" spans="2:7" x14ac:dyDescent="0.3">
      <c r="B152" s="33" t="s">
        <v>928</v>
      </c>
      <c r="C152" s="58" t="s">
        <v>932</v>
      </c>
      <c r="D152" s="55" t="s">
        <v>933</v>
      </c>
      <c r="E152" s="33">
        <v>1993</v>
      </c>
      <c r="F152" s="62">
        <v>43382</v>
      </c>
      <c r="G152" s="57" t="s">
        <v>934</v>
      </c>
    </row>
    <row r="153" spans="2:7" x14ac:dyDescent="0.3">
      <c r="B153" s="33" t="s">
        <v>935</v>
      </c>
      <c r="C153" s="58" t="s">
        <v>936</v>
      </c>
      <c r="D153" s="55" t="s">
        <v>938</v>
      </c>
      <c r="E153" s="33">
        <v>2012</v>
      </c>
      <c r="F153" s="62">
        <v>43382</v>
      </c>
      <c r="G153" s="57" t="s">
        <v>937</v>
      </c>
    </row>
    <row r="154" spans="2:7" x14ac:dyDescent="0.3">
      <c r="B154" s="33" t="s">
        <v>939</v>
      </c>
      <c r="C154" s="58" t="s">
        <v>944</v>
      </c>
      <c r="D154" s="55" t="s">
        <v>945</v>
      </c>
      <c r="E154" s="33" t="s">
        <v>575</v>
      </c>
      <c r="F154" s="62">
        <v>43624</v>
      </c>
      <c r="G154" s="57" t="s">
        <v>943</v>
      </c>
    </row>
    <row r="155" spans="2:7" x14ac:dyDescent="0.3">
      <c r="B155" s="33" t="s">
        <v>940</v>
      </c>
      <c r="C155" s="58" t="s">
        <v>947</v>
      </c>
      <c r="D155" s="55" t="s">
        <v>948</v>
      </c>
      <c r="E155" s="33">
        <v>2018</v>
      </c>
      <c r="F155" s="62">
        <v>43382</v>
      </c>
      <c r="G155" s="57" t="s">
        <v>946</v>
      </c>
    </row>
    <row r="156" spans="2:7" x14ac:dyDescent="0.3">
      <c r="B156" s="33" t="s">
        <v>941</v>
      </c>
      <c r="C156" s="58" t="s">
        <v>949</v>
      </c>
      <c r="D156" s="55" t="s">
        <v>951</v>
      </c>
      <c r="E156" s="33">
        <v>2016</v>
      </c>
      <c r="F156" s="62">
        <v>43481</v>
      </c>
      <c r="G156" s="57" t="s">
        <v>950</v>
      </c>
    </row>
    <row r="157" spans="2:7" x14ac:dyDescent="0.3">
      <c r="B157" s="33" t="s">
        <v>942</v>
      </c>
      <c r="C157" s="58" t="s">
        <v>956</v>
      </c>
      <c r="D157" s="55" t="s">
        <v>957</v>
      </c>
      <c r="E157" s="33">
        <v>2013</v>
      </c>
      <c r="F157" s="62">
        <v>43624</v>
      </c>
      <c r="G157" s="57" t="s">
        <v>955</v>
      </c>
    </row>
    <row r="158" spans="2:7" x14ac:dyDescent="0.3">
      <c r="B158" s="33" t="s">
        <v>952</v>
      </c>
      <c r="C158" s="58" t="s">
        <v>147</v>
      </c>
      <c r="D158" s="55" t="s">
        <v>42</v>
      </c>
      <c r="E158" s="33" t="s">
        <v>575</v>
      </c>
      <c r="F158" s="62">
        <v>43668</v>
      </c>
      <c r="G158" s="57" t="s">
        <v>958</v>
      </c>
    </row>
    <row r="159" spans="2:7" x14ac:dyDescent="0.3">
      <c r="B159" s="33" t="s">
        <v>953</v>
      </c>
      <c r="C159" s="58" t="s">
        <v>959</v>
      </c>
      <c r="D159" s="55" t="s">
        <v>961</v>
      </c>
      <c r="E159" s="33">
        <v>2016</v>
      </c>
      <c r="F159" s="62">
        <v>43432</v>
      </c>
      <c r="G159" s="57" t="s">
        <v>960</v>
      </c>
    </row>
    <row r="162" spans="2:7" s="65" customFormat="1" ht="15.5" thickBot="1" x14ac:dyDescent="0.35">
      <c r="C162" s="93" t="s">
        <v>962</v>
      </c>
      <c r="D162" s="93"/>
      <c r="E162" s="93"/>
      <c r="F162" s="93"/>
      <c r="G162" s="136"/>
    </row>
    <row r="163" spans="2:7" ht="14" thickTop="1" x14ac:dyDescent="0.3">
      <c r="F163" s="62"/>
      <c r="G163" s="57"/>
    </row>
    <row r="164" spans="2:7" x14ac:dyDescent="0.3">
      <c r="B164" s="33" t="s">
        <v>954</v>
      </c>
      <c r="C164" s="58" t="s">
        <v>147</v>
      </c>
      <c r="D164" s="55" t="s">
        <v>248</v>
      </c>
      <c r="E164" s="33" t="s">
        <v>575</v>
      </c>
      <c r="F164" s="62">
        <v>43624</v>
      </c>
      <c r="G164" s="57" t="s">
        <v>974</v>
      </c>
    </row>
    <row r="165" spans="2:7" x14ac:dyDescent="0.3">
      <c r="B165" s="33" t="s">
        <v>963</v>
      </c>
      <c r="C165" s="58" t="s">
        <v>973</v>
      </c>
      <c r="D165" s="55" t="s">
        <v>972</v>
      </c>
      <c r="E165" s="33">
        <v>2014</v>
      </c>
      <c r="F165" s="62">
        <v>43624</v>
      </c>
      <c r="G165" s="57" t="s">
        <v>971</v>
      </c>
    </row>
    <row r="168" spans="2:7" s="65" customFormat="1" ht="15.5" thickBot="1" x14ac:dyDescent="0.35">
      <c r="C168" s="93" t="s">
        <v>966</v>
      </c>
      <c r="D168" s="93"/>
      <c r="E168" s="93"/>
      <c r="F168" s="93"/>
      <c r="G168" s="136"/>
    </row>
    <row r="169" spans="2:7" ht="14" thickTop="1" x14ac:dyDescent="0.3">
      <c r="F169" s="62"/>
      <c r="G169" s="57"/>
    </row>
    <row r="170" spans="2:7" x14ac:dyDescent="0.3">
      <c r="B170" s="33" t="s">
        <v>964</v>
      </c>
      <c r="C170" s="58" t="s">
        <v>696</v>
      </c>
      <c r="D170" s="55" t="s">
        <v>976</v>
      </c>
      <c r="E170" s="33">
        <v>2017</v>
      </c>
      <c r="F170" s="62">
        <v>43624</v>
      </c>
      <c r="G170" s="57" t="s">
        <v>975</v>
      </c>
    </row>
    <row r="171" spans="2:7" x14ac:dyDescent="0.3">
      <c r="B171" s="33" t="s">
        <v>965</v>
      </c>
      <c r="C171" s="58" t="s">
        <v>978</v>
      </c>
      <c r="D171" s="55" t="s">
        <v>980</v>
      </c>
      <c r="E171" s="33">
        <v>2005</v>
      </c>
      <c r="F171" s="62">
        <v>43624</v>
      </c>
      <c r="G171" s="57" t="s">
        <v>979</v>
      </c>
    </row>
    <row r="174" spans="2:7" s="65" customFormat="1" ht="15.5" thickBot="1" x14ac:dyDescent="0.35">
      <c r="C174" s="93" t="s">
        <v>967</v>
      </c>
      <c r="D174" s="93"/>
      <c r="E174" s="93"/>
      <c r="F174" s="93"/>
      <c r="G174" s="136"/>
    </row>
    <row r="175" spans="2:7" ht="14" thickTop="1" x14ac:dyDescent="0.3">
      <c r="F175" s="62"/>
      <c r="G175" s="57"/>
    </row>
    <row r="176" spans="2:7" x14ac:dyDescent="0.3">
      <c r="B176" s="33" t="s">
        <v>968</v>
      </c>
      <c r="C176" s="58" t="s">
        <v>983</v>
      </c>
      <c r="D176" s="55" t="s">
        <v>985</v>
      </c>
      <c r="E176" s="33" t="s">
        <v>575</v>
      </c>
      <c r="F176" s="62">
        <v>43624</v>
      </c>
      <c r="G176" s="57" t="s">
        <v>984</v>
      </c>
    </row>
    <row r="177" spans="2:7" x14ac:dyDescent="0.3">
      <c r="B177" s="33" t="s">
        <v>969</v>
      </c>
      <c r="C177" s="58" t="s">
        <v>988</v>
      </c>
      <c r="D177" s="55" t="s">
        <v>987</v>
      </c>
      <c r="E177" s="33">
        <v>2003</v>
      </c>
      <c r="F177" s="62">
        <v>43481</v>
      </c>
      <c r="G177" s="57" t="s">
        <v>986</v>
      </c>
    </row>
    <row r="178" spans="2:7" x14ac:dyDescent="0.3">
      <c r="B178" s="33" t="s">
        <v>989</v>
      </c>
      <c r="C178" s="58" t="s">
        <v>994</v>
      </c>
      <c r="D178" s="55" t="s">
        <v>995</v>
      </c>
      <c r="E178" s="33">
        <v>2015</v>
      </c>
      <c r="F178" s="62">
        <v>43624</v>
      </c>
      <c r="G178" s="57" t="s">
        <v>993</v>
      </c>
    </row>
    <row r="179" spans="2:7" x14ac:dyDescent="0.3">
      <c r="B179" s="33" t="s">
        <v>990</v>
      </c>
      <c r="C179" s="58" t="s">
        <v>996</v>
      </c>
      <c r="D179" s="55" t="s">
        <v>997</v>
      </c>
      <c r="E179" s="33">
        <v>2018</v>
      </c>
      <c r="F179" s="62">
        <v>43431</v>
      </c>
      <c r="G179" s="57" t="s">
        <v>998</v>
      </c>
    </row>
    <row r="180" spans="2:7" x14ac:dyDescent="0.3">
      <c r="B180" s="33" t="s">
        <v>991</v>
      </c>
      <c r="C180" s="58" t="s">
        <v>999</v>
      </c>
      <c r="D180" s="55" t="s">
        <v>1000</v>
      </c>
      <c r="E180" s="33">
        <v>2014</v>
      </c>
      <c r="F180" s="62">
        <v>43481</v>
      </c>
      <c r="G180" s="57" t="s">
        <v>1001</v>
      </c>
    </row>
    <row r="181" spans="2:7" x14ac:dyDescent="0.3">
      <c r="B181" s="33" t="s">
        <v>992</v>
      </c>
      <c r="C181" s="58" t="s">
        <v>147</v>
      </c>
      <c r="D181" s="55" t="s">
        <v>1010</v>
      </c>
      <c r="E181" s="33" t="s">
        <v>575</v>
      </c>
      <c r="F181" s="62">
        <v>43624</v>
      </c>
      <c r="G181" s="57" t="s">
        <v>1009</v>
      </c>
    </row>
    <row r="182" spans="2:7" x14ac:dyDescent="0.3">
      <c r="B182" s="33" t="s">
        <v>1002</v>
      </c>
      <c r="C182" s="58" t="s">
        <v>147</v>
      </c>
      <c r="D182" s="55" t="s">
        <v>1013</v>
      </c>
      <c r="E182" s="33" t="s">
        <v>575</v>
      </c>
      <c r="F182" s="62">
        <v>43624</v>
      </c>
      <c r="G182" s="57" t="s">
        <v>1012</v>
      </c>
    </row>
    <row r="183" spans="2:7" x14ac:dyDescent="0.3">
      <c r="B183" s="33" t="s">
        <v>1003</v>
      </c>
      <c r="C183" s="58" t="s">
        <v>147</v>
      </c>
      <c r="D183" s="55" t="s">
        <v>1015</v>
      </c>
      <c r="E183" s="33" t="s">
        <v>575</v>
      </c>
      <c r="F183" s="62">
        <v>43624</v>
      </c>
      <c r="G183" s="57" t="s">
        <v>1014</v>
      </c>
    </row>
    <row r="184" spans="2:7" x14ac:dyDescent="0.3">
      <c r="B184" s="33" t="s">
        <v>1008</v>
      </c>
      <c r="C184" s="58" t="s">
        <v>147</v>
      </c>
      <c r="D184" s="55" t="s">
        <v>1017</v>
      </c>
      <c r="E184" s="33" t="s">
        <v>575</v>
      </c>
      <c r="F184" s="62">
        <v>43624</v>
      </c>
      <c r="G184" s="57" t="s">
        <v>1018</v>
      </c>
    </row>
    <row r="185" spans="2:7" x14ac:dyDescent="0.3">
      <c r="B185" s="33" t="s">
        <v>1019</v>
      </c>
      <c r="C185" s="58" t="s">
        <v>147</v>
      </c>
      <c r="D185" s="55" t="s">
        <v>1020</v>
      </c>
      <c r="E185" s="33" t="s">
        <v>575</v>
      </c>
      <c r="F185" s="62">
        <v>43624</v>
      </c>
      <c r="G185" s="57" t="s">
        <v>1021</v>
      </c>
    </row>
    <row r="186" spans="2:7" x14ac:dyDescent="0.3">
      <c r="B186" s="33" t="s">
        <v>1022</v>
      </c>
      <c r="C186" s="58" t="s">
        <v>147</v>
      </c>
      <c r="D186" s="55" t="s">
        <v>1023</v>
      </c>
      <c r="E186" s="33" t="s">
        <v>575</v>
      </c>
      <c r="F186" s="62">
        <v>43624</v>
      </c>
      <c r="G186" s="57" t="s">
        <v>1024</v>
      </c>
    </row>
    <row r="189" spans="2:7" s="65" customFormat="1" ht="15.5" thickBot="1" x14ac:dyDescent="0.35">
      <c r="C189" s="93" t="s">
        <v>263</v>
      </c>
      <c r="D189" s="93"/>
      <c r="E189" s="93"/>
      <c r="F189" s="93"/>
      <c r="G189" s="136"/>
    </row>
    <row r="190" spans="2:7" ht="14" thickTop="1" x14ac:dyDescent="0.3">
      <c r="F190" s="62"/>
      <c r="G190" s="57"/>
    </row>
    <row r="191" spans="2:7" x14ac:dyDescent="0.3">
      <c r="B191" s="33" t="s">
        <v>1083</v>
      </c>
      <c r="C191" s="58" t="s">
        <v>1087</v>
      </c>
      <c r="D191" s="55" t="s">
        <v>1088</v>
      </c>
      <c r="E191" s="33">
        <v>2017</v>
      </c>
      <c r="F191" s="62">
        <v>43668</v>
      </c>
      <c r="G191" s="57" t="s">
        <v>1086</v>
      </c>
    </row>
    <row r="192" spans="2:7" x14ac:dyDescent="0.3">
      <c r="B192" s="33" t="s">
        <v>1084</v>
      </c>
      <c r="C192" s="58" t="s">
        <v>147</v>
      </c>
      <c r="D192" s="55" t="s">
        <v>1089</v>
      </c>
      <c r="E192" s="33" t="s">
        <v>575</v>
      </c>
      <c r="F192" s="62">
        <v>43668</v>
      </c>
      <c r="G192" s="57" t="s">
        <v>1090</v>
      </c>
    </row>
    <row r="193" spans="2:7" x14ac:dyDescent="0.3">
      <c r="B193" s="33" t="s">
        <v>1085</v>
      </c>
      <c r="C193" s="58" t="s">
        <v>1093</v>
      </c>
      <c r="D193" s="55" t="s">
        <v>1091</v>
      </c>
      <c r="E193" s="33">
        <v>2016</v>
      </c>
      <c r="F193" s="62">
        <v>43668</v>
      </c>
      <c r="G193" s="57" t="s">
        <v>1092</v>
      </c>
    </row>
    <row r="194" spans="2:7" x14ac:dyDescent="0.3">
      <c r="B194" s="33" t="s">
        <v>1094</v>
      </c>
      <c r="C194" s="58" t="s">
        <v>741</v>
      </c>
      <c r="D194" s="55" t="s">
        <v>1096</v>
      </c>
      <c r="E194" s="33" t="s">
        <v>575</v>
      </c>
      <c r="F194" s="62">
        <v>43669</v>
      </c>
      <c r="G194" s="57" t="s">
        <v>1082</v>
      </c>
    </row>
    <row r="195" spans="2:7" x14ac:dyDescent="0.3">
      <c r="B195" s="33" t="s">
        <v>1095</v>
      </c>
      <c r="C195" s="58" t="s">
        <v>1100</v>
      </c>
      <c r="D195" s="55" t="s">
        <v>1101</v>
      </c>
      <c r="E195" s="33">
        <v>2017</v>
      </c>
      <c r="F195" s="62">
        <v>43510</v>
      </c>
      <c r="G195" s="57" t="s">
        <v>1102</v>
      </c>
    </row>
    <row r="196" spans="2:7" x14ac:dyDescent="0.3">
      <c r="B196" s="33" t="s">
        <v>1097</v>
      </c>
      <c r="C196" s="58" t="s">
        <v>318</v>
      </c>
      <c r="D196" s="55" t="s">
        <v>1103</v>
      </c>
      <c r="E196" s="33">
        <v>2015</v>
      </c>
      <c r="F196" s="62">
        <v>43515</v>
      </c>
      <c r="G196" s="57" t="s">
        <v>1104</v>
      </c>
    </row>
    <row r="197" spans="2:7" x14ac:dyDescent="0.3">
      <c r="B197" s="33" t="s">
        <v>1098</v>
      </c>
      <c r="C197" s="58" t="s">
        <v>147</v>
      </c>
      <c r="D197" s="55" t="s">
        <v>1109</v>
      </c>
      <c r="E197" s="33" t="s">
        <v>575</v>
      </c>
      <c r="F197" s="62">
        <v>43669</v>
      </c>
      <c r="G197" s="57" t="s">
        <v>1110</v>
      </c>
    </row>
    <row r="198" spans="2:7" x14ac:dyDescent="0.3">
      <c r="B198" s="33" t="s">
        <v>1099</v>
      </c>
      <c r="C198" s="58" t="s">
        <v>147</v>
      </c>
      <c r="D198" s="55" t="s">
        <v>1111</v>
      </c>
      <c r="E198" s="33" t="s">
        <v>575</v>
      </c>
      <c r="F198" s="62">
        <v>43669</v>
      </c>
      <c r="G198" s="57" t="s">
        <v>1112</v>
      </c>
    </row>
    <row r="199" spans="2:7" x14ac:dyDescent="0.3">
      <c r="B199" s="33" t="s">
        <v>1108</v>
      </c>
      <c r="C199" s="58" t="s">
        <v>147</v>
      </c>
      <c r="D199" s="55" t="s">
        <v>1114</v>
      </c>
      <c r="E199" s="33" t="s">
        <v>575</v>
      </c>
      <c r="F199" s="62">
        <v>43669</v>
      </c>
      <c r="G199" s="57" t="s">
        <v>1115</v>
      </c>
    </row>
    <row r="200" spans="2:7" x14ac:dyDescent="0.3">
      <c r="B200" s="33" t="s">
        <v>1113</v>
      </c>
      <c r="C200" s="58" t="s">
        <v>318</v>
      </c>
      <c r="D200" s="55" t="s">
        <v>1106</v>
      </c>
      <c r="E200" s="33">
        <v>2015</v>
      </c>
      <c r="F200" s="62">
        <v>43515</v>
      </c>
      <c r="G200" s="57" t="s">
        <v>1107</v>
      </c>
    </row>
    <row r="201" spans="2:7" x14ac:dyDescent="0.3">
      <c r="B201" s="33" t="s">
        <v>1116</v>
      </c>
      <c r="C201" s="58" t="s">
        <v>147</v>
      </c>
      <c r="D201" s="55" t="s">
        <v>1122</v>
      </c>
      <c r="E201" s="33" t="s">
        <v>575</v>
      </c>
      <c r="F201" s="62">
        <v>43669</v>
      </c>
      <c r="G201" s="57" t="s">
        <v>1121</v>
      </c>
    </row>
    <row r="202" spans="2:7" x14ac:dyDescent="0.3">
      <c r="B202" s="33" t="s">
        <v>1117</v>
      </c>
      <c r="C202" s="58" t="s">
        <v>147</v>
      </c>
      <c r="D202" s="55" t="s">
        <v>1124</v>
      </c>
      <c r="E202" s="33" t="s">
        <v>575</v>
      </c>
      <c r="F202" s="62">
        <v>43669</v>
      </c>
      <c r="G202" s="57" t="s">
        <v>1123</v>
      </c>
    </row>
    <row r="203" spans="2:7" x14ac:dyDescent="0.3">
      <c r="B203" s="33" t="s">
        <v>1118</v>
      </c>
      <c r="C203" s="58" t="s">
        <v>147</v>
      </c>
      <c r="D203" s="55" t="s">
        <v>1127</v>
      </c>
      <c r="E203" s="33" t="s">
        <v>575</v>
      </c>
      <c r="F203" s="62">
        <v>43669</v>
      </c>
      <c r="G203" s="57" t="s">
        <v>1126</v>
      </c>
    </row>
    <row r="204" spans="2:7" x14ac:dyDescent="0.3">
      <c r="B204" s="33" t="s">
        <v>1119</v>
      </c>
      <c r="C204" s="58" t="s">
        <v>147</v>
      </c>
      <c r="D204" s="55" t="s">
        <v>1128</v>
      </c>
      <c r="E204" s="33" t="s">
        <v>575</v>
      </c>
      <c r="F204" s="62">
        <v>43669</v>
      </c>
      <c r="G204" s="57" t="s">
        <v>1125</v>
      </c>
    </row>
    <row r="205" spans="2:7" x14ac:dyDescent="0.3">
      <c r="B205" s="33" t="s">
        <v>1120</v>
      </c>
      <c r="C205" s="58" t="s">
        <v>147</v>
      </c>
      <c r="D205" s="55" t="s">
        <v>1135</v>
      </c>
      <c r="E205" s="33" t="s">
        <v>575</v>
      </c>
      <c r="F205" s="62">
        <v>43669</v>
      </c>
      <c r="G205" s="57" t="s">
        <v>1136</v>
      </c>
    </row>
    <row r="206" spans="2:7" x14ac:dyDescent="0.3">
      <c r="B206" s="33" t="s">
        <v>1129</v>
      </c>
      <c r="C206" s="58" t="s">
        <v>1142</v>
      </c>
      <c r="D206" s="55" t="s">
        <v>1138</v>
      </c>
      <c r="E206" s="33">
        <v>2018</v>
      </c>
      <c r="F206" s="62">
        <v>43431</v>
      </c>
      <c r="G206" s="57" t="s">
        <v>1137</v>
      </c>
    </row>
    <row r="207" spans="2:7" x14ac:dyDescent="0.3">
      <c r="B207" s="33" t="s">
        <v>1130</v>
      </c>
      <c r="C207" s="58" t="s">
        <v>1139</v>
      </c>
      <c r="D207" s="55" t="s">
        <v>1141</v>
      </c>
      <c r="E207" s="33">
        <v>2018</v>
      </c>
      <c r="F207" s="62">
        <v>43431</v>
      </c>
      <c r="G207" s="57" t="s">
        <v>1140</v>
      </c>
    </row>
    <row r="208" spans="2:7" x14ac:dyDescent="0.3">
      <c r="B208" s="33" t="s">
        <v>1131</v>
      </c>
      <c r="C208" s="58" t="s">
        <v>147</v>
      </c>
      <c r="D208" s="55" t="s">
        <v>1144</v>
      </c>
      <c r="E208" s="33">
        <v>2018</v>
      </c>
      <c r="F208" s="62">
        <v>43431</v>
      </c>
      <c r="G208" s="57" t="s">
        <v>1143</v>
      </c>
    </row>
    <row r="209" spans="2:7" x14ac:dyDescent="0.3">
      <c r="B209" s="33" t="s">
        <v>1132</v>
      </c>
      <c r="C209" s="58" t="s">
        <v>1146</v>
      </c>
      <c r="D209" s="55" t="s">
        <v>1147</v>
      </c>
      <c r="E209" s="33">
        <v>2018</v>
      </c>
      <c r="F209" s="62">
        <v>43431</v>
      </c>
      <c r="G209" s="57" t="s">
        <v>1145</v>
      </c>
    </row>
    <row r="210" spans="2:7" x14ac:dyDescent="0.3">
      <c r="B210" s="33" t="s">
        <v>1133</v>
      </c>
      <c r="C210" s="58" t="s">
        <v>1150</v>
      </c>
      <c r="D210" s="55" t="s">
        <v>1149</v>
      </c>
      <c r="E210" s="33">
        <v>2017</v>
      </c>
      <c r="F210" s="62">
        <v>43521</v>
      </c>
      <c r="G210" s="57" t="s">
        <v>1148</v>
      </c>
    </row>
    <row r="211" spans="2:7" x14ac:dyDescent="0.3">
      <c r="B211" s="33" t="s">
        <v>1134</v>
      </c>
      <c r="C211" s="58" t="s">
        <v>147</v>
      </c>
      <c r="D211" s="55" t="s">
        <v>1152</v>
      </c>
      <c r="E211" s="33" t="s">
        <v>575</v>
      </c>
      <c r="F211" s="62">
        <v>43669</v>
      </c>
      <c r="G211" s="57" t="s">
        <v>1153</v>
      </c>
    </row>
    <row r="212" spans="2:7" x14ac:dyDescent="0.3">
      <c r="B212" s="33" t="s">
        <v>1151</v>
      </c>
      <c r="C212" s="58" t="s">
        <v>147</v>
      </c>
      <c r="D212" s="55" t="s">
        <v>1154</v>
      </c>
      <c r="E212" s="33" t="s">
        <v>575</v>
      </c>
      <c r="F212" s="62">
        <v>43669</v>
      </c>
      <c r="G212" s="57" t="s">
        <v>1155</v>
      </c>
    </row>
    <row r="213" spans="2:7" x14ac:dyDescent="0.3">
      <c r="B213" s="33" t="s">
        <v>1007</v>
      </c>
      <c r="C213" s="58" t="s">
        <v>318</v>
      </c>
      <c r="D213" s="55" t="s">
        <v>1156</v>
      </c>
      <c r="E213" s="33">
        <v>2015</v>
      </c>
      <c r="F213" s="62">
        <v>43515</v>
      </c>
      <c r="G213" s="57" t="s">
        <v>1157</v>
      </c>
    </row>
    <row r="214" spans="2:7" x14ac:dyDescent="0.3">
      <c r="B214" s="33" t="s">
        <v>1158</v>
      </c>
      <c r="C214" s="58" t="s">
        <v>1160</v>
      </c>
      <c r="D214" s="55" t="s">
        <v>1161</v>
      </c>
      <c r="E214" s="33">
        <v>2018</v>
      </c>
      <c r="F214" s="62">
        <v>43515</v>
      </c>
      <c r="G214" s="57" t="s">
        <v>1162</v>
      </c>
    </row>
    <row r="215" spans="2:7" x14ac:dyDescent="0.3">
      <c r="B215" s="33" t="s">
        <v>1159</v>
      </c>
      <c r="C215" s="58" t="s">
        <v>1165</v>
      </c>
      <c r="D215" s="55" t="s">
        <v>1164</v>
      </c>
      <c r="E215" s="33">
        <v>2017</v>
      </c>
      <c r="F215" s="62">
        <v>43647</v>
      </c>
      <c r="G215" s="57" t="s">
        <v>1163</v>
      </c>
    </row>
    <row r="216" spans="2:7" x14ac:dyDescent="0.3">
      <c r="B216" s="33" t="s">
        <v>1166</v>
      </c>
      <c r="C216" s="58" t="s">
        <v>1169</v>
      </c>
      <c r="D216" s="55" t="s">
        <v>1167</v>
      </c>
      <c r="E216" s="33">
        <v>2018</v>
      </c>
      <c r="F216" s="62">
        <v>43647</v>
      </c>
      <c r="G216" s="57" t="s">
        <v>1168</v>
      </c>
    </row>
    <row r="217" spans="2:7" x14ac:dyDescent="0.3">
      <c r="B217" s="33" t="s">
        <v>1006</v>
      </c>
      <c r="C217" s="58" t="s">
        <v>1172</v>
      </c>
      <c r="D217" s="55" t="s">
        <v>1171</v>
      </c>
      <c r="E217" s="33">
        <v>2015</v>
      </c>
      <c r="F217" s="62">
        <v>43647</v>
      </c>
      <c r="G217" s="57" t="s">
        <v>1170</v>
      </c>
    </row>
    <row r="220" spans="2:7" s="65" customFormat="1" ht="15.5" thickBot="1" x14ac:dyDescent="0.35">
      <c r="C220" s="93" t="s">
        <v>266</v>
      </c>
      <c r="D220" s="93"/>
      <c r="E220" s="93"/>
      <c r="F220" s="93"/>
      <c r="G220" s="136"/>
    </row>
    <row r="221" spans="2:7" ht="14" thickTop="1" x14ac:dyDescent="0.3">
      <c r="F221" s="62"/>
      <c r="G221" s="57"/>
    </row>
    <row r="222" spans="2:7" x14ac:dyDescent="0.3">
      <c r="B222" s="33" t="s">
        <v>1173</v>
      </c>
      <c r="C222" s="58" t="s">
        <v>147</v>
      </c>
      <c r="D222" s="55" t="s">
        <v>1176</v>
      </c>
      <c r="E222" s="33" t="s">
        <v>575</v>
      </c>
      <c r="F222" s="62">
        <v>43624</v>
      </c>
      <c r="G222" s="57" t="s">
        <v>1175</v>
      </c>
    </row>
    <row r="223" spans="2:7" x14ac:dyDescent="0.3">
      <c r="B223" s="33" t="s">
        <v>1174</v>
      </c>
      <c r="C223" s="58" t="s">
        <v>147</v>
      </c>
      <c r="D223" s="55" t="s">
        <v>1178</v>
      </c>
      <c r="E223" s="33" t="s">
        <v>575</v>
      </c>
      <c r="F223" s="62">
        <v>43624</v>
      </c>
      <c r="G223" s="57" t="s">
        <v>1179</v>
      </c>
    </row>
    <row r="224" spans="2:7" x14ac:dyDescent="0.3">
      <c r="B224" s="33" t="s">
        <v>1180</v>
      </c>
      <c r="C224" s="58" t="s">
        <v>147</v>
      </c>
      <c r="D224" s="55" t="s">
        <v>1182</v>
      </c>
      <c r="E224" s="33" t="s">
        <v>575</v>
      </c>
      <c r="F224" s="62">
        <v>43624</v>
      </c>
      <c r="G224" s="57" t="s">
        <v>1183</v>
      </c>
    </row>
    <row r="225" spans="2:7" x14ac:dyDescent="0.3">
      <c r="B225" s="33" t="s">
        <v>1181</v>
      </c>
      <c r="C225" s="58" t="s">
        <v>147</v>
      </c>
      <c r="D225" s="55" t="s">
        <v>1184</v>
      </c>
      <c r="E225" s="33" t="s">
        <v>575</v>
      </c>
      <c r="F225" s="62">
        <v>43624</v>
      </c>
      <c r="G225" s="57" t="s">
        <v>1185</v>
      </c>
    </row>
    <row r="226" spans="2:7" x14ac:dyDescent="0.3">
      <c r="B226" s="33" t="s">
        <v>1186</v>
      </c>
      <c r="C226" s="58" t="s">
        <v>147</v>
      </c>
      <c r="D226" s="55" t="s">
        <v>303</v>
      </c>
      <c r="E226" s="33" t="s">
        <v>575</v>
      </c>
      <c r="F226" s="62">
        <v>43624</v>
      </c>
      <c r="G226" s="57" t="s">
        <v>1187</v>
      </c>
    </row>
    <row r="227" spans="2:7" x14ac:dyDescent="0.3">
      <c r="B227" s="33" t="s">
        <v>1188</v>
      </c>
      <c r="C227" s="58" t="s">
        <v>147</v>
      </c>
      <c r="D227" s="55" t="s">
        <v>1192</v>
      </c>
      <c r="E227" s="33" t="s">
        <v>575</v>
      </c>
      <c r="F227" s="62">
        <v>43669</v>
      </c>
      <c r="G227" s="57" t="s">
        <v>1191</v>
      </c>
    </row>
    <row r="228" spans="2:7" x14ac:dyDescent="0.3">
      <c r="B228" s="33" t="s">
        <v>1189</v>
      </c>
      <c r="C228" s="58" t="s">
        <v>1193</v>
      </c>
      <c r="D228" s="55" t="s">
        <v>1195</v>
      </c>
      <c r="E228" s="33" t="s">
        <v>575</v>
      </c>
      <c r="F228" s="62">
        <v>43669</v>
      </c>
      <c r="G228" s="57" t="s">
        <v>1194</v>
      </c>
    </row>
    <row r="229" spans="2:7" x14ac:dyDescent="0.3">
      <c r="B229" s="33" t="s">
        <v>1197</v>
      </c>
      <c r="C229" s="58" t="s">
        <v>1160</v>
      </c>
      <c r="D229" s="55" t="s">
        <v>1216</v>
      </c>
      <c r="E229" s="33">
        <v>2019</v>
      </c>
      <c r="F229" s="62">
        <v>43669</v>
      </c>
      <c r="G229" s="57" t="s">
        <v>1215</v>
      </c>
    </row>
    <row r="230" spans="2:7" x14ac:dyDescent="0.3">
      <c r="B230" s="33" t="s">
        <v>1199</v>
      </c>
      <c r="C230" s="58" t="s">
        <v>147</v>
      </c>
      <c r="D230" s="55" t="s">
        <v>1198</v>
      </c>
      <c r="E230" s="33" t="s">
        <v>575</v>
      </c>
      <c r="F230" s="62">
        <v>43624</v>
      </c>
      <c r="G230" s="57" t="s">
        <v>1196</v>
      </c>
    </row>
    <row r="231" spans="2:7" x14ac:dyDescent="0.3">
      <c r="B231" s="33" t="s">
        <v>1200</v>
      </c>
      <c r="C231" s="58" t="s">
        <v>147</v>
      </c>
      <c r="D231" s="55" t="s">
        <v>1202</v>
      </c>
      <c r="E231" s="33" t="s">
        <v>575</v>
      </c>
      <c r="F231" s="62">
        <v>43624</v>
      </c>
      <c r="G231" s="57" t="s">
        <v>1201</v>
      </c>
    </row>
    <row r="232" spans="2:7" x14ac:dyDescent="0.3">
      <c r="B232" s="33" t="s">
        <v>1207</v>
      </c>
      <c r="C232" s="58" t="s">
        <v>1208</v>
      </c>
      <c r="D232" s="55" t="s">
        <v>1209</v>
      </c>
      <c r="E232" s="33">
        <v>2012</v>
      </c>
      <c r="F232" s="62">
        <v>43669</v>
      </c>
      <c r="G232" s="57" t="s">
        <v>1210</v>
      </c>
    </row>
    <row r="233" spans="2:7" x14ac:dyDescent="0.3">
      <c r="B233" s="33" t="s">
        <v>1212</v>
      </c>
      <c r="C233" s="58" t="s">
        <v>147</v>
      </c>
      <c r="D233" s="55" t="s">
        <v>1211</v>
      </c>
      <c r="E233" s="33" t="s">
        <v>575</v>
      </c>
      <c r="F233" s="62">
        <v>43624</v>
      </c>
      <c r="G233" s="57" t="s">
        <v>1206</v>
      </c>
    </row>
    <row r="236" spans="2:7" ht="15.5" thickBot="1" x14ac:dyDescent="0.35">
      <c r="C236" s="93" t="s">
        <v>1228</v>
      </c>
      <c r="D236" s="93"/>
      <c r="E236" s="93"/>
      <c r="F236" s="93"/>
      <c r="G236" s="136"/>
    </row>
    <row r="237" spans="2:7" ht="14" thickTop="1" x14ac:dyDescent="0.3">
      <c r="B237" s="2"/>
    </row>
    <row r="238" spans="2:7" x14ac:dyDescent="0.3">
      <c r="B238" s="33" t="s">
        <v>560</v>
      </c>
      <c r="C238" s="58" t="s">
        <v>1080</v>
      </c>
    </row>
    <row r="239" spans="2:7" x14ac:dyDescent="0.3">
      <c r="B239" s="33" t="s">
        <v>592</v>
      </c>
      <c r="C239" s="58" t="s">
        <v>1005</v>
      </c>
    </row>
    <row r="240" spans="2:7" x14ac:dyDescent="0.3">
      <c r="B240" s="33" t="s">
        <v>833</v>
      </c>
      <c r="C240" s="58" t="s">
        <v>1051</v>
      </c>
    </row>
    <row r="241" spans="2:3" x14ac:dyDescent="0.3">
      <c r="B241" s="33" t="s">
        <v>1226</v>
      </c>
      <c r="C241" s="58" t="s">
        <v>1233</v>
      </c>
    </row>
    <row r="242" spans="2:3" x14ac:dyDescent="0.3">
      <c r="B242" s="33" t="s">
        <v>1225</v>
      </c>
      <c r="C242" s="58" t="s">
        <v>1004</v>
      </c>
    </row>
    <row r="243" spans="2:3" x14ac:dyDescent="0.3">
      <c r="B243" s="33" t="s">
        <v>1223</v>
      </c>
      <c r="C243" s="58" t="s">
        <v>982</v>
      </c>
    </row>
    <row r="244" spans="2:3" x14ac:dyDescent="0.3">
      <c r="B244" s="33" t="s">
        <v>1222</v>
      </c>
      <c r="C244" s="58" t="s">
        <v>1011</v>
      </c>
    </row>
    <row r="245" spans="2:3" x14ac:dyDescent="0.3">
      <c r="B245" s="33" t="s">
        <v>1236</v>
      </c>
      <c r="C245" s="58" t="s">
        <v>1237</v>
      </c>
    </row>
    <row r="247" spans="2:3" x14ac:dyDescent="0.3">
      <c r="C247" s="134"/>
    </row>
  </sheetData>
  <hyperlinks>
    <hyperlink ref="G12" r:id="rId1" xr:uid="{0FDB6EA7-D9E9-4371-A1A5-8CC1875BD4D6}"/>
    <hyperlink ref="G7" r:id="rId2" xr:uid="{0374549B-A3EE-4103-87D0-ED698B4F9269}"/>
    <hyperlink ref="G9" r:id="rId3" xr:uid="{9E00062C-B011-47A9-BE80-FC851AB1ECE9}"/>
    <hyperlink ref="G10" r:id="rId4" xr:uid="{114F6409-221C-41D4-A104-256D0558FD6C}"/>
    <hyperlink ref="G11" r:id="rId5" xr:uid="{C71EE628-A737-4E05-B8D9-91FBDA9293C2}"/>
    <hyperlink ref="G13" r:id="rId6" xr:uid="{6B305F22-95D4-44D4-BD3E-859CE42CAE4E}"/>
    <hyperlink ref="G19" r:id="rId7" xr:uid="{D5D188EB-8311-4CEC-BFE1-098E6D20BEA0}"/>
    <hyperlink ref="G6" r:id="rId8" xr:uid="{82AFEA26-1BEF-47DF-AE54-3370641E5CB9}"/>
    <hyperlink ref="G14" r:id="rId9" xr:uid="{6BD47876-448F-4F46-B596-859E13C53008}"/>
    <hyperlink ref="G20" r:id="rId10" xr:uid="{88A6BF1D-4610-453D-8173-91B16B0EAC20}"/>
    <hyperlink ref="G21" r:id="rId11" location="notech2.4" xr:uid="{8EDDD242-E0C2-4326-8326-A7CFD509225F}"/>
    <hyperlink ref="G22" r:id="rId12" xr:uid="{B01671F0-4C2A-411F-A7E5-7BF324E76A14}"/>
    <hyperlink ref="G23" r:id="rId13" xr:uid="{AF464139-25FC-4005-BF4F-4D84E8634BEB}"/>
    <hyperlink ref="G24" r:id="rId14" xr:uid="{CDDA18FD-EBDA-49DD-ADA7-5FED1B36ABDC}"/>
    <hyperlink ref="G25" r:id="rId15" xr:uid="{CB16DC56-9908-4BFE-85CA-8B4123F42CE2}"/>
    <hyperlink ref="G30" r:id="rId16" xr:uid="{48A056F1-5C70-4279-9AA7-188CED0E3183}"/>
    <hyperlink ref="G31" r:id="rId17" xr:uid="{50DFEB63-A893-4BCE-9203-33FF0E49947B}"/>
    <hyperlink ref="G32" r:id="rId18" xr:uid="{B6D4F630-89DF-4519-BEF5-A686F0BEA6AF}"/>
    <hyperlink ref="G34" r:id="rId19" xr:uid="{C66DCA5C-CB63-490C-B438-8C9FDE9587D9}"/>
    <hyperlink ref="G35" r:id="rId20" xr:uid="{A3FCD84A-389B-4ABF-81B4-EDBF60F86838}"/>
    <hyperlink ref="G37" r:id="rId21" xr:uid="{DFB7E9ED-F213-4787-ADED-179F537755EA}"/>
    <hyperlink ref="G38" r:id="rId22" xr:uid="{4CE27014-3219-4486-9F39-58DC8FD7F581}"/>
    <hyperlink ref="G44" r:id="rId23" xr:uid="{F17FFF9F-2B48-4583-B330-A0D5F6D96FE2}"/>
    <hyperlink ref="G46" r:id="rId24" xr:uid="{49BB5460-F0E1-4D3A-BD42-49D1D1096D9C}"/>
    <hyperlink ref="G48" r:id="rId25" xr:uid="{370F1494-BFF9-4FA4-B25A-0B48DD6E9020}"/>
    <hyperlink ref="G49" r:id="rId26" location="ch1" display="http://www.fao.org/3/ag188f/AG188F02.htm - ch1" xr:uid="{6B09CFF2-93BD-4BB7-8F35-36BD7FF01E52}"/>
    <hyperlink ref="G51" r:id="rId27" xr:uid="{6310DCBA-207A-47FD-B5BB-5EDB71113E7E}"/>
    <hyperlink ref="G53" r:id="rId28" xr:uid="{402C0923-36D5-4EE8-A386-C9C52835C703}"/>
    <hyperlink ref="G54" r:id="rId29" xr:uid="{07A5960B-9DB8-4C59-A6AC-F83759FA4F1D}"/>
    <hyperlink ref="G59" r:id="rId30" xr:uid="{C59EBB2B-670A-41AE-AA47-F1BD1F84F152}"/>
    <hyperlink ref="G60" r:id="rId31" xr:uid="{CFDBAE60-8F8E-4B6E-B33B-38A63C933AD0}"/>
    <hyperlink ref="G61" r:id="rId32" display="http://library.mampam.com/Final ESIA - Bui HEP.pdf" xr:uid="{CD3351F3-9E9C-49BE-B912-205F81C3E9F4}"/>
    <hyperlink ref="G62" r:id="rId33" xr:uid="{E20D5A50-2CFA-4B5F-B18B-A258CD12EC34}"/>
    <hyperlink ref="G64" r:id="rId34" xr:uid="{3C8AF9DD-78DC-4208-94A6-47EE023A0E98}"/>
    <hyperlink ref="G65" r:id="rId35" xr:uid="{8F8C75E9-61FA-4D8B-A590-7B56F3026B05}"/>
    <hyperlink ref="G66" r:id="rId36" xr:uid="{C5E3A149-4CDD-4D3A-A6CC-F82CD04F2C15}"/>
    <hyperlink ref="G67" r:id="rId37" xr:uid="{A6F7B53B-B3C1-43A6-8E8C-0C1764D05DBB}"/>
    <hyperlink ref="G68" r:id="rId38" xr:uid="{0BC7FA08-62BF-484A-BCA6-8139F43876E7}"/>
    <hyperlink ref="G69" r:id="rId39" xr:uid="{567E6842-6B36-4DBB-ADBD-BDE056B9078A}"/>
    <hyperlink ref="G70" r:id="rId40" xr:uid="{076675C5-943D-49F6-9319-F14F04462B67}"/>
    <hyperlink ref="G71" r:id="rId41" display="http://ir.knust.edu.gh/bitstream/123456789/7974/1/edited after defense 1-10-2015 with new referencing style.pdf" xr:uid="{3F09FE3C-78F7-4D99-9587-5B451ECD1C72}"/>
    <hyperlink ref="G72" r:id="rId42" xr:uid="{8A3CC768-0469-4837-AEE6-90D5B45E225E}"/>
    <hyperlink ref="G73" r:id="rId43" xr:uid="{F61F03A5-0DDC-45EE-AF89-ACE0433C8DEF}"/>
    <hyperlink ref="G78" r:id="rId44" xr:uid="{6437CB13-D791-416A-8218-20F5FC444F94}"/>
    <hyperlink ref="G79" r:id="rId45" xr:uid="{FE186638-53D1-4B13-A629-2FFCEB18B30B}"/>
    <hyperlink ref="G84" r:id="rId46" xr:uid="{D8ADE0D3-56B4-41B3-80C1-356DC982A8D6}"/>
    <hyperlink ref="G85" r:id="rId47" xr:uid="{88B93143-41FE-44D9-9ACD-3F7FC323FE2A}"/>
    <hyperlink ref="G86" r:id="rId48" xr:uid="{4DC2568B-712B-4C06-993E-6219716DE54F}"/>
    <hyperlink ref="G87" r:id="rId49" xr:uid="{43F65783-0515-43F2-A23C-4B9C9FC8A68F}"/>
    <hyperlink ref="G88" r:id="rId50" xr:uid="{B81EBE33-8A9E-43D7-8685-6F3D0E52B1C8}"/>
    <hyperlink ref="G89" r:id="rId51" xr:uid="{BDB6D01B-2A89-4C4D-915A-E84A3CF9D266}"/>
    <hyperlink ref="G90" r:id="rId52" xr:uid="{A008C62E-2CFA-40B4-AF38-EBE9F07495F7}"/>
    <hyperlink ref="G91" r:id="rId53" xr:uid="{6CC2770A-7807-44BA-89EF-5B22D580268B}"/>
    <hyperlink ref="G92" r:id="rId54" xr:uid="{34E2FC41-7F73-4F4D-8DB0-AF8D9A963FF7}"/>
    <hyperlink ref="G93" r:id="rId55" xr:uid="{484C5021-BE9C-4A8A-BCC0-550EFFC77DED}"/>
    <hyperlink ref="G94" r:id="rId56" display="https://www.lombardi.ch/en-gb/Pages/References/Hydroelectric plants/References_5113.aspx" xr:uid="{138B46AF-90AA-4922-B7BB-383BF4A52AA8}"/>
    <hyperlink ref="G95" r:id="rId57" xr:uid="{96987CA1-3B86-418F-B51A-C91F79D5194D}"/>
    <hyperlink ref="G98" r:id="rId58" xr:uid="{3E0C7B7D-367A-4F67-8AFE-CCB90551FF8C}"/>
    <hyperlink ref="G99" r:id="rId59" xr:uid="{D58A82DA-7B12-47AE-8235-E27E64ECD03D}"/>
    <hyperlink ref="G100" r:id="rId60" xr:uid="{B326D360-CD59-4820-AAE2-E2D1C0CF562B}"/>
    <hyperlink ref="G101" r:id="rId61" xr:uid="{D05639A7-9961-45DD-B8FE-346F7446F88C}"/>
    <hyperlink ref="G102" r:id="rId62" xr:uid="{844B9921-22B8-4AD6-B85F-8791BA96F7DE}"/>
    <hyperlink ref="G103" r:id="rId63" xr:uid="{49204BFD-2857-4A59-ADB8-5B2D222EF532}"/>
    <hyperlink ref="G104" r:id="rId64" xr:uid="{37E537DC-0A99-498A-BD7B-31D9F262690E}"/>
    <hyperlink ref="G105" r:id="rId65" xr:uid="{37897335-0A0E-46C3-906A-9069976A72FC}"/>
    <hyperlink ref="G106" r:id="rId66" xr:uid="{EF197D24-1BE8-48E2-A70F-6CFD313CD3A5}"/>
    <hyperlink ref="G108" r:id="rId67" xr:uid="{5CD3E392-EEED-438A-BF7C-AE2588E5E42F}"/>
    <hyperlink ref="G109" r:id="rId68" xr:uid="{1D562E47-C453-48D3-930A-7AA13ECA7126}"/>
    <hyperlink ref="G110" r:id="rId69" xr:uid="{81B9C05A-C869-4E66-9A4B-8FCF56824826}"/>
    <hyperlink ref="G111" r:id="rId70" xr:uid="{96746BD7-4F19-4813-8B38-708E89592896}"/>
    <hyperlink ref="G112" r:id="rId71" tooltip="Persistent link using digital object identifier" display="https://doi.org/10.1016/j.ejrh.2018.12.006" xr:uid="{438D801F-6103-4128-8079-FC569496CC99}"/>
    <hyperlink ref="G113" r:id="rId72" xr:uid="{81B2FF39-EF01-43B3-9810-8B9939580A74}"/>
    <hyperlink ref="G114" r:id="rId73" xr:uid="{D45E5199-A1BE-498B-A068-848068AF18B3}"/>
    <hyperlink ref="G115" r:id="rId74" xr:uid="{C567368B-1D68-45C3-8CD4-4CB701A01EF1}"/>
    <hyperlink ref="G116" r:id="rId75" xr:uid="{1FB15307-B1DF-471C-9BDF-ACD71C2733D4}"/>
    <hyperlink ref="G117" r:id="rId76" xr:uid="{CCE002E6-9671-4AA6-A238-94DB0E2BACBD}"/>
    <hyperlink ref="G118" r:id="rId77" xr:uid="{9C6E187E-A39D-4D6B-BFFD-57AC6F2BBD4C}"/>
    <hyperlink ref="G119" r:id="rId78" xr:uid="{A57662EF-5217-4890-ACBC-78BE360837D3}"/>
    <hyperlink ref="G125" r:id="rId79" xr:uid="{56EE7042-DD7E-4BB1-B8EC-0F7F3837AD64}"/>
    <hyperlink ref="G126" r:id="rId80" xr:uid="{F227475E-5069-4568-BD90-4F3DD32B9F34}"/>
    <hyperlink ref="G127" r:id="rId81" xr:uid="{F6F40DE8-D506-4F00-8C34-7E4631C07AE0}"/>
    <hyperlink ref="G128" r:id="rId82" xr:uid="{E45FC4C3-5F4C-4D48-913E-AEBDD60BA50D}"/>
    <hyperlink ref="G131" r:id="rId83" xr:uid="{1F86DBBC-663F-416A-BDA1-3142B3D23A9B}"/>
    <hyperlink ref="G137" r:id="rId84" xr:uid="{BD73AAB3-D72F-4913-8451-D07B689FC8D6}"/>
    <hyperlink ref="G136" r:id="rId85" xr:uid="{370B8BC7-D15E-4A62-B02E-513396CCCA81}"/>
    <hyperlink ref="G138" r:id="rId86" xr:uid="{AEA81A02-AFBA-405A-8637-76F5F114534E}"/>
    <hyperlink ref="G139" r:id="rId87" xr:uid="{7C7F86C1-F24D-472D-B1BD-72C1FB37E15D}"/>
    <hyperlink ref="G144" r:id="rId88" xr:uid="{F590AF04-F7B4-45CF-A1FE-1D5C0F9F67E8}"/>
    <hyperlink ref="G145" r:id="rId89" xr:uid="{6BF9DCD9-CE5D-4D42-866D-9C62B8F1E55D}"/>
    <hyperlink ref="G146" r:id="rId90" xr:uid="{0D06E2ED-ED0C-4AD7-9961-D9D610D27EAB}"/>
    <hyperlink ref="G147" r:id="rId91" xr:uid="{687956D6-79CB-4D3B-9118-05618A7FFA1E}"/>
    <hyperlink ref="G149" r:id="rId92" xr:uid="{3082B821-1EB1-4079-B04A-DCA06B401090}"/>
    <hyperlink ref="G150" r:id="rId93" xr:uid="{A34DB5B6-ACF7-4272-ACE8-4B1CB14D025B}"/>
    <hyperlink ref="G148" r:id="rId94" xr:uid="{41482429-FE5F-4244-A978-DC94EF0E5175}"/>
    <hyperlink ref="G151" r:id="rId95" xr:uid="{64E18450-F936-47FA-9886-DF14A1A3F30D}"/>
    <hyperlink ref="G152" r:id="rId96" xr:uid="{FD70F95D-8CB2-4FA9-AF0C-D553B74A61E5}"/>
    <hyperlink ref="G153" r:id="rId97" xr:uid="{59D73A99-C8F3-4C0A-BA9A-3EF567FF1B44}"/>
    <hyperlink ref="G154" r:id="rId98" xr:uid="{C8AAB6E6-5FED-4C12-A843-AB7356BE5FD6}"/>
    <hyperlink ref="G156" r:id="rId99" display="http://eprints.lmu.edu.ng/1663/1/Ralph AJAST 2016.pdf" xr:uid="{5078A7E7-0EEA-4751-877C-B9F273597A3D}"/>
    <hyperlink ref="G157" r:id="rId100" xr:uid="{7AA34B5F-1EB6-4975-9767-AB080A2119D7}"/>
    <hyperlink ref="G158" r:id="rId101" xr:uid="{9EFE7DA1-1BFD-488F-8CCB-D5B599E11118}"/>
    <hyperlink ref="G159" r:id="rId102" xr:uid="{54657BC2-52B8-4C26-9499-BB039680DBC7}"/>
    <hyperlink ref="G165" r:id="rId103" xr:uid="{8BB04BC2-4F41-489A-A612-019692CED215}"/>
    <hyperlink ref="G164" r:id="rId104" xr:uid="{70FA6406-6467-4046-9385-7E07168AB8C9}"/>
    <hyperlink ref="G170" r:id="rId105" display="http://selihydropower.sl/Content/documents/2. BBII ESHIA_Volume 1.pdf" xr:uid="{DD00EDD2-7175-495F-AB57-56A64620B9B1}"/>
    <hyperlink ref="G171" r:id="rId106" xr:uid="{60141CAB-64AE-4331-A3AC-A9ED5CB7F974}"/>
    <hyperlink ref="G176" r:id="rId107" display="http://www.cebnet.org/pdfs/prospectus  1re pierre adjarala36ea.pdf" xr:uid="{162DCD0B-FF50-4DB9-ABD1-7C2E4E647704}"/>
    <hyperlink ref="G177" r:id="rId108" xr:uid="{B51C62CA-D96C-4812-82C2-A3E9301B3F1D}"/>
    <hyperlink ref="G178" r:id="rId109" xr:uid="{25872B2C-A48E-4BEB-A1B4-53E2C6D66337}"/>
    <hyperlink ref="G179" r:id="rId110" tooltip="Persistent link using digital object identifier" xr:uid="{08065A9F-83C5-465D-9C79-D9CCDE52C7B6}"/>
    <hyperlink ref="G182" r:id="rId111" xr:uid="{95898B67-6BA3-4438-B0AF-27AC3C094970}"/>
    <hyperlink ref="G183" r:id="rId112" xr:uid="{002FB54F-69C1-4ADE-8057-38357D7ABA8D}"/>
    <hyperlink ref="G184" r:id="rId113" xr:uid="{BB23E2A0-A48D-48BC-98E1-1D85A9177F73}"/>
    <hyperlink ref="G185" r:id="rId114" xr:uid="{0AC0B4AB-01BF-4777-8FCA-E3B89B8AC1E0}"/>
    <hyperlink ref="G186" r:id="rId115" xr:uid="{C66DF17F-0629-40B9-A040-EADC816F0A85}"/>
    <hyperlink ref="G107" r:id="rId116" xr:uid="{A8A51FAB-E7F9-49B6-ABC2-BEF867AF4EA6}"/>
    <hyperlink ref="G96" r:id="rId117" xr:uid="{836010C4-819E-4691-9D75-F7D7B1532097}"/>
    <hyperlink ref="G97" r:id="rId118" xr:uid="{DDE9F7E6-BFE1-42F5-80AF-9E5C365F43B5}"/>
    <hyperlink ref="G130" r:id="rId119" xr:uid="{16B2FD54-EE19-4FA0-B0BC-FF31E6B3E4D2}"/>
    <hyperlink ref="G129" r:id="rId120" xr:uid="{A8181FD6-8928-4690-926D-CABF34B74DEB}"/>
    <hyperlink ref="G191" r:id="rId121" xr:uid="{3EB18849-F4F1-4147-B4DC-2F743EDB278E}"/>
    <hyperlink ref="G192" r:id="rId122" xr:uid="{F76E30C2-5C7C-4558-A045-D75F59692CA0}"/>
    <hyperlink ref="G193" r:id="rId123" display="https://www.ghanaweb.com/GhanaHomePage/business/BXC-adds-20MW-solar-power-to-grid-454815" xr:uid="{31EACA72-DD3E-4198-8E90-3FFF0186A8F1}"/>
    <hyperlink ref="G194" r:id="rId124" xr:uid="{C2A5017C-1B4F-4939-9221-895A9C3AF67F}"/>
    <hyperlink ref="G195" r:id="rId125" xr:uid="{DB311283-E18C-425C-AB07-DA93BB1226FD}"/>
    <hyperlink ref="G196" r:id="rId126" xr:uid="{FAFDF7F1-16D3-4C9F-8F9F-B62107427508}"/>
    <hyperlink ref="G200" r:id="rId127" xr:uid="{E1EEEE20-8C5E-4EE1-A6CB-9FCD3A42013D}"/>
    <hyperlink ref="G197" r:id="rId128" xr:uid="{12CDD530-72FE-453F-81EE-EC951B225365}"/>
    <hyperlink ref="G198" r:id="rId129" xr:uid="{3D8284C9-F2A5-45B9-81D4-4C1B25AA3302}"/>
    <hyperlink ref="G199" r:id="rId130" xr:uid="{EB5D8BD8-F84E-426B-9EDE-649FE5DFE1D1}"/>
    <hyperlink ref="G201" r:id="rId131" xr:uid="{3524EF3C-AABA-4E33-B32C-615061A7E52C}"/>
    <hyperlink ref="G202" r:id="rId132" xr:uid="{D4EA0382-55CB-47DD-A2F2-1EEC3FD227E2}"/>
    <hyperlink ref="G204" r:id="rId133" xr:uid="{5F204351-32C5-48E4-9A0C-4E0164E7DA77}"/>
    <hyperlink ref="G203" r:id="rId134" xr:uid="{710EC2BB-C44C-4F66-9B9E-FD2DE52DA963}"/>
    <hyperlink ref="G205" r:id="rId135" xr:uid="{12610F9D-996C-4CA3-872B-E64F5677BE4D}"/>
    <hyperlink ref="G206" r:id="rId136" xr:uid="{9627ED97-79BB-4B8C-8373-1C1ED53F552B}"/>
    <hyperlink ref="G207" r:id="rId137" xr:uid="{B2578E4E-8A9B-4C36-9F44-0652B97FD917}"/>
    <hyperlink ref="G208" r:id="rId138" xr:uid="{2458C0A4-F6BF-4B7D-9D0F-E220BFD79743}"/>
    <hyperlink ref="G209" r:id="rId139" xr:uid="{EC9E5BDB-8F2C-490C-B5F9-5DB9EAAE61C2}"/>
    <hyperlink ref="G210" r:id="rId140" xr:uid="{B3D3A314-9524-483E-95BE-EE5D55CA6ADD}"/>
    <hyperlink ref="G211" r:id="rId141" xr:uid="{49C7DF58-D7F5-4269-A26F-43B8C870E15E}"/>
    <hyperlink ref="G212" r:id="rId142" xr:uid="{3B7FDDE1-4F16-4D9D-A304-8BE975002D3B}"/>
    <hyperlink ref="G213" r:id="rId143" xr:uid="{3B97F91D-A359-4216-8973-B94183A12BDD}"/>
    <hyperlink ref="G214" r:id="rId144" xr:uid="{5CE14122-28B8-4195-AD22-AEE0C5156E4B}"/>
    <hyperlink ref="G215" r:id="rId145" xr:uid="{05F17428-26D5-4FC5-B102-2F0C650E211F}"/>
    <hyperlink ref="G216" r:id="rId146" xr:uid="{6B942713-E15B-4323-B9C7-AC95A2250251}"/>
    <hyperlink ref="G217" r:id="rId147" xr:uid="{6C5E684C-79E0-486D-BDBF-BB2CA0A26042}"/>
    <hyperlink ref="G222" r:id="rId148" xr:uid="{A934197B-7D7C-4BFC-BA8B-A9A5154ADB59}"/>
    <hyperlink ref="G223" r:id="rId149" xr:uid="{F229028A-8D67-4F46-B5EA-D38651A1FB6B}"/>
    <hyperlink ref="G224" r:id="rId150" xr:uid="{32C30CC8-CB1B-412D-AC97-9F40E6F1ACDE}"/>
    <hyperlink ref="G225" r:id="rId151" xr:uid="{2B1F2DE7-DB94-4BF9-B710-945A597094D4}"/>
    <hyperlink ref="G226" r:id="rId152" xr:uid="{E8537739-4E5F-493F-85A8-CB022CD8B038}"/>
    <hyperlink ref="G227" r:id="rId153" xr:uid="{7AAE3625-196B-44EF-9A57-ADF8FFBAE240}"/>
    <hyperlink ref="G228" r:id="rId154" xr:uid="{5202BC38-17D6-4955-8359-AA2AB8B97195}"/>
    <hyperlink ref="G230" r:id="rId155" xr:uid="{226C78B0-C650-4336-872E-A79A58FE206C}"/>
    <hyperlink ref="G231" r:id="rId156" xr:uid="{980361C0-E9D4-4BE8-913A-A50679C82B62}"/>
    <hyperlink ref="G233" r:id="rId157" xr:uid="{C15CAED7-1BAA-4FD1-BC40-F1D00669807E}"/>
    <hyperlink ref="G232" r:id="rId158" xr:uid="{F53BEB45-9903-4831-A4C1-0CC0DF2CBDE4}"/>
    <hyperlink ref="G229" r:id="rId159" xr:uid="{8B98A78D-0FA0-45FB-96A8-B37BDB8DDEC1}"/>
  </hyperlinks>
  <pageMargins left="0.7" right="0.7" top="0.75" bottom="0.75" header="0.3" footer="0.3"/>
  <pageSetup paperSize="9" orientation="portrait" horizontalDpi="0" verticalDpi="0" r:id="rId16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C0E8B-E04C-4200-9EF9-F94837BEF8DA}">
  <dimension ref="B2:F7"/>
  <sheetViews>
    <sheetView showGridLines="0" workbookViewId="0">
      <selection activeCell="E2" sqref="E2"/>
    </sheetView>
  </sheetViews>
  <sheetFormatPr defaultRowHeight="13.5" x14ac:dyDescent="0.3"/>
  <cols>
    <col min="1" max="16384" width="8.7265625" style="2"/>
  </cols>
  <sheetData>
    <row r="2" spans="2:6" x14ac:dyDescent="0.3">
      <c r="B2" s="55" t="s">
        <v>1039</v>
      </c>
      <c r="F2" s="55" t="s">
        <v>1040</v>
      </c>
    </row>
    <row r="3" spans="2:6" x14ac:dyDescent="0.3">
      <c r="B3" s="55"/>
    </row>
    <row r="4" spans="2:6" x14ac:dyDescent="0.3">
      <c r="B4" s="2" t="s">
        <v>1038</v>
      </c>
      <c r="F4" s="2" t="s">
        <v>1042</v>
      </c>
    </row>
    <row r="5" spans="2:6" x14ac:dyDescent="0.3">
      <c r="B5" s="2" t="s">
        <v>1036</v>
      </c>
      <c r="F5" s="2" t="s">
        <v>1034</v>
      </c>
    </row>
    <row r="6" spans="2:6" x14ac:dyDescent="0.3">
      <c r="B6" s="2" t="s">
        <v>1037</v>
      </c>
    </row>
    <row r="7" spans="2:6" x14ac:dyDescent="0.3">
      <c r="B7" s="2" t="s">
        <v>1041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Overview</vt:lpstr>
      <vt:lpstr>Hydro</vt:lpstr>
      <vt:lpstr>Solar PV</vt:lpstr>
      <vt:lpstr>Wind</vt:lpstr>
      <vt:lpstr>Data sources</vt:lpstr>
      <vt:lpstr>Admin</vt:lpstr>
      <vt:lpstr>Calculation_methods</vt:lpstr>
      <vt:lpstr>Exclusion_reasons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Hendrik Sterl</dc:creator>
  <cp:lastModifiedBy>Sebastian Hendrik Sterl</cp:lastModifiedBy>
  <cp:lastPrinted>2019-03-12T08:44:13Z</cp:lastPrinted>
  <dcterms:created xsi:type="dcterms:W3CDTF">2018-06-13T14:23:38Z</dcterms:created>
  <dcterms:modified xsi:type="dcterms:W3CDTF">2020-03-30T06:23:37Z</dcterms:modified>
</cp:coreProperties>
</file>