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8.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9.xml" ContentType="application/vnd.openxmlformats-officedocument.drawing+xml"/>
  <Override PartName="/xl/charts/chart17.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0.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charts/chart19.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Z:\h2405\Documents\ArtificialRainForests_new\Paper\Final\Nature Sutainability\Revised Version\Revised_Revised\Final_Revised\Next\ToBeSubmitted\Final Documents\"/>
    </mc:Choice>
  </mc:AlternateContent>
  <xr:revisionPtr revIDLastSave="0" documentId="13_ncr:1_{6DE216F2-4BF9-40CD-BB82-31DF35B5DDAC}" xr6:coauthVersionLast="47" xr6:coauthVersionMax="47" xr10:uidLastSave="{00000000-0000-0000-0000-000000000000}"/>
  <bookViews>
    <workbookView xWindow="4200" yWindow="4200" windowWidth="21600" windowHeight="12735" tabRatio="770" xr2:uid="{49B2C05C-1430-4F52-84D7-23F40BD5D43A}"/>
  </bookViews>
  <sheets>
    <sheet name="Overview" sheetId="29" r:id="rId1"/>
    <sheet name="Notes on tree allometry" sheetId="27" r:id="rId2"/>
    <sheet name="KeyParameters" sheetId="20" r:id="rId3"/>
    <sheet name="Tree1" sheetId="10" r:id="rId4"/>
    <sheet name="Tree2" sheetId="12" r:id="rId5"/>
    <sheet name="Tree3" sheetId="25" r:id="rId6"/>
    <sheet name="Tree4" sheetId="15" r:id="rId7"/>
    <sheet name="Tree5" sheetId="16" r:id="rId8"/>
    <sheet name="Tree6" sheetId="17" r:id="rId9"/>
    <sheet name="Tree7" sheetId="18" r:id="rId10"/>
    <sheet name="Tree8" sheetId="19" r:id="rId11"/>
    <sheet name="ImpactOnCO2Emissions" sheetId="32" r:id="rId12"/>
    <sheet name="Validation" sheetId="23" r:id="rId13"/>
    <sheet name="Regional Breakdown" sheetId="30" r:id="rId14"/>
    <sheet name="References" sheetId="21" r:id="rId15"/>
  </sheets>
  <definedNames>
    <definedName name="_Hlk116573850" localSheetId="11">ImpactOnCO2Emissions!$A$3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0" i="32" l="1"/>
  <c r="K30" i="32"/>
  <c r="J30" i="32"/>
  <c r="I30" i="32"/>
  <c r="H30" i="32"/>
  <c r="G30" i="32"/>
  <c r="F30" i="32"/>
  <c r="E30" i="32"/>
  <c r="I13" i="32"/>
  <c r="H13" i="32"/>
  <c r="G13" i="32"/>
  <c r="F13" i="32"/>
  <c r="E13" i="32"/>
  <c r="D13" i="32"/>
  <c r="C13" i="32"/>
  <c r="B13" i="32"/>
  <c r="B21" i="32" s="1"/>
  <c r="C21" i="32" l="1"/>
  <c r="D21" i="32" s="1"/>
  <c r="E21" i="32" s="1"/>
  <c r="F21" i="32" s="1"/>
  <c r="G21" i="32" s="1"/>
  <c r="H21" i="32" s="1"/>
  <c r="I21" i="32" s="1"/>
  <c r="K21" i="32" s="1"/>
  <c r="H25" i="32" l="1"/>
  <c r="D25" i="32"/>
  <c r="I16" i="32"/>
  <c r="E16" i="32"/>
  <c r="G25" i="32"/>
  <c r="C25" i="32"/>
  <c r="H16" i="32"/>
  <c r="G16" i="32"/>
  <c r="E25" i="32"/>
  <c r="D16" i="32"/>
  <c r="D30" i="32"/>
  <c r="F25" i="32"/>
  <c r="B16" i="32"/>
  <c r="C16" i="32"/>
  <c r="C30" i="32"/>
  <c r="I25" i="32"/>
  <c r="F16" i="32"/>
  <c r="K34" i="32" l="1"/>
  <c r="G34" i="32"/>
  <c r="I34" i="32"/>
  <c r="H34" i="32"/>
  <c r="J34" i="32"/>
  <c r="L34" i="32"/>
  <c r="E34" i="32"/>
  <c r="C34" i="32"/>
  <c r="D34" i="32"/>
  <c r="F34" i="32"/>
  <c r="C26" i="32"/>
  <c r="D26" i="32" s="1"/>
  <c r="E26" i="32" s="1"/>
  <c r="F26" i="32" s="1"/>
  <c r="G26" i="32" s="1"/>
  <c r="H26" i="32" s="1"/>
  <c r="I26" i="32" s="1"/>
  <c r="B34" i="32"/>
  <c r="B25" i="32"/>
  <c r="C38" i="32" l="1"/>
  <c r="D38" i="32" s="1"/>
  <c r="E38" i="32" s="1"/>
  <c r="F38" i="32" s="1"/>
  <c r="G38" i="32" s="1"/>
  <c r="H38" i="32" s="1"/>
  <c r="I38" i="32" s="1"/>
  <c r="J38" i="32" s="1"/>
  <c r="K38" i="32" s="1"/>
  <c r="L38" i="32" s="1"/>
  <c r="B38" i="32"/>
  <c r="K8" i="12" l="1"/>
  <c r="K9" i="12"/>
  <c r="K10" i="12"/>
  <c r="K11" i="12"/>
  <c r="K12" i="12"/>
  <c r="K13" i="12"/>
  <c r="K14" i="12"/>
  <c r="K15" i="12"/>
  <c r="K16" i="12"/>
  <c r="K17" i="12"/>
  <c r="K18" i="12"/>
  <c r="K19" i="12"/>
  <c r="K20" i="12"/>
  <c r="K21" i="12"/>
  <c r="K22" i="12"/>
  <c r="K23" i="12"/>
  <c r="K24" i="12"/>
  <c r="K25" i="12"/>
  <c r="K26" i="12"/>
  <c r="K27" i="12"/>
  <c r="K28" i="12"/>
  <c r="K29" i="12"/>
  <c r="K30" i="12"/>
  <c r="K31" i="12"/>
  <c r="K32" i="12"/>
  <c r="K33" i="12"/>
  <c r="K34" i="12"/>
  <c r="K35" i="12"/>
  <c r="K36" i="12"/>
  <c r="K37" i="12"/>
  <c r="K38" i="12"/>
  <c r="K39" i="12"/>
  <c r="K40" i="12"/>
  <c r="K41" i="12"/>
  <c r="K42" i="12"/>
  <c r="K43" i="12"/>
  <c r="K44" i="12"/>
  <c r="K45" i="12"/>
  <c r="K46" i="12"/>
  <c r="K47" i="12"/>
  <c r="K48" i="12"/>
  <c r="K49" i="12"/>
  <c r="K50" i="12"/>
  <c r="K51" i="12"/>
  <c r="K52" i="12"/>
  <c r="K53" i="12"/>
  <c r="K54" i="12"/>
  <c r="K55" i="12"/>
  <c r="K56" i="12"/>
  <c r="K57" i="12"/>
  <c r="K58" i="12"/>
  <c r="K59" i="12"/>
  <c r="K60" i="12"/>
  <c r="K61" i="12"/>
  <c r="K62" i="12"/>
  <c r="K63" i="12"/>
  <c r="K64" i="12"/>
  <c r="K65" i="12"/>
  <c r="K66" i="12"/>
  <c r="K67" i="12"/>
  <c r="K68" i="12"/>
  <c r="K69" i="12"/>
  <c r="K70" i="12"/>
  <c r="K71" i="12"/>
  <c r="K72" i="12"/>
  <c r="K73" i="12"/>
  <c r="K74" i="12"/>
  <c r="K75" i="12"/>
  <c r="K76" i="12"/>
  <c r="K77" i="12"/>
  <c r="K78" i="12"/>
  <c r="K79" i="12"/>
  <c r="K80" i="12"/>
  <c r="K81" i="12"/>
  <c r="K82" i="12"/>
  <c r="K83" i="12"/>
  <c r="K84" i="12"/>
  <c r="K85" i="12"/>
  <c r="K86" i="12"/>
  <c r="K7" i="12"/>
  <c r="J6" i="17"/>
  <c r="J7" i="17"/>
  <c r="J8" i="17"/>
  <c r="J9" i="17"/>
  <c r="J10" i="17"/>
  <c r="J11" i="17"/>
  <c r="J12" i="17"/>
  <c r="J13" i="17"/>
  <c r="J14" i="17"/>
  <c r="J15" i="17"/>
  <c r="J16" i="17"/>
  <c r="J17" i="17"/>
  <c r="J18" i="17"/>
  <c r="J19" i="17"/>
  <c r="J20" i="17"/>
  <c r="J21" i="17"/>
  <c r="J22" i="17"/>
  <c r="J23" i="17"/>
  <c r="J24" i="17"/>
  <c r="J25" i="17"/>
  <c r="J26" i="17"/>
  <c r="J27" i="17"/>
  <c r="J28" i="17"/>
  <c r="J29" i="17"/>
  <c r="J30" i="17"/>
  <c r="J31" i="17"/>
  <c r="J32" i="17"/>
  <c r="J33" i="17"/>
  <c r="J34" i="17"/>
  <c r="J35" i="17"/>
  <c r="J36" i="17"/>
  <c r="J37" i="17"/>
  <c r="J38" i="17"/>
  <c r="J39" i="17"/>
  <c r="J40" i="17"/>
  <c r="J41" i="17"/>
  <c r="J42" i="17"/>
  <c r="J43" i="17"/>
  <c r="J44" i="17"/>
  <c r="J45" i="17"/>
  <c r="J46" i="17"/>
  <c r="J47" i="17"/>
  <c r="J48" i="17"/>
  <c r="J49" i="17"/>
  <c r="J50" i="17"/>
  <c r="J51" i="17"/>
  <c r="J52" i="17"/>
  <c r="J53" i="17"/>
  <c r="J54" i="17"/>
  <c r="J55" i="17"/>
  <c r="J56" i="17"/>
  <c r="J57" i="17"/>
  <c r="J58" i="17"/>
  <c r="J59" i="17"/>
  <c r="J60" i="17"/>
  <c r="J61" i="17"/>
  <c r="J62" i="17"/>
  <c r="J63" i="17"/>
  <c r="J64" i="17"/>
  <c r="J65" i="17"/>
  <c r="J66" i="17"/>
  <c r="J67" i="17"/>
  <c r="J68" i="17"/>
  <c r="J69" i="17"/>
  <c r="J70" i="17"/>
  <c r="J71" i="17"/>
  <c r="J72" i="17"/>
  <c r="J73" i="17"/>
  <c r="J74" i="17"/>
  <c r="J75" i="17"/>
  <c r="J76" i="17"/>
  <c r="J77" i="17"/>
  <c r="J78" i="17"/>
  <c r="J79" i="17"/>
  <c r="J80" i="17"/>
  <c r="J81" i="17"/>
  <c r="J82" i="17"/>
  <c r="J83" i="17"/>
  <c r="J84" i="17"/>
  <c r="J85" i="17"/>
  <c r="J86" i="17"/>
  <c r="J87" i="17"/>
  <c r="J88" i="17"/>
  <c r="J89" i="17"/>
  <c r="J90" i="17"/>
  <c r="J91" i="17"/>
  <c r="J92" i="17"/>
  <c r="J93" i="17"/>
  <c r="J94" i="17"/>
  <c r="J95" i="17"/>
  <c r="J96" i="17"/>
  <c r="J97" i="17"/>
  <c r="J98" i="17"/>
  <c r="J99" i="17"/>
  <c r="J100" i="17"/>
  <c r="J101" i="17"/>
  <c r="J102" i="17"/>
  <c r="J103" i="17"/>
  <c r="J104" i="17"/>
  <c r="J105" i="17"/>
  <c r="J10" i="16"/>
  <c r="B23" i="23"/>
  <c r="B47" i="20" l="1"/>
  <c r="C50" i="23"/>
  <c r="B33" i="23" l="1"/>
  <c r="B32" i="23"/>
  <c r="B20" i="23"/>
  <c r="B21" i="23"/>
  <c r="B22" i="23"/>
  <c r="B19" i="23"/>
  <c r="B10" i="23"/>
  <c r="B30" i="20" l="1"/>
  <c r="B16" i="20" l="1"/>
  <c r="C12" i="25" l="1"/>
  <c r="F17" i="25"/>
  <c r="F9" i="25"/>
  <c r="F10" i="25" s="1"/>
  <c r="F12" i="25"/>
  <c r="G14" i="25"/>
  <c r="G9" i="25"/>
  <c r="G12" i="25"/>
  <c r="G10" i="25" l="1"/>
  <c r="G11" i="25" s="1"/>
  <c r="F11" i="25"/>
  <c r="H12" i="25"/>
  <c r="H8" i="25" s="1"/>
  <c r="I8" i="25" l="1"/>
  <c r="H10" i="25"/>
  <c r="H11" i="25"/>
  <c r="I12" i="25" s="1"/>
  <c r="H9" i="25" l="1"/>
  <c r="B50" i="10" l="1"/>
  <c r="B51" i="10" s="1"/>
  <c r="B52" i="10" s="1"/>
  <c r="B53" i="10" s="1"/>
  <c r="B54" i="10" s="1"/>
  <c r="B55" i="10" s="1"/>
  <c r="B56" i="10" s="1"/>
  <c r="B57" i="10" s="1"/>
  <c r="B58" i="10" s="1"/>
  <c r="B59" i="10" s="1"/>
  <c r="B60" i="10" s="1"/>
  <c r="B61" i="10" s="1"/>
  <c r="B62" i="10" s="1"/>
  <c r="B63" i="10" s="1"/>
  <c r="B64" i="10" s="1"/>
  <c r="B65" i="10" s="1"/>
  <c r="B66" i="10" s="1"/>
  <c r="B67" i="10" s="1"/>
  <c r="B68" i="10" s="1"/>
  <c r="B69" i="10" s="1"/>
  <c r="B70" i="10" s="1"/>
  <c r="B71" i="10" s="1"/>
  <c r="B72" i="10" s="1"/>
  <c r="B73" i="10" s="1"/>
  <c r="B74" i="10" s="1"/>
  <c r="B75" i="10" s="1"/>
  <c r="B76" i="10" s="1"/>
  <c r="B77" i="10" s="1"/>
  <c r="B78" i="10" s="1"/>
  <c r="B79" i="10" s="1"/>
  <c r="B80" i="10" s="1"/>
  <c r="B81" i="10" s="1"/>
  <c r="B82" i="10" s="1"/>
  <c r="B83" i="10" s="1"/>
  <c r="B84" i="10" s="1"/>
  <c r="B85" i="10" s="1"/>
  <c r="B86" i="10" s="1"/>
  <c r="B69" i="23" l="1"/>
  <c r="B68" i="23"/>
  <c r="B67" i="23"/>
  <c r="B70" i="23" l="1"/>
  <c r="B71" i="23"/>
  <c r="G10" i="12"/>
  <c r="G9" i="12" l="1"/>
  <c r="G8" i="12"/>
  <c r="G7" i="12"/>
  <c r="G23" i="25" l="1"/>
  <c r="G27" i="25"/>
  <c r="G15" i="25"/>
  <c r="C85" i="25"/>
  <c r="D85" i="25" s="1"/>
  <c r="C86" i="25"/>
  <c r="D86" i="25" s="1"/>
  <c r="C87" i="25"/>
  <c r="D87" i="25" s="1"/>
  <c r="G2" i="12" l="1"/>
  <c r="G3" i="12" s="1"/>
  <c r="G53" i="10"/>
  <c r="B19" i="20" l="1"/>
  <c r="C81" i="25" l="1"/>
  <c r="D81" i="25" s="1"/>
  <c r="C82" i="25"/>
  <c r="D82" i="25" s="1"/>
  <c r="C83" i="25"/>
  <c r="D83" i="25" s="1"/>
  <c r="C84" i="25"/>
  <c r="D84" i="25" s="1"/>
  <c r="C71" i="25"/>
  <c r="D71" i="25" s="1"/>
  <c r="C72" i="25"/>
  <c r="D72" i="25" s="1"/>
  <c r="C73" i="25"/>
  <c r="D73" i="25" s="1"/>
  <c r="C74" i="25"/>
  <c r="D74" i="25" s="1"/>
  <c r="C75" i="25"/>
  <c r="D75" i="25" s="1"/>
  <c r="C76" i="25"/>
  <c r="D76" i="25" s="1"/>
  <c r="C77" i="25"/>
  <c r="D77" i="25" s="1"/>
  <c r="C78" i="25"/>
  <c r="D78" i="25" s="1"/>
  <c r="C79" i="25"/>
  <c r="D79" i="25" s="1"/>
  <c r="C80" i="25"/>
  <c r="D80" i="25" s="1"/>
  <c r="C70" i="25"/>
  <c r="D12" i="25" l="1"/>
  <c r="B8" i="25"/>
  <c r="D8" i="25"/>
  <c r="B9" i="25"/>
  <c r="D9" i="25"/>
  <c r="B10" i="25"/>
  <c r="D10" i="25"/>
  <c r="B11" i="25"/>
  <c r="C11" i="25"/>
  <c r="D11" i="25" s="1"/>
  <c r="B12" i="25"/>
  <c r="B13" i="25"/>
  <c r="C13" i="25"/>
  <c r="D13" i="25" s="1"/>
  <c r="B14" i="25"/>
  <c r="C14" i="25"/>
  <c r="D14" i="25" s="1"/>
  <c r="B15" i="25"/>
  <c r="C15" i="25"/>
  <c r="D15" i="25" s="1"/>
  <c r="B16" i="25"/>
  <c r="C16" i="25"/>
  <c r="D16" i="25" s="1"/>
  <c r="B17" i="25"/>
  <c r="C17" i="25"/>
  <c r="D17" i="25" s="1"/>
  <c r="B18" i="25"/>
  <c r="C18" i="25"/>
  <c r="D18" i="25" s="1"/>
  <c r="B19" i="25"/>
  <c r="C19" i="25"/>
  <c r="D19" i="25" s="1"/>
  <c r="B20" i="25"/>
  <c r="C20" i="25"/>
  <c r="D20" i="25" s="1"/>
  <c r="B21" i="25"/>
  <c r="C21" i="25"/>
  <c r="D21" i="25" s="1"/>
  <c r="B22" i="25"/>
  <c r="C22" i="25"/>
  <c r="D22" i="25" s="1"/>
  <c r="B23" i="25"/>
  <c r="C23" i="25"/>
  <c r="D23" i="25" s="1"/>
  <c r="B24" i="25"/>
  <c r="C24" i="25"/>
  <c r="D24" i="25" s="1"/>
  <c r="B25" i="25"/>
  <c r="C25" i="25"/>
  <c r="D25" i="25" s="1"/>
  <c r="B26" i="25"/>
  <c r="C26" i="25"/>
  <c r="D26" i="25" s="1"/>
  <c r="B27" i="25"/>
  <c r="B28" i="25" s="1"/>
  <c r="B29" i="25" s="1"/>
  <c r="B30" i="25" s="1"/>
  <c r="B31" i="25" s="1"/>
  <c r="B32" i="25" s="1"/>
  <c r="B33" i="25" s="1"/>
  <c r="B34" i="25" s="1"/>
  <c r="B35" i="25" s="1"/>
  <c r="B36" i="25" s="1"/>
  <c r="B37" i="25" s="1"/>
  <c r="B38" i="25" s="1"/>
  <c r="B39" i="25" s="1"/>
  <c r="B40" i="25" s="1"/>
  <c r="B41" i="25" s="1"/>
  <c r="B42" i="25" s="1"/>
  <c r="B43" i="25" s="1"/>
  <c r="B44" i="25" s="1"/>
  <c r="B45" i="25" s="1"/>
  <c r="B46" i="25" s="1"/>
  <c r="B47" i="25" s="1"/>
  <c r="B48" i="25" s="1"/>
  <c r="B49" i="25" s="1"/>
  <c r="B50" i="25" s="1"/>
  <c r="B51" i="25" s="1"/>
  <c r="B52" i="25" s="1"/>
  <c r="B53" i="25" s="1"/>
  <c r="B54" i="25" s="1"/>
  <c r="B55" i="25" s="1"/>
  <c r="B56" i="25" s="1"/>
  <c r="B57" i="25" s="1"/>
  <c r="B58" i="25" s="1"/>
  <c r="B59" i="25" s="1"/>
  <c r="B60" i="25" s="1"/>
  <c r="B61" i="25" s="1"/>
  <c r="B62" i="25" s="1"/>
  <c r="B63" i="25" s="1"/>
  <c r="B64" i="25" s="1"/>
  <c r="B65" i="25" s="1"/>
  <c r="B66" i="25" s="1"/>
  <c r="B67" i="25" s="1"/>
  <c r="B68" i="25" s="1"/>
  <c r="B69" i="25" s="1"/>
  <c r="B70" i="25" s="1"/>
  <c r="B71" i="25" s="1"/>
  <c r="B72" i="25" s="1"/>
  <c r="B73" i="25" s="1"/>
  <c r="B74" i="25" s="1"/>
  <c r="B75" i="25" s="1"/>
  <c r="B76" i="25" s="1"/>
  <c r="B77" i="25" s="1"/>
  <c r="B78" i="25" s="1"/>
  <c r="B79" i="25" s="1"/>
  <c r="B80" i="25" s="1"/>
  <c r="B81" i="25" s="1"/>
  <c r="B82" i="25" s="1"/>
  <c r="B83" i="25" s="1"/>
  <c r="B84" i="25" s="1"/>
  <c r="B85" i="25" s="1"/>
  <c r="B86" i="25" s="1"/>
  <c r="B87" i="25" s="1"/>
  <c r="C27" i="25"/>
  <c r="D27" i="25" s="1"/>
  <c r="C28" i="25"/>
  <c r="D28" i="25" s="1"/>
  <c r="C29" i="25"/>
  <c r="D29" i="25" s="1"/>
  <c r="C30" i="25"/>
  <c r="D30" i="25" s="1"/>
  <c r="C31" i="25"/>
  <c r="D31" i="25" s="1"/>
  <c r="C32" i="25"/>
  <c r="D32" i="25" s="1"/>
  <c r="C33" i="25"/>
  <c r="D33" i="25" s="1"/>
  <c r="C34" i="25"/>
  <c r="D34" i="25" s="1"/>
  <c r="B98" i="18"/>
  <c r="C98" i="18" s="1"/>
  <c r="B99" i="18"/>
  <c r="C99" i="18" s="1"/>
  <c r="B100" i="18"/>
  <c r="D100" i="18" s="1"/>
  <c r="E100" i="18" s="1"/>
  <c r="B101" i="18"/>
  <c r="C101" i="18" s="1"/>
  <c r="B102" i="18"/>
  <c r="C102" i="18" s="1"/>
  <c r="B103" i="18"/>
  <c r="C103" i="18" s="1"/>
  <c r="B104" i="18"/>
  <c r="C104" i="18" s="1"/>
  <c r="F104" i="18" s="1"/>
  <c r="B105" i="18"/>
  <c r="C105" i="18" s="1"/>
  <c r="B86" i="18"/>
  <c r="C86" i="18" s="1"/>
  <c r="B87" i="18"/>
  <c r="C87" i="18" s="1"/>
  <c r="F87" i="18" s="1"/>
  <c r="B88" i="18"/>
  <c r="D88" i="18" s="1"/>
  <c r="E88" i="18" s="1"/>
  <c r="B89" i="18"/>
  <c r="C89" i="18" s="1"/>
  <c r="B90" i="18"/>
  <c r="C90" i="18" s="1"/>
  <c r="B91" i="18"/>
  <c r="D91" i="18" s="1"/>
  <c r="E91" i="18" s="1"/>
  <c r="C91" i="18"/>
  <c r="F91" i="18" s="1"/>
  <c r="B92" i="18"/>
  <c r="D92" i="18" s="1"/>
  <c r="E92" i="18" s="1"/>
  <c r="C92" i="18"/>
  <c r="F92" i="18" s="1"/>
  <c r="B93" i="18"/>
  <c r="C93" i="18" s="1"/>
  <c r="B94" i="18"/>
  <c r="C94" i="18" s="1"/>
  <c r="B95" i="18"/>
  <c r="D95" i="18" s="1"/>
  <c r="E95" i="18" s="1"/>
  <c r="C95" i="18"/>
  <c r="F95" i="18" s="1"/>
  <c r="B96" i="18"/>
  <c r="D96" i="18" s="1"/>
  <c r="E96" i="18" s="1"/>
  <c r="B97" i="18"/>
  <c r="C97" i="18" s="1"/>
  <c r="B102" i="17"/>
  <c r="C102" i="17" s="1"/>
  <c r="F102" i="17" s="1"/>
  <c r="H102" i="17" s="1"/>
  <c r="B103" i="17"/>
  <c r="D103" i="17" s="1"/>
  <c r="E103" i="17" s="1"/>
  <c r="B104" i="17"/>
  <c r="C104" i="17" s="1"/>
  <c r="F104" i="17" s="1"/>
  <c r="H104" i="17" s="1"/>
  <c r="B105" i="17"/>
  <c r="C105" i="17" s="1"/>
  <c r="F105" i="17" s="1"/>
  <c r="H105" i="17" s="1"/>
  <c r="B98" i="17"/>
  <c r="C98" i="17" s="1"/>
  <c r="F98" i="17" s="1"/>
  <c r="H98" i="17" s="1"/>
  <c r="B99" i="17"/>
  <c r="C99" i="17" s="1"/>
  <c r="F99" i="17" s="1"/>
  <c r="H99" i="17" s="1"/>
  <c r="B100" i="17"/>
  <c r="C100" i="17" s="1"/>
  <c r="F100" i="17" s="1"/>
  <c r="H100" i="17" s="1"/>
  <c r="B101" i="17"/>
  <c r="D101" i="17" s="1"/>
  <c r="E101" i="17" s="1"/>
  <c r="B93" i="17"/>
  <c r="C93" i="17" s="1"/>
  <c r="F93" i="17" s="1"/>
  <c r="H93" i="17" s="1"/>
  <c r="B94" i="17"/>
  <c r="C94" i="17" s="1"/>
  <c r="F94" i="17" s="1"/>
  <c r="H94" i="17" s="1"/>
  <c r="B95" i="17"/>
  <c r="C95" i="17" s="1"/>
  <c r="F95" i="17" s="1"/>
  <c r="H95" i="17" s="1"/>
  <c r="B96" i="17"/>
  <c r="C96" i="17" s="1"/>
  <c r="F96" i="17" s="1"/>
  <c r="H96" i="17" s="1"/>
  <c r="B97" i="17"/>
  <c r="C97" i="17" s="1"/>
  <c r="F97" i="17" s="1"/>
  <c r="H97" i="17" s="1"/>
  <c r="B86" i="17"/>
  <c r="C86" i="17" s="1"/>
  <c r="F86" i="17" s="1"/>
  <c r="H86" i="17" s="1"/>
  <c r="B87" i="17"/>
  <c r="D87" i="17" s="1"/>
  <c r="E87" i="17" s="1"/>
  <c r="B88" i="17"/>
  <c r="D88" i="17" s="1"/>
  <c r="E88" i="17" s="1"/>
  <c r="C88" i="17"/>
  <c r="F88" i="17" s="1"/>
  <c r="H88" i="17" s="1"/>
  <c r="B89" i="17"/>
  <c r="C89" i="17" s="1"/>
  <c r="F89" i="17" s="1"/>
  <c r="H89" i="17" s="1"/>
  <c r="B90" i="17"/>
  <c r="D90" i="17" s="1"/>
  <c r="E90" i="17" s="1"/>
  <c r="B91" i="17"/>
  <c r="C91" i="17" s="1"/>
  <c r="F91" i="17" s="1"/>
  <c r="H91" i="17" s="1"/>
  <c r="B92" i="17"/>
  <c r="D92" i="17" s="1"/>
  <c r="E92" i="17" s="1"/>
  <c r="C92" i="17"/>
  <c r="F92" i="17" s="1"/>
  <c r="H92" i="17" s="1"/>
  <c r="B82" i="17"/>
  <c r="C82" i="17" s="1"/>
  <c r="F82" i="17" s="1"/>
  <c r="H82" i="17" s="1"/>
  <c r="B83" i="17"/>
  <c r="C83" i="17" s="1"/>
  <c r="F83" i="17" s="1"/>
  <c r="H83" i="17" s="1"/>
  <c r="B84" i="17"/>
  <c r="D84" i="17" s="1"/>
  <c r="E84" i="17" s="1"/>
  <c r="B85" i="17"/>
  <c r="C85" i="17" s="1"/>
  <c r="F85" i="17" s="1"/>
  <c r="H85" i="17" s="1"/>
  <c r="B79" i="17"/>
  <c r="C79" i="17" s="1"/>
  <c r="F79" i="17" s="1"/>
  <c r="H79" i="17" s="1"/>
  <c r="B80" i="17"/>
  <c r="D80" i="17" s="1"/>
  <c r="E80" i="17" s="1"/>
  <c r="B81" i="17"/>
  <c r="D81" i="17" s="1"/>
  <c r="E81" i="17" s="1"/>
  <c r="B44" i="16"/>
  <c r="B45" i="16" s="1"/>
  <c r="B46" i="16" s="1"/>
  <c r="B40" i="16"/>
  <c r="B41" i="16"/>
  <c r="B42" i="16"/>
  <c r="B43" i="16"/>
  <c r="B32" i="15"/>
  <c r="B33" i="15"/>
  <c r="B34" i="15"/>
  <c r="B35" i="15" s="1"/>
  <c r="B36" i="15" s="1"/>
  <c r="B10" i="15"/>
  <c r="F16" i="25"/>
  <c r="E16" i="25" s="1"/>
  <c r="B50" i="12"/>
  <c r="C50" i="12" s="1"/>
  <c r="B51" i="12"/>
  <c r="D51" i="12" s="1"/>
  <c r="E51" i="12" s="1"/>
  <c r="B52" i="12"/>
  <c r="C52" i="12" s="1"/>
  <c r="F52" i="12" s="1"/>
  <c r="B53" i="12"/>
  <c r="C53" i="12" s="1"/>
  <c r="F53" i="12" s="1"/>
  <c r="B54" i="12"/>
  <c r="C54" i="12" s="1"/>
  <c r="F54" i="12" s="1"/>
  <c r="B55" i="12"/>
  <c r="C55" i="12" s="1"/>
  <c r="F55" i="12" s="1"/>
  <c r="B56" i="12"/>
  <c r="C56" i="12" s="1"/>
  <c r="F56" i="12" s="1"/>
  <c r="B57" i="12"/>
  <c r="C57" i="12" s="1"/>
  <c r="F57" i="12" s="1"/>
  <c r="B58" i="12"/>
  <c r="C58" i="12" s="1"/>
  <c r="F58" i="12" s="1"/>
  <c r="B59" i="12"/>
  <c r="D59" i="12" s="1"/>
  <c r="B60" i="12"/>
  <c r="B61" i="12" s="1"/>
  <c r="B47" i="10"/>
  <c r="D47" i="10" s="1"/>
  <c r="E47" i="10" s="1"/>
  <c r="B48" i="10"/>
  <c r="C48" i="10" s="1"/>
  <c r="F48" i="10" s="1"/>
  <c r="B49" i="10"/>
  <c r="D49" i="10" s="1"/>
  <c r="E49" i="10" s="1"/>
  <c r="D50" i="10"/>
  <c r="D51" i="10" s="1"/>
  <c r="B78" i="17"/>
  <c r="C78" i="17" s="1"/>
  <c r="B77" i="17"/>
  <c r="B8" i="12"/>
  <c r="C8" i="12" s="1"/>
  <c r="B9" i="12"/>
  <c r="D9" i="12" s="1"/>
  <c r="B10" i="12"/>
  <c r="D10" i="12" s="1"/>
  <c r="B11" i="12"/>
  <c r="C11" i="12" s="1"/>
  <c r="F11" i="12" s="1"/>
  <c r="B12" i="12"/>
  <c r="C12" i="12" s="1"/>
  <c r="F12" i="12" s="1"/>
  <c r="B13" i="12"/>
  <c r="D13" i="12" s="1"/>
  <c r="B14" i="12"/>
  <c r="C14" i="12" s="1"/>
  <c r="F14" i="12" s="1"/>
  <c r="B15" i="12"/>
  <c r="C15" i="12" s="1"/>
  <c r="F15" i="12" s="1"/>
  <c r="B16" i="12"/>
  <c r="C16" i="12" s="1"/>
  <c r="B17" i="12"/>
  <c r="D17" i="12" s="1"/>
  <c r="B18" i="12"/>
  <c r="D18" i="12" s="1"/>
  <c r="B19" i="12"/>
  <c r="C19" i="12" s="1"/>
  <c r="B20" i="12"/>
  <c r="C20" i="12" s="1"/>
  <c r="F20" i="12" s="1"/>
  <c r="B21" i="12"/>
  <c r="D21" i="12" s="1"/>
  <c r="B22" i="12"/>
  <c r="D22" i="12" s="1"/>
  <c r="B23" i="12"/>
  <c r="C23" i="12" s="1"/>
  <c r="F23" i="12" s="1"/>
  <c r="B24" i="12"/>
  <c r="C24" i="12" s="1"/>
  <c r="B25" i="12"/>
  <c r="D25" i="12" s="1"/>
  <c r="B26" i="12"/>
  <c r="C26" i="12" s="1"/>
  <c r="B27" i="12"/>
  <c r="D27" i="12" s="1"/>
  <c r="B28" i="12"/>
  <c r="D28" i="12" s="1"/>
  <c r="B29" i="12"/>
  <c r="D29" i="12" s="1"/>
  <c r="B30" i="12"/>
  <c r="D30" i="12" s="1"/>
  <c r="B31" i="12"/>
  <c r="D31" i="12" s="1"/>
  <c r="B32" i="12"/>
  <c r="D32" i="12" s="1"/>
  <c r="B33" i="12"/>
  <c r="D33" i="12" s="1"/>
  <c r="B34" i="12"/>
  <c r="D34" i="12" s="1"/>
  <c r="B35" i="12"/>
  <c r="D35" i="12" s="1"/>
  <c r="B36" i="12"/>
  <c r="C36" i="12" s="1"/>
  <c r="B37" i="12"/>
  <c r="D37" i="12" s="1"/>
  <c r="B38" i="12"/>
  <c r="D38" i="12" s="1"/>
  <c r="B39" i="12"/>
  <c r="D39" i="12" s="1"/>
  <c r="B40" i="12"/>
  <c r="C40" i="12" s="1"/>
  <c r="B41" i="12"/>
  <c r="D41" i="12" s="1"/>
  <c r="B42" i="12"/>
  <c r="D42" i="12" s="1"/>
  <c r="B43" i="12"/>
  <c r="D43" i="12" s="1"/>
  <c r="B44" i="12"/>
  <c r="D44" i="12" s="1"/>
  <c r="B45" i="12"/>
  <c r="D45" i="12" s="1"/>
  <c r="B46" i="12"/>
  <c r="D46" i="12" s="1"/>
  <c r="B47" i="12"/>
  <c r="D47" i="12" s="1"/>
  <c r="B48" i="12"/>
  <c r="D48" i="12" s="1"/>
  <c r="B49" i="12"/>
  <c r="D49" i="12" s="1"/>
  <c r="B7" i="12"/>
  <c r="C7" i="12" s="1"/>
  <c r="B46" i="10"/>
  <c r="C46" i="10" s="1"/>
  <c r="F46" i="10" s="1"/>
  <c r="F27" i="25"/>
  <c r="H27" i="25" s="1"/>
  <c r="H28" i="25" s="1"/>
  <c r="H29" i="25" s="1"/>
  <c r="H30" i="25" s="1"/>
  <c r="H31" i="25" s="1"/>
  <c r="H32" i="25" s="1"/>
  <c r="H33" i="25" s="1"/>
  <c r="H34" i="25" s="1"/>
  <c r="H35" i="25" s="1"/>
  <c r="H36" i="25" s="1"/>
  <c r="H37" i="25" s="1"/>
  <c r="H38" i="25" s="1"/>
  <c r="H39" i="25" s="1"/>
  <c r="H40" i="25" s="1"/>
  <c r="H41" i="25" s="1"/>
  <c r="H42" i="25" s="1"/>
  <c r="H43" i="25" s="1"/>
  <c r="H44" i="25" s="1"/>
  <c r="H45" i="25" s="1"/>
  <c r="H46" i="25" s="1"/>
  <c r="H47" i="25" s="1"/>
  <c r="H48" i="25" s="1"/>
  <c r="H49" i="25" s="1"/>
  <c r="H50" i="25" s="1"/>
  <c r="H51" i="25" s="1"/>
  <c r="H52" i="25" s="1"/>
  <c r="H53" i="25" s="1"/>
  <c r="H54" i="25" s="1"/>
  <c r="H55" i="25" s="1"/>
  <c r="H56" i="25" s="1"/>
  <c r="H57" i="25" s="1"/>
  <c r="H58" i="25" s="1"/>
  <c r="H59" i="25" s="1"/>
  <c r="H60" i="25" s="1"/>
  <c r="H61" i="25" s="1"/>
  <c r="H62" i="25" s="1"/>
  <c r="H63" i="25" s="1"/>
  <c r="H64" i="25" s="1"/>
  <c r="H65" i="25" s="1"/>
  <c r="H66" i="25" s="1"/>
  <c r="H67" i="25" s="1"/>
  <c r="H68" i="25" s="1"/>
  <c r="H69" i="25" s="1"/>
  <c r="H70" i="25" s="1"/>
  <c r="H71" i="25" s="1"/>
  <c r="H72" i="25" s="1"/>
  <c r="H73" i="25" s="1"/>
  <c r="H74" i="25" s="1"/>
  <c r="H75" i="25" s="1"/>
  <c r="H76" i="25" s="1"/>
  <c r="H77" i="25" s="1"/>
  <c r="H78" i="25" s="1"/>
  <c r="H79" i="25" s="1"/>
  <c r="H80" i="25" s="1"/>
  <c r="H81" i="25" s="1"/>
  <c r="H82" i="25" s="1"/>
  <c r="H83" i="25" s="1"/>
  <c r="H84" i="25" s="1"/>
  <c r="H85" i="25" s="1"/>
  <c r="H86" i="25" s="1"/>
  <c r="H87" i="25" s="1"/>
  <c r="G17" i="25"/>
  <c r="H17" i="25" s="1"/>
  <c r="E17" i="25"/>
  <c r="F19" i="25"/>
  <c r="G13" i="25"/>
  <c r="G16" i="25"/>
  <c r="G18" i="25"/>
  <c r="G19" i="25"/>
  <c r="G20" i="25"/>
  <c r="G21" i="25"/>
  <c r="G22" i="25"/>
  <c r="G24" i="25"/>
  <c r="G25" i="25"/>
  <c r="G26" i="25"/>
  <c r="F13" i="25"/>
  <c r="F14" i="25"/>
  <c r="H14" i="25" s="1"/>
  <c r="F15" i="25"/>
  <c r="H15" i="25" s="1"/>
  <c r="F18" i="25"/>
  <c r="E18" i="25" s="1"/>
  <c r="F20" i="25"/>
  <c r="F21" i="25"/>
  <c r="F22" i="25"/>
  <c r="F23" i="25"/>
  <c r="E23" i="25" s="1"/>
  <c r="F24" i="25"/>
  <c r="F25" i="25"/>
  <c r="F26" i="25"/>
  <c r="E26" i="25" s="1"/>
  <c r="D70" i="25"/>
  <c r="C69" i="25"/>
  <c r="D69" i="25" s="1"/>
  <c r="C68" i="25"/>
  <c r="D68" i="25" s="1"/>
  <c r="C67" i="25"/>
  <c r="D67" i="25" s="1"/>
  <c r="C66" i="25"/>
  <c r="D66" i="25" s="1"/>
  <c r="C65" i="25"/>
  <c r="D65" i="25" s="1"/>
  <c r="C64" i="25"/>
  <c r="D64" i="25" s="1"/>
  <c r="C63" i="25"/>
  <c r="D63" i="25" s="1"/>
  <c r="C62" i="25"/>
  <c r="C61" i="25"/>
  <c r="D61" i="25" s="1"/>
  <c r="C60" i="25"/>
  <c r="D60" i="25" s="1"/>
  <c r="C59" i="25"/>
  <c r="D59" i="25" s="1"/>
  <c r="C58" i="25"/>
  <c r="D58" i="25" s="1"/>
  <c r="C57" i="25"/>
  <c r="D57" i="25" s="1"/>
  <c r="C56" i="25"/>
  <c r="D56" i="25" s="1"/>
  <c r="C55" i="25"/>
  <c r="D55" i="25" s="1"/>
  <c r="C54" i="25"/>
  <c r="D54" i="25" s="1"/>
  <c r="C53" i="25"/>
  <c r="D53" i="25" s="1"/>
  <c r="C52" i="25"/>
  <c r="D52" i="25" s="1"/>
  <c r="C51" i="25"/>
  <c r="D51" i="25" s="1"/>
  <c r="C50" i="25"/>
  <c r="D50" i="25" s="1"/>
  <c r="C49" i="25"/>
  <c r="D49" i="25" s="1"/>
  <c r="C48" i="25"/>
  <c r="D48" i="25" s="1"/>
  <c r="C47" i="25"/>
  <c r="D47" i="25" s="1"/>
  <c r="C46" i="25"/>
  <c r="D46" i="25" s="1"/>
  <c r="C45" i="25"/>
  <c r="D45" i="25" s="1"/>
  <c r="C44" i="25"/>
  <c r="D44" i="25" s="1"/>
  <c r="C43" i="25"/>
  <c r="D43" i="25" s="1"/>
  <c r="C42" i="25"/>
  <c r="D42" i="25" s="1"/>
  <c r="C41" i="25"/>
  <c r="D41" i="25" s="1"/>
  <c r="C40" i="25"/>
  <c r="D40" i="25" s="1"/>
  <c r="C39" i="25"/>
  <c r="D39" i="25" s="1"/>
  <c r="C38" i="25"/>
  <c r="D38" i="25" s="1"/>
  <c r="C37" i="25"/>
  <c r="D37" i="25" s="1"/>
  <c r="C36" i="25"/>
  <c r="D36" i="25" s="1"/>
  <c r="C35" i="25"/>
  <c r="D35" i="25" s="1"/>
  <c r="C90" i="17" l="1"/>
  <c r="F90" i="17" s="1"/>
  <c r="H90" i="17" s="1"/>
  <c r="C101" i="17"/>
  <c r="F101" i="17" s="1"/>
  <c r="H101" i="17" s="1"/>
  <c r="C80" i="17"/>
  <c r="F80" i="17" s="1"/>
  <c r="H80" i="17" s="1"/>
  <c r="C103" i="17"/>
  <c r="F103" i="17" s="1"/>
  <c r="H103" i="17" s="1"/>
  <c r="D104" i="18"/>
  <c r="E104" i="18" s="1"/>
  <c r="C96" i="18"/>
  <c r="F96" i="18" s="1"/>
  <c r="D86" i="18"/>
  <c r="E86" i="18" s="1"/>
  <c r="D90" i="18"/>
  <c r="E90" i="18" s="1"/>
  <c r="D87" i="18"/>
  <c r="E87" i="18" s="1"/>
  <c r="C100" i="18"/>
  <c r="F100" i="18" s="1"/>
  <c r="H13" i="25"/>
  <c r="I13" i="25" s="1"/>
  <c r="H18" i="25"/>
  <c r="I15" i="25"/>
  <c r="J15" i="25" s="1"/>
  <c r="D40" i="12"/>
  <c r="D52" i="10"/>
  <c r="E51" i="10"/>
  <c r="E50" i="10"/>
  <c r="E12" i="25"/>
  <c r="D94" i="17"/>
  <c r="E94" i="17" s="1"/>
  <c r="C81" i="17"/>
  <c r="F81" i="17" s="1"/>
  <c r="H81" i="17" s="1"/>
  <c r="D79" i="17"/>
  <c r="E79" i="17" s="1"/>
  <c r="D83" i="17"/>
  <c r="E83" i="17" s="1"/>
  <c r="D105" i="17"/>
  <c r="E105" i="17" s="1"/>
  <c r="D89" i="17"/>
  <c r="E89" i="17" s="1"/>
  <c r="D96" i="17"/>
  <c r="E96" i="17" s="1"/>
  <c r="D91" i="17"/>
  <c r="E91" i="17" s="1"/>
  <c r="C87" i="17"/>
  <c r="F87" i="17" s="1"/>
  <c r="H87" i="17" s="1"/>
  <c r="D102" i="17"/>
  <c r="E102" i="17" s="1"/>
  <c r="H24" i="25"/>
  <c r="H20" i="25"/>
  <c r="H22" i="25"/>
  <c r="H25" i="25"/>
  <c r="H21" i="25"/>
  <c r="H19" i="25"/>
  <c r="H23" i="25"/>
  <c r="C48" i="12"/>
  <c r="D8" i="12"/>
  <c r="D36" i="12"/>
  <c r="C44" i="12"/>
  <c r="C32" i="12"/>
  <c r="D24" i="12"/>
  <c r="C28" i="12"/>
  <c r="D20" i="12"/>
  <c r="C51" i="12"/>
  <c r="F51" i="12" s="1"/>
  <c r="H16" i="25"/>
  <c r="I16" i="25" s="1"/>
  <c r="J16" i="25" s="1"/>
  <c r="D99" i="18"/>
  <c r="E99" i="18" s="1"/>
  <c r="D94" i="18"/>
  <c r="E94" i="18" s="1"/>
  <c r="C88" i="18"/>
  <c r="F88" i="18" s="1"/>
  <c r="D103" i="18"/>
  <c r="E103" i="18" s="1"/>
  <c r="D104" i="17"/>
  <c r="E104" i="17" s="1"/>
  <c r="D99" i="17"/>
  <c r="E99" i="17" s="1"/>
  <c r="D97" i="17"/>
  <c r="E97" i="17" s="1"/>
  <c r="D86" i="17"/>
  <c r="E86" i="17" s="1"/>
  <c r="D100" i="17"/>
  <c r="E100" i="17" s="1"/>
  <c r="D95" i="17"/>
  <c r="E95" i="17" s="1"/>
  <c r="C84" i="17"/>
  <c r="F84" i="17" s="1"/>
  <c r="H84" i="17" s="1"/>
  <c r="D98" i="17"/>
  <c r="E98" i="17" s="1"/>
  <c r="D93" i="17"/>
  <c r="E93" i="17" s="1"/>
  <c r="E22" i="25"/>
  <c r="E15" i="25"/>
  <c r="H26" i="25"/>
  <c r="E25" i="25"/>
  <c r="E21" i="25"/>
  <c r="E14" i="25"/>
  <c r="E24" i="25"/>
  <c r="E20" i="25"/>
  <c r="I28" i="25"/>
  <c r="E27" i="25"/>
  <c r="D16" i="12"/>
  <c r="D12" i="12"/>
  <c r="D56" i="12"/>
  <c r="C47" i="10"/>
  <c r="F47" i="10" s="1"/>
  <c r="D46" i="10"/>
  <c r="E46" i="10" s="1"/>
  <c r="D48" i="10"/>
  <c r="E48" i="10" s="1"/>
  <c r="C50" i="10"/>
  <c r="C49" i="10"/>
  <c r="F49" i="10" s="1"/>
  <c r="I17" i="25"/>
  <c r="J17" i="25" s="1"/>
  <c r="E19" i="25"/>
  <c r="E13" i="25"/>
  <c r="F101" i="18"/>
  <c r="F105" i="18"/>
  <c r="F99" i="18"/>
  <c r="F102" i="18"/>
  <c r="F103" i="18"/>
  <c r="F98" i="18"/>
  <c r="D102" i="18"/>
  <c r="E102" i="18" s="1"/>
  <c r="D98" i="18"/>
  <c r="E98" i="18" s="1"/>
  <c r="D105" i="18"/>
  <c r="E105" i="18" s="1"/>
  <c r="D101" i="18"/>
  <c r="E101" i="18" s="1"/>
  <c r="F97" i="18"/>
  <c r="F90" i="18"/>
  <c r="F89" i="18"/>
  <c r="F93" i="18"/>
  <c r="F94" i="18"/>
  <c r="F86" i="18"/>
  <c r="D97" i="18"/>
  <c r="E97" i="18" s="1"/>
  <c r="D93" i="18"/>
  <c r="E93" i="18" s="1"/>
  <c r="D89" i="18"/>
  <c r="E89" i="18" s="1"/>
  <c r="D82" i="17"/>
  <c r="E82" i="17" s="1"/>
  <c r="D85" i="17"/>
  <c r="E85" i="17" s="1"/>
  <c r="F78" i="17"/>
  <c r="H78" i="17" s="1"/>
  <c r="C61" i="12"/>
  <c r="B62" i="12"/>
  <c r="C18" i="12"/>
  <c r="D52" i="12"/>
  <c r="C25" i="12"/>
  <c r="F25" i="12" s="1"/>
  <c r="C21" i="12"/>
  <c r="C17" i="12"/>
  <c r="C13" i="12"/>
  <c r="F13" i="12" s="1"/>
  <c r="C9" i="12"/>
  <c r="C47" i="12"/>
  <c r="C43" i="12"/>
  <c r="C39" i="12"/>
  <c r="C35" i="12"/>
  <c r="C31" i="12"/>
  <c r="C27" i="12"/>
  <c r="D23" i="12"/>
  <c r="D19" i="12"/>
  <c r="D15" i="12"/>
  <c r="D11" i="12"/>
  <c r="C59" i="12"/>
  <c r="F59" i="12" s="1"/>
  <c r="D50" i="12"/>
  <c r="E50" i="12" s="1"/>
  <c r="D55" i="12"/>
  <c r="C22" i="12"/>
  <c r="C10" i="12"/>
  <c r="F10" i="12" s="1"/>
  <c r="I10" i="12" s="1"/>
  <c r="D60" i="12"/>
  <c r="D61" i="12" s="1"/>
  <c r="C46" i="12"/>
  <c r="C42" i="12"/>
  <c r="C38" i="12"/>
  <c r="C34" i="12"/>
  <c r="C30" i="12"/>
  <c r="D7" i="12"/>
  <c r="D26" i="12"/>
  <c r="D14" i="12"/>
  <c r="D58" i="12"/>
  <c r="D54" i="12"/>
  <c r="C49" i="12"/>
  <c r="C45" i="12"/>
  <c r="C41" i="12"/>
  <c r="C37" i="12"/>
  <c r="C33" i="12"/>
  <c r="C29" i="12"/>
  <c r="C60" i="12"/>
  <c r="D57" i="12"/>
  <c r="D53" i="12"/>
  <c r="F50" i="12"/>
  <c r="D78" i="17"/>
  <c r="E78" i="17" s="1"/>
  <c r="D62" i="25"/>
  <c r="I19" i="25" l="1"/>
  <c r="J19" i="25" s="1"/>
  <c r="I14" i="25"/>
  <c r="J14" i="25" s="1"/>
  <c r="I21" i="25"/>
  <c r="J21" i="25" s="1"/>
  <c r="E8" i="25"/>
  <c r="I11" i="12"/>
  <c r="I7" i="12"/>
  <c r="I9" i="12"/>
  <c r="F50" i="10"/>
  <c r="C51" i="10"/>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E52" i="10"/>
  <c r="D53" i="10"/>
  <c r="I25" i="25"/>
  <c r="J25" i="25" s="1"/>
  <c r="I22" i="25"/>
  <c r="J22" i="25" s="1"/>
  <c r="J13" i="25"/>
  <c r="I27" i="25"/>
  <c r="I26" i="25"/>
  <c r="J26" i="25" s="1"/>
  <c r="I20" i="25"/>
  <c r="J20" i="25" s="1"/>
  <c r="I18" i="25"/>
  <c r="J18" i="25" s="1"/>
  <c r="I23" i="25"/>
  <c r="J23" i="25" s="1"/>
  <c r="I24" i="25"/>
  <c r="J24" i="25" s="1"/>
  <c r="E28" i="25"/>
  <c r="I29" i="25"/>
  <c r="B63" i="12"/>
  <c r="C62" i="12"/>
  <c r="E52" i="12"/>
  <c r="E9" i="25" l="1"/>
  <c r="I12" i="12"/>
  <c r="G11" i="12"/>
  <c r="H11" i="12" s="1"/>
  <c r="E53" i="10"/>
  <c r="D54" i="10"/>
  <c r="J27" i="25"/>
  <c r="J8" i="25"/>
  <c r="K8" i="25" s="1"/>
  <c r="M8" i="25" s="1"/>
  <c r="I9" i="25"/>
  <c r="J9" i="25" s="1"/>
  <c r="E29" i="25"/>
  <c r="I30" i="25"/>
  <c r="C63" i="12"/>
  <c r="B64" i="12"/>
  <c r="E53" i="12"/>
  <c r="G12" i="12" l="1"/>
  <c r="E10" i="25"/>
  <c r="E30" i="25"/>
  <c r="G3" i="25"/>
  <c r="G4" i="25" s="1"/>
  <c r="H12" i="12"/>
  <c r="D55" i="10"/>
  <c r="E54" i="10"/>
  <c r="I10" i="25"/>
  <c r="J10" i="25" s="1"/>
  <c r="I11" i="25"/>
  <c r="J11" i="25" s="1"/>
  <c r="J12" i="25"/>
  <c r="L8" i="25"/>
  <c r="K9" i="25"/>
  <c r="M9" i="25" s="1"/>
  <c r="J28" i="25"/>
  <c r="J29" i="25"/>
  <c r="E11" i="25"/>
  <c r="I31" i="25"/>
  <c r="B65" i="12"/>
  <c r="C64" i="12"/>
  <c r="E54" i="12"/>
  <c r="B55" i="19"/>
  <c r="C55" i="19" s="1"/>
  <c r="F55" i="19" s="1"/>
  <c r="B56" i="19"/>
  <c r="C56" i="19" s="1"/>
  <c r="F56" i="19" s="1"/>
  <c r="B57" i="19"/>
  <c r="C57" i="19" s="1"/>
  <c r="F57" i="19" s="1"/>
  <c r="B58" i="19"/>
  <c r="C58" i="19" s="1"/>
  <c r="F58" i="19" s="1"/>
  <c r="B59" i="19"/>
  <c r="C59" i="19" s="1"/>
  <c r="F59" i="19" s="1"/>
  <c r="B60" i="19"/>
  <c r="C60" i="19" s="1"/>
  <c r="F60" i="19" s="1"/>
  <c r="B61" i="19"/>
  <c r="C61" i="19" s="1"/>
  <c r="F61" i="19" s="1"/>
  <c r="B62" i="19"/>
  <c r="C62" i="19" s="1"/>
  <c r="F62" i="19" s="1"/>
  <c r="B63" i="19"/>
  <c r="C63" i="19" s="1"/>
  <c r="F63" i="19" s="1"/>
  <c r="B64" i="19"/>
  <c r="C64" i="19" s="1"/>
  <c r="F64" i="19" s="1"/>
  <c r="B65" i="19"/>
  <c r="C65" i="19" s="1"/>
  <c r="F65" i="19" s="1"/>
  <c r="B66" i="19"/>
  <c r="C66" i="19" s="1"/>
  <c r="F66" i="19" s="1"/>
  <c r="B67" i="19"/>
  <c r="C67" i="19" s="1"/>
  <c r="F67" i="19" s="1"/>
  <c r="B68" i="19"/>
  <c r="C68" i="19" s="1"/>
  <c r="F68" i="19" s="1"/>
  <c r="B69" i="19"/>
  <c r="C69" i="19" s="1"/>
  <c r="F69" i="19" s="1"/>
  <c r="B70" i="19"/>
  <c r="C70" i="19" s="1"/>
  <c r="F70" i="19" s="1"/>
  <c r="B71" i="19"/>
  <c r="C71" i="19" s="1"/>
  <c r="F71" i="19" s="1"/>
  <c r="B72" i="19"/>
  <c r="C72" i="19" s="1"/>
  <c r="F72" i="19" s="1"/>
  <c r="B73" i="19"/>
  <c r="C73" i="19" s="1"/>
  <c r="F73" i="19" s="1"/>
  <c r="B74" i="19"/>
  <c r="C74" i="19" s="1"/>
  <c r="F74" i="19" s="1"/>
  <c r="B75" i="19"/>
  <c r="C75" i="19" s="1"/>
  <c r="F75" i="19" s="1"/>
  <c r="B76" i="19"/>
  <c r="C76" i="19" s="1"/>
  <c r="F76" i="19" s="1"/>
  <c r="B77" i="19"/>
  <c r="C77" i="19" s="1"/>
  <c r="F77" i="19" s="1"/>
  <c r="B78" i="19"/>
  <c r="C78" i="19" s="1"/>
  <c r="F78" i="19" s="1"/>
  <c r="B79" i="19"/>
  <c r="C79" i="19" s="1"/>
  <c r="F79" i="19" s="1"/>
  <c r="B80" i="19"/>
  <c r="C80" i="19" s="1"/>
  <c r="F80" i="19" s="1"/>
  <c r="B81" i="19"/>
  <c r="C81" i="19" s="1"/>
  <c r="F81" i="19" s="1"/>
  <c r="B82" i="19"/>
  <c r="C82" i="19" s="1"/>
  <c r="F82" i="19" s="1"/>
  <c r="B83" i="19"/>
  <c r="B84" i="19"/>
  <c r="D51" i="19"/>
  <c r="B7" i="19"/>
  <c r="C7" i="19" s="1"/>
  <c r="F7" i="19" s="1"/>
  <c r="B8" i="19"/>
  <c r="C8" i="19" s="1"/>
  <c r="F8" i="19" s="1"/>
  <c r="G8" i="19" s="1"/>
  <c r="I8" i="19" s="1"/>
  <c r="B9" i="19"/>
  <c r="D9" i="19" s="1"/>
  <c r="B10" i="19"/>
  <c r="D10" i="19" s="1"/>
  <c r="B11" i="19"/>
  <c r="C11" i="19" s="1"/>
  <c r="F11" i="19" s="1"/>
  <c r="B12" i="19"/>
  <c r="C12" i="19" s="1"/>
  <c r="F12" i="19" s="1"/>
  <c r="B13" i="19"/>
  <c r="D13" i="19" s="1"/>
  <c r="B14" i="19"/>
  <c r="D14" i="19" s="1"/>
  <c r="B15" i="19"/>
  <c r="C15" i="19" s="1"/>
  <c r="F15" i="19" s="1"/>
  <c r="B16" i="19"/>
  <c r="C16" i="19" s="1"/>
  <c r="F16" i="19" s="1"/>
  <c r="B17" i="19"/>
  <c r="D17" i="19" s="1"/>
  <c r="B18" i="19"/>
  <c r="D18" i="19" s="1"/>
  <c r="B19" i="19"/>
  <c r="C19" i="19" s="1"/>
  <c r="F19" i="19" s="1"/>
  <c r="B20" i="19"/>
  <c r="C20" i="19" s="1"/>
  <c r="F20" i="19" s="1"/>
  <c r="B21" i="19"/>
  <c r="D21" i="19" s="1"/>
  <c r="B22" i="19"/>
  <c r="D22" i="19" s="1"/>
  <c r="B23" i="19"/>
  <c r="C23" i="19" s="1"/>
  <c r="F23" i="19" s="1"/>
  <c r="B24" i="19"/>
  <c r="C24" i="19" s="1"/>
  <c r="F24" i="19" s="1"/>
  <c r="B25" i="19"/>
  <c r="D25" i="19" s="1"/>
  <c r="B26" i="19"/>
  <c r="D26" i="19" s="1"/>
  <c r="B27" i="19"/>
  <c r="C27" i="19" s="1"/>
  <c r="F27" i="19" s="1"/>
  <c r="B28" i="19"/>
  <c r="C28" i="19" s="1"/>
  <c r="F28" i="19" s="1"/>
  <c r="B29" i="19"/>
  <c r="D29" i="19" s="1"/>
  <c r="B30" i="19"/>
  <c r="D30" i="19" s="1"/>
  <c r="B31" i="19"/>
  <c r="C31" i="19" s="1"/>
  <c r="F31" i="19" s="1"/>
  <c r="B32" i="19"/>
  <c r="C32" i="19" s="1"/>
  <c r="F32" i="19" s="1"/>
  <c r="B33" i="19"/>
  <c r="D33" i="19" s="1"/>
  <c r="B34" i="19"/>
  <c r="D34" i="19" s="1"/>
  <c r="B35" i="19"/>
  <c r="C35" i="19" s="1"/>
  <c r="F35" i="19" s="1"/>
  <c r="B36" i="19"/>
  <c r="C36" i="19" s="1"/>
  <c r="F36" i="19" s="1"/>
  <c r="B37" i="19"/>
  <c r="D37" i="19" s="1"/>
  <c r="B38" i="19"/>
  <c r="D38" i="19" s="1"/>
  <c r="B39" i="19"/>
  <c r="C39" i="19" s="1"/>
  <c r="F39" i="19" s="1"/>
  <c r="B40" i="19"/>
  <c r="C40" i="19" s="1"/>
  <c r="F40" i="19" s="1"/>
  <c r="B41" i="19"/>
  <c r="D41" i="19" s="1"/>
  <c r="B42" i="19"/>
  <c r="D42" i="19" s="1"/>
  <c r="B43" i="19"/>
  <c r="C43" i="19" s="1"/>
  <c r="F43" i="19" s="1"/>
  <c r="B44" i="19"/>
  <c r="C44" i="19" s="1"/>
  <c r="F44" i="19" s="1"/>
  <c r="B45" i="19"/>
  <c r="D45" i="19" s="1"/>
  <c r="B46" i="19"/>
  <c r="D46" i="19" s="1"/>
  <c r="B47" i="19"/>
  <c r="C47" i="19" s="1"/>
  <c r="F47" i="19" s="1"/>
  <c r="B48" i="19"/>
  <c r="C48" i="19" s="1"/>
  <c r="F48" i="19" s="1"/>
  <c r="B49" i="19"/>
  <c r="D49" i="19" s="1"/>
  <c r="B50" i="19"/>
  <c r="D50" i="19" s="1"/>
  <c r="B51" i="19"/>
  <c r="C51" i="19" s="1"/>
  <c r="F51" i="19" s="1"/>
  <c r="B52" i="19"/>
  <c r="C52" i="19" s="1"/>
  <c r="F52" i="19" s="1"/>
  <c r="B53" i="19"/>
  <c r="D53" i="19" s="1"/>
  <c r="B54" i="19"/>
  <c r="D54" i="19" s="1"/>
  <c r="B6" i="19"/>
  <c r="D6" i="19" s="1"/>
  <c r="B5" i="19"/>
  <c r="C5" i="19" s="1"/>
  <c r="F5" i="19" s="1"/>
  <c r="B76" i="18"/>
  <c r="C76" i="18" s="1"/>
  <c r="B77" i="18"/>
  <c r="C77" i="18" s="1"/>
  <c r="F77" i="18" s="1"/>
  <c r="B78" i="18"/>
  <c r="D78" i="18" s="1"/>
  <c r="E78" i="18" s="1"/>
  <c r="B79" i="18"/>
  <c r="C79" i="18" s="1"/>
  <c r="B80" i="18"/>
  <c r="C80" i="18" s="1"/>
  <c r="D80" i="18"/>
  <c r="E80" i="18" s="1"/>
  <c r="B81" i="18"/>
  <c r="C81" i="18" s="1"/>
  <c r="F81" i="18" s="1"/>
  <c r="B82" i="18"/>
  <c r="D82" i="18" s="1"/>
  <c r="E82" i="18" s="1"/>
  <c r="B83" i="18"/>
  <c r="C83" i="18" s="1"/>
  <c r="B84" i="18"/>
  <c r="C84" i="18" s="1"/>
  <c r="B85" i="18"/>
  <c r="C85" i="18" s="1"/>
  <c r="F85" i="18" s="1"/>
  <c r="B51" i="18"/>
  <c r="C51" i="18" s="1"/>
  <c r="B52" i="18"/>
  <c r="C52" i="18" s="1"/>
  <c r="F52" i="18" s="1"/>
  <c r="D52" i="18"/>
  <c r="E52" i="18" s="1"/>
  <c r="B53" i="18"/>
  <c r="D53" i="18" s="1"/>
  <c r="E53" i="18" s="1"/>
  <c r="B54" i="18"/>
  <c r="C54" i="18" s="1"/>
  <c r="B55" i="18"/>
  <c r="C55" i="18" s="1"/>
  <c r="B56" i="18"/>
  <c r="C56" i="18" s="1"/>
  <c r="F56" i="18" s="1"/>
  <c r="B57" i="18"/>
  <c r="D57" i="18" s="1"/>
  <c r="E57" i="18" s="1"/>
  <c r="B58" i="18"/>
  <c r="C58" i="18" s="1"/>
  <c r="B59" i="18"/>
  <c r="C59" i="18" s="1"/>
  <c r="B60" i="18"/>
  <c r="C60" i="18" s="1"/>
  <c r="F60" i="18" s="1"/>
  <c r="B61" i="18"/>
  <c r="D61" i="18" s="1"/>
  <c r="E61" i="18" s="1"/>
  <c r="B62" i="18"/>
  <c r="C62" i="18" s="1"/>
  <c r="B63" i="18"/>
  <c r="C63" i="18" s="1"/>
  <c r="B64" i="18"/>
  <c r="D64" i="18" s="1"/>
  <c r="E64" i="18" s="1"/>
  <c r="B65" i="18"/>
  <c r="D65" i="18" s="1"/>
  <c r="E65" i="18" s="1"/>
  <c r="B66" i="18"/>
  <c r="C66" i="18" s="1"/>
  <c r="B67" i="18"/>
  <c r="C67" i="18" s="1"/>
  <c r="B68" i="18"/>
  <c r="C68" i="18" s="1"/>
  <c r="F68" i="18" s="1"/>
  <c r="B69" i="18"/>
  <c r="D69" i="18" s="1"/>
  <c r="E69" i="18" s="1"/>
  <c r="B70" i="18"/>
  <c r="C70" i="18" s="1"/>
  <c r="B71" i="18"/>
  <c r="C71" i="18" s="1"/>
  <c r="B72" i="18"/>
  <c r="C72" i="18" s="1"/>
  <c r="F72" i="18" s="1"/>
  <c r="B73" i="18"/>
  <c r="D73" i="18" s="1"/>
  <c r="E73" i="18" s="1"/>
  <c r="B74" i="18"/>
  <c r="C74" i="18" s="1"/>
  <c r="B75" i="18"/>
  <c r="C75" i="18" s="1"/>
  <c r="B7" i="18"/>
  <c r="D7" i="18" s="1"/>
  <c r="B8" i="18"/>
  <c r="C8" i="18" s="1"/>
  <c r="F8" i="18" s="1"/>
  <c r="B9" i="18"/>
  <c r="D9" i="18" s="1"/>
  <c r="B10" i="18"/>
  <c r="C10" i="18" s="1"/>
  <c r="F10" i="18" s="1"/>
  <c r="B11" i="18"/>
  <c r="D11" i="18" s="1"/>
  <c r="B12" i="18"/>
  <c r="D12" i="18" s="1"/>
  <c r="B13" i="18"/>
  <c r="D13" i="18" s="1"/>
  <c r="B14" i="18"/>
  <c r="C14" i="18" s="1"/>
  <c r="F14" i="18" s="1"/>
  <c r="B15" i="18"/>
  <c r="D15" i="18" s="1"/>
  <c r="B16" i="18"/>
  <c r="C16" i="18" s="1"/>
  <c r="F16" i="18" s="1"/>
  <c r="B17" i="18"/>
  <c r="D17" i="18" s="1"/>
  <c r="B18" i="18"/>
  <c r="C18" i="18" s="1"/>
  <c r="F18" i="18" s="1"/>
  <c r="B19" i="18"/>
  <c r="D19" i="18" s="1"/>
  <c r="B20" i="18"/>
  <c r="D20" i="18" s="1"/>
  <c r="B21" i="18"/>
  <c r="D21" i="18" s="1"/>
  <c r="B22" i="18"/>
  <c r="C22" i="18" s="1"/>
  <c r="F22" i="18" s="1"/>
  <c r="B23" i="18"/>
  <c r="D23" i="18" s="1"/>
  <c r="B24" i="18"/>
  <c r="C24" i="18" s="1"/>
  <c r="F24" i="18" s="1"/>
  <c r="B25" i="18"/>
  <c r="D25" i="18" s="1"/>
  <c r="B26" i="18"/>
  <c r="C26" i="18" s="1"/>
  <c r="F26" i="18" s="1"/>
  <c r="B27" i="18"/>
  <c r="D27" i="18" s="1"/>
  <c r="B28" i="18"/>
  <c r="D28" i="18" s="1"/>
  <c r="B29" i="18"/>
  <c r="D29" i="18" s="1"/>
  <c r="B30" i="18"/>
  <c r="C30" i="18" s="1"/>
  <c r="F30" i="18" s="1"/>
  <c r="B31" i="18"/>
  <c r="D31" i="18" s="1"/>
  <c r="B32" i="18"/>
  <c r="C32" i="18" s="1"/>
  <c r="F32" i="18" s="1"/>
  <c r="B33" i="18"/>
  <c r="D33" i="18" s="1"/>
  <c r="B34" i="18"/>
  <c r="C34" i="18" s="1"/>
  <c r="F34" i="18" s="1"/>
  <c r="B35" i="18"/>
  <c r="D35" i="18" s="1"/>
  <c r="B36" i="18"/>
  <c r="D36" i="18" s="1"/>
  <c r="B37" i="18"/>
  <c r="D37" i="18" s="1"/>
  <c r="B38" i="18"/>
  <c r="C38" i="18" s="1"/>
  <c r="F38" i="18" s="1"/>
  <c r="B39" i="18"/>
  <c r="D39" i="18" s="1"/>
  <c r="B40" i="18"/>
  <c r="C40" i="18" s="1"/>
  <c r="F40" i="18" s="1"/>
  <c r="B41" i="18"/>
  <c r="C41" i="18" s="1"/>
  <c r="F41" i="18" s="1"/>
  <c r="B42" i="18"/>
  <c r="C42" i="18" s="1"/>
  <c r="F42" i="18" s="1"/>
  <c r="B43" i="18"/>
  <c r="D43" i="18" s="1"/>
  <c r="B44" i="18"/>
  <c r="D44" i="18" s="1"/>
  <c r="B45" i="18"/>
  <c r="D45" i="18" s="1"/>
  <c r="B46" i="18"/>
  <c r="C46" i="18" s="1"/>
  <c r="F46" i="18" s="1"/>
  <c r="B47" i="18"/>
  <c r="D47" i="18" s="1"/>
  <c r="B48" i="18"/>
  <c r="C48" i="18" s="1"/>
  <c r="F48" i="18" s="1"/>
  <c r="B49" i="18"/>
  <c r="C49" i="18" s="1"/>
  <c r="F49" i="18" s="1"/>
  <c r="B50" i="18"/>
  <c r="C50" i="18" s="1"/>
  <c r="F50" i="18" s="1"/>
  <c r="B6" i="18"/>
  <c r="C6" i="18" s="1"/>
  <c r="F6" i="18" s="1"/>
  <c r="G6" i="18" s="1"/>
  <c r="I6" i="18" s="1"/>
  <c r="D33" i="15"/>
  <c r="E33" i="15" s="1"/>
  <c r="C33" i="15"/>
  <c r="F33" i="15" s="1"/>
  <c r="C41" i="16"/>
  <c r="F41" i="16" s="1"/>
  <c r="C42" i="16"/>
  <c r="F42" i="16" s="1"/>
  <c r="B31" i="16"/>
  <c r="C31" i="16" s="1"/>
  <c r="B36" i="16"/>
  <c r="C36" i="16" s="1"/>
  <c r="B37" i="16"/>
  <c r="C37" i="16" s="1"/>
  <c r="F37" i="16" s="1"/>
  <c r="B38" i="16"/>
  <c r="B39" i="16"/>
  <c r="C39" i="16" s="1"/>
  <c r="F39" i="16" s="1"/>
  <c r="C40" i="16"/>
  <c r="F40" i="16" s="1"/>
  <c r="D40" i="16"/>
  <c r="E40" i="16" s="1"/>
  <c r="D41" i="16"/>
  <c r="E41" i="16" s="1"/>
  <c r="B30" i="16"/>
  <c r="C30" i="16" s="1"/>
  <c r="B32" i="16"/>
  <c r="B33" i="16"/>
  <c r="C33" i="16" s="1"/>
  <c r="B34" i="16"/>
  <c r="C34" i="16" s="1"/>
  <c r="B35" i="16"/>
  <c r="C35" i="16" s="1"/>
  <c r="F35" i="16" s="1"/>
  <c r="B11" i="15"/>
  <c r="B12" i="15"/>
  <c r="B13" i="15"/>
  <c r="B14" i="15"/>
  <c r="B15" i="15"/>
  <c r="B16" i="15"/>
  <c r="B17" i="15"/>
  <c r="B18" i="15"/>
  <c r="B19" i="15"/>
  <c r="B20" i="15"/>
  <c r="B21" i="15"/>
  <c r="B22" i="15"/>
  <c r="B23" i="15"/>
  <c r="B24" i="15"/>
  <c r="B25" i="15"/>
  <c r="B26" i="15"/>
  <c r="B27" i="15"/>
  <c r="B28" i="15"/>
  <c r="B29" i="15"/>
  <c r="B30" i="15"/>
  <c r="B31" i="15"/>
  <c r="D39" i="19" l="1"/>
  <c r="D19" i="19"/>
  <c r="D84" i="18"/>
  <c r="E84" i="18" s="1"/>
  <c r="D81" i="18"/>
  <c r="E81" i="18" s="1"/>
  <c r="C57" i="18"/>
  <c r="F57" i="18" s="1"/>
  <c r="E31" i="25"/>
  <c r="J30" i="25"/>
  <c r="J31" i="25" s="1"/>
  <c r="J32" i="25" s="1"/>
  <c r="J33" i="25" s="1"/>
  <c r="J34" i="25" s="1"/>
  <c r="J35" i="25" s="1"/>
  <c r="J36" i="25" s="1"/>
  <c r="J37" i="25" s="1"/>
  <c r="J38" i="25" s="1"/>
  <c r="J39" i="25" s="1"/>
  <c r="J40" i="25" s="1"/>
  <c r="J41" i="25" s="1"/>
  <c r="J42" i="25" s="1"/>
  <c r="J43" i="25" s="1"/>
  <c r="J44" i="25" s="1"/>
  <c r="J45" i="25" s="1"/>
  <c r="J46" i="25" s="1"/>
  <c r="J47" i="25" s="1"/>
  <c r="D7" i="19"/>
  <c r="D30" i="18"/>
  <c r="D26" i="18"/>
  <c r="C65" i="18"/>
  <c r="D59" i="18"/>
  <c r="E59" i="18" s="1"/>
  <c r="D75" i="18"/>
  <c r="E75" i="18" s="1"/>
  <c r="D72" i="18"/>
  <c r="E72" i="18" s="1"/>
  <c r="D67" i="18"/>
  <c r="E67" i="18" s="1"/>
  <c r="D77" i="18"/>
  <c r="E77" i="18" s="1"/>
  <c r="D55" i="18"/>
  <c r="E55" i="18" s="1"/>
  <c r="D37" i="16"/>
  <c r="E37" i="16" s="1"/>
  <c r="D46" i="18"/>
  <c r="D14" i="18"/>
  <c r="D60" i="18"/>
  <c r="E60" i="18" s="1"/>
  <c r="D42" i="18"/>
  <c r="D10" i="18"/>
  <c r="D71" i="18"/>
  <c r="E71" i="18" s="1"/>
  <c r="D51" i="18"/>
  <c r="E51" i="18" s="1"/>
  <c r="D38" i="18"/>
  <c r="D22" i="18"/>
  <c r="D50" i="18"/>
  <c r="D34" i="18"/>
  <c r="D18" i="18"/>
  <c r="C73" i="18"/>
  <c r="C64" i="18"/>
  <c r="F64" i="18" s="1"/>
  <c r="C61" i="18"/>
  <c r="F61" i="18" s="1"/>
  <c r="C53" i="18"/>
  <c r="F53" i="18" s="1"/>
  <c r="C82" i="18"/>
  <c r="D28" i="19"/>
  <c r="D47" i="19"/>
  <c r="D36" i="19"/>
  <c r="D27" i="19"/>
  <c r="D15" i="19"/>
  <c r="C6" i="19"/>
  <c r="F6" i="19" s="1"/>
  <c r="D44" i="19"/>
  <c r="D35" i="19"/>
  <c r="D23" i="19"/>
  <c r="D12" i="19"/>
  <c r="D52" i="19"/>
  <c r="D43" i="19"/>
  <c r="D31" i="19"/>
  <c r="D20" i="19"/>
  <c r="D11" i="19"/>
  <c r="C54" i="19"/>
  <c r="F54" i="19" s="1"/>
  <c r="C38" i="19"/>
  <c r="F38" i="19" s="1"/>
  <c r="C22" i="19"/>
  <c r="F22" i="19" s="1"/>
  <c r="C50" i="19"/>
  <c r="F50" i="19" s="1"/>
  <c r="C34" i="19"/>
  <c r="F34" i="19" s="1"/>
  <c r="C18" i="19"/>
  <c r="F18" i="19" s="1"/>
  <c r="C46" i="19"/>
  <c r="F46" i="19" s="1"/>
  <c r="C30" i="19"/>
  <c r="F30" i="19" s="1"/>
  <c r="C14" i="19"/>
  <c r="F14" i="19" s="1"/>
  <c r="C42" i="19"/>
  <c r="F42" i="19" s="1"/>
  <c r="C26" i="19"/>
  <c r="F26" i="19" s="1"/>
  <c r="C10" i="19"/>
  <c r="F10" i="19" s="1"/>
  <c r="D48" i="19"/>
  <c r="D40" i="19"/>
  <c r="D32" i="19"/>
  <c r="D24" i="19"/>
  <c r="D16" i="19"/>
  <c r="D8" i="19"/>
  <c r="E55" i="10"/>
  <c r="D56" i="10"/>
  <c r="L9" i="25"/>
  <c r="K10" i="25"/>
  <c r="M10" i="25" s="1"/>
  <c r="D31" i="16"/>
  <c r="E31" i="16" s="1"/>
  <c r="D35" i="16"/>
  <c r="E35" i="16" s="1"/>
  <c r="G6" i="19"/>
  <c r="I6" i="19" s="1"/>
  <c r="G5" i="19"/>
  <c r="I5" i="19" s="1"/>
  <c r="G7" i="19"/>
  <c r="I7" i="19" s="1"/>
  <c r="C53" i="19"/>
  <c r="F53" i="19" s="1"/>
  <c r="C25" i="19"/>
  <c r="F25" i="19" s="1"/>
  <c r="D5" i="19"/>
  <c r="C45" i="19"/>
  <c r="F45" i="19" s="1"/>
  <c r="C41" i="19"/>
  <c r="F41" i="19" s="1"/>
  <c r="C33" i="19"/>
  <c r="F33" i="19" s="1"/>
  <c r="C21" i="19"/>
  <c r="F21" i="19" s="1"/>
  <c r="C9" i="19"/>
  <c r="F9" i="19" s="1"/>
  <c r="G9" i="19" s="1"/>
  <c r="I9" i="19" s="1"/>
  <c r="C49" i="19"/>
  <c r="F49" i="19" s="1"/>
  <c r="C37" i="19"/>
  <c r="F37" i="19" s="1"/>
  <c r="C29" i="19"/>
  <c r="F29" i="19" s="1"/>
  <c r="C17" i="19"/>
  <c r="F17" i="19" s="1"/>
  <c r="C13" i="19"/>
  <c r="F13" i="19" s="1"/>
  <c r="C45" i="18"/>
  <c r="F45" i="18" s="1"/>
  <c r="C37" i="18"/>
  <c r="F37" i="18" s="1"/>
  <c r="C33" i="18"/>
  <c r="F33" i="18" s="1"/>
  <c r="C25" i="18"/>
  <c r="F25" i="18" s="1"/>
  <c r="C21" i="18"/>
  <c r="F21" i="18" s="1"/>
  <c r="C13" i="18"/>
  <c r="F13" i="18" s="1"/>
  <c r="C9" i="18"/>
  <c r="F9" i="18" s="1"/>
  <c r="C44" i="18"/>
  <c r="F44" i="18" s="1"/>
  <c r="C36" i="18"/>
  <c r="F36" i="18" s="1"/>
  <c r="C28" i="18"/>
  <c r="F28" i="18" s="1"/>
  <c r="C20" i="18"/>
  <c r="F20" i="18" s="1"/>
  <c r="C12" i="18"/>
  <c r="F12" i="18" s="1"/>
  <c r="D49" i="18"/>
  <c r="D41" i="18"/>
  <c r="C47" i="18"/>
  <c r="F47" i="18" s="1"/>
  <c r="C43" i="18"/>
  <c r="F43" i="18" s="1"/>
  <c r="C39" i="18"/>
  <c r="F39" i="18" s="1"/>
  <c r="C35" i="18"/>
  <c r="F35" i="18" s="1"/>
  <c r="C31" i="18"/>
  <c r="F31" i="18" s="1"/>
  <c r="C27" i="18"/>
  <c r="F27" i="18" s="1"/>
  <c r="C23" i="18"/>
  <c r="F23" i="18" s="1"/>
  <c r="C19" i="18"/>
  <c r="F19" i="18" s="1"/>
  <c r="C15" i="18"/>
  <c r="F15" i="18" s="1"/>
  <c r="C11" i="18"/>
  <c r="F11" i="18" s="1"/>
  <c r="C7" i="18"/>
  <c r="F7" i="18" s="1"/>
  <c r="G7" i="18" s="1"/>
  <c r="D48" i="18"/>
  <c r="D40" i="18"/>
  <c r="D32" i="18"/>
  <c r="D24" i="18"/>
  <c r="D16" i="18"/>
  <c r="D8" i="18"/>
  <c r="D68" i="18"/>
  <c r="E68" i="18" s="1"/>
  <c r="D56" i="18"/>
  <c r="E56" i="18" s="1"/>
  <c r="D85" i="18"/>
  <c r="E85" i="18" s="1"/>
  <c r="C29" i="18"/>
  <c r="F29" i="18" s="1"/>
  <c r="C17" i="18"/>
  <c r="F17" i="18" s="1"/>
  <c r="D6" i="18"/>
  <c r="C69" i="18"/>
  <c r="F69" i="18" s="1"/>
  <c r="D63" i="18"/>
  <c r="E63" i="18" s="1"/>
  <c r="C78" i="18"/>
  <c r="D30" i="16"/>
  <c r="E30" i="16" s="1"/>
  <c r="D38" i="16"/>
  <c r="E38" i="16" s="1"/>
  <c r="C38" i="16"/>
  <c r="F38" i="16" s="1"/>
  <c r="D34" i="16"/>
  <c r="E34" i="16" s="1"/>
  <c r="D32" i="16"/>
  <c r="E32" i="16" s="1"/>
  <c r="C32" i="16"/>
  <c r="F32" i="16" s="1"/>
  <c r="D36" i="16"/>
  <c r="E36" i="16" s="1"/>
  <c r="I32" i="25"/>
  <c r="E32" i="25"/>
  <c r="B66" i="12"/>
  <c r="C65" i="12"/>
  <c r="E55" i="12"/>
  <c r="C84" i="19"/>
  <c r="F84" i="19" s="1"/>
  <c r="D84" i="19"/>
  <c r="E84" i="19" s="1"/>
  <c r="C83" i="19"/>
  <c r="F83" i="19" s="1"/>
  <c r="D83" i="19"/>
  <c r="E83" i="19" s="1"/>
  <c r="D82" i="19"/>
  <c r="E82" i="19" s="1"/>
  <c r="D81" i="19"/>
  <c r="E81" i="19" s="1"/>
  <c r="D80" i="19"/>
  <c r="E80" i="19" s="1"/>
  <c r="D79" i="19"/>
  <c r="E79" i="19" s="1"/>
  <c r="D78" i="19"/>
  <c r="E78" i="19" s="1"/>
  <c r="D77" i="19"/>
  <c r="E77" i="19" s="1"/>
  <c r="D76" i="19"/>
  <c r="E76" i="19" s="1"/>
  <c r="D75" i="19"/>
  <c r="E75" i="19" s="1"/>
  <c r="D74" i="19"/>
  <c r="E74" i="19" s="1"/>
  <c r="D73" i="19"/>
  <c r="E73" i="19" s="1"/>
  <c r="D72" i="19"/>
  <c r="E72" i="19" s="1"/>
  <c r="D71" i="19"/>
  <c r="E71" i="19" s="1"/>
  <c r="D70" i="19"/>
  <c r="E70" i="19" s="1"/>
  <c r="D69" i="19"/>
  <c r="E69" i="19" s="1"/>
  <c r="D68" i="19"/>
  <c r="E68" i="19" s="1"/>
  <c r="D67" i="19"/>
  <c r="E67" i="19" s="1"/>
  <c r="D66" i="19"/>
  <c r="E66" i="19" s="1"/>
  <c r="D65" i="19"/>
  <c r="E65" i="19" s="1"/>
  <c r="D64" i="19"/>
  <c r="E64" i="19" s="1"/>
  <c r="D63" i="19"/>
  <c r="E63" i="19" s="1"/>
  <c r="D62" i="19"/>
  <c r="E62" i="19" s="1"/>
  <c r="D61" i="19"/>
  <c r="E61" i="19" s="1"/>
  <c r="D60" i="19"/>
  <c r="E60" i="19" s="1"/>
  <c r="D59" i="19"/>
  <c r="E59" i="19" s="1"/>
  <c r="D58" i="19"/>
  <c r="E58" i="19" s="1"/>
  <c r="D57" i="19"/>
  <c r="E57" i="19" s="1"/>
  <c r="D56" i="19"/>
  <c r="E56" i="19" s="1"/>
  <c r="D55" i="19"/>
  <c r="E55" i="19" s="1"/>
  <c r="F79" i="18"/>
  <c r="F83" i="18"/>
  <c r="F84" i="18"/>
  <c r="F80" i="18"/>
  <c r="F76" i="18"/>
  <c r="F82" i="18"/>
  <c r="D76" i="18"/>
  <c r="E76" i="18" s="1"/>
  <c r="D83" i="18"/>
  <c r="E83" i="18" s="1"/>
  <c r="D79" i="18"/>
  <c r="E79" i="18" s="1"/>
  <c r="F66" i="18"/>
  <c r="F63" i="18"/>
  <c r="F55" i="18"/>
  <c r="F62" i="18"/>
  <c r="F54" i="18"/>
  <c r="F71" i="18"/>
  <c r="F58" i="18"/>
  <c r="F75" i="18"/>
  <c r="F70" i="18"/>
  <c r="F74" i="18"/>
  <c r="F67" i="18"/>
  <c r="F59" i="18"/>
  <c r="F51" i="18"/>
  <c r="F73" i="18"/>
  <c r="F65" i="18"/>
  <c r="D74" i="18"/>
  <c r="E74" i="18" s="1"/>
  <c r="D70" i="18"/>
  <c r="E70" i="18" s="1"/>
  <c r="D66" i="18"/>
  <c r="E66" i="18" s="1"/>
  <c r="D62" i="18"/>
  <c r="E62" i="18" s="1"/>
  <c r="D58" i="18"/>
  <c r="E58" i="18" s="1"/>
  <c r="D54" i="18"/>
  <c r="E54" i="18" s="1"/>
  <c r="C43" i="16"/>
  <c r="F43" i="16" s="1"/>
  <c r="D42" i="16"/>
  <c r="E42" i="16" s="1"/>
  <c r="F36" i="16"/>
  <c r="D43" i="16"/>
  <c r="E43" i="16" s="1"/>
  <c r="D39" i="16"/>
  <c r="E39" i="16" s="1"/>
  <c r="F34" i="16"/>
  <c r="F33" i="16"/>
  <c r="F30" i="16"/>
  <c r="D33" i="16"/>
  <c r="E33" i="16" s="1"/>
  <c r="F31" i="16"/>
  <c r="B9" i="10"/>
  <c r="D9" i="10" s="1"/>
  <c r="B7" i="10"/>
  <c r="D7" i="10" s="1"/>
  <c r="G8" i="18" l="1"/>
  <c r="I7" i="18"/>
  <c r="G10" i="19"/>
  <c r="E56" i="10"/>
  <c r="D57" i="10"/>
  <c r="K11" i="25"/>
  <c r="M11" i="25" s="1"/>
  <c r="L10" i="25"/>
  <c r="F78" i="18"/>
  <c r="E33" i="25"/>
  <c r="I33" i="25"/>
  <c r="B67" i="12"/>
  <c r="C66" i="12"/>
  <c r="E56" i="12"/>
  <c r="C44" i="16"/>
  <c r="F44" i="16" s="1"/>
  <c r="D44" i="16"/>
  <c r="E44" i="16" s="1"/>
  <c r="C34" i="15"/>
  <c r="F34" i="15" s="1"/>
  <c r="D34" i="15"/>
  <c r="E34" i="15" s="1"/>
  <c r="E7" i="10"/>
  <c r="E46" i="12"/>
  <c r="E7" i="12"/>
  <c r="J7" i="12" s="1"/>
  <c r="F19" i="12"/>
  <c r="F26" i="12"/>
  <c r="F27" i="12"/>
  <c r="F30" i="12"/>
  <c r="F31" i="12"/>
  <c r="F34" i="12"/>
  <c r="F35" i="12"/>
  <c r="F38" i="12"/>
  <c r="F39" i="12"/>
  <c r="F42" i="12"/>
  <c r="F43" i="12"/>
  <c r="F46" i="12"/>
  <c r="F47" i="12"/>
  <c r="E9" i="12"/>
  <c r="J9" i="12" s="1"/>
  <c r="E45" i="12"/>
  <c r="E49" i="12"/>
  <c r="E1" i="12"/>
  <c r="G11" i="19" l="1"/>
  <c r="I10" i="19"/>
  <c r="G9" i="18"/>
  <c r="I8" i="18"/>
  <c r="D58" i="10"/>
  <c r="E57" i="10"/>
  <c r="K12" i="25"/>
  <c r="M12" i="25" s="1"/>
  <c r="L11" i="25"/>
  <c r="I34" i="25"/>
  <c r="E34" i="25"/>
  <c r="C67" i="12"/>
  <c r="B68" i="12"/>
  <c r="E57" i="12"/>
  <c r="F18" i="12"/>
  <c r="F22" i="12"/>
  <c r="C45" i="16"/>
  <c r="D45" i="16"/>
  <c r="E45" i="16" s="1"/>
  <c r="D35" i="15"/>
  <c r="E35" i="15" s="1"/>
  <c r="C35" i="15"/>
  <c r="F49" i="12"/>
  <c r="F45" i="12"/>
  <c r="F41" i="12"/>
  <c r="F37" i="12"/>
  <c r="F33" i="12"/>
  <c r="F29" i="12"/>
  <c r="F21" i="12"/>
  <c r="F17" i="12"/>
  <c r="F44" i="12"/>
  <c r="F40" i="12"/>
  <c r="F36" i="12"/>
  <c r="F32" i="12"/>
  <c r="F28" i="12"/>
  <c r="F16" i="12"/>
  <c r="E47" i="12"/>
  <c r="E48" i="12"/>
  <c r="E44" i="12"/>
  <c r="E26" i="19"/>
  <c r="E28" i="19"/>
  <c r="E30" i="19"/>
  <c r="E32" i="19"/>
  <c r="E34" i="19"/>
  <c r="E36" i="19"/>
  <c r="E38" i="19"/>
  <c r="E40" i="19"/>
  <c r="E42" i="19"/>
  <c r="E44" i="19"/>
  <c r="E46" i="19"/>
  <c r="E48" i="19"/>
  <c r="E50" i="19"/>
  <c r="E52" i="19"/>
  <c r="E54" i="19"/>
  <c r="E13" i="19"/>
  <c r="E15" i="19"/>
  <c r="E17" i="19"/>
  <c r="E19" i="19"/>
  <c r="E21" i="19"/>
  <c r="E23" i="19"/>
  <c r="E7" i="19"/>
  <c r="E8" i="19"/>
  <c r="H8" i="19" s="1"/>
  <c r="E10" i="19"/>
  <c r="E11" i="19"/>
  <c r="E5" i="19"/>
  <c r="E6" i="18"/>
  <c r="B45" i="10"/>
  <c r="D45" i="10" s="1"/>
  <c r="G12" i="19" l="1"/>
  <c r="I11" i="19"/>
  <c r="G10" i="18"/>
  <c r="I9" i="18"/>
  <c r="E58" i="10"/>
  <c r="D59" i="10"/>
  <c r="K13" i="25"/>
  <c r="M13" i="25" s="1"/>
  <c r="L12" i="25"/>
  <c r="C45" i="10"/>
  <c r="F45" i="10" s="1"/>
  <c r="E35" i="25"/>
  <c r="I35" i="25"/>
  <c r="B69" i="12"/>
  <c r="C68" i="12"/>
  <c r="E58" i="12"/>
  <c r="F24" i="12"/>
  <c r="F48" i="12"/>
  <c r="H11" i="19"/>
  <c r="H7" i="19"/>
  <c r="H10" i="19"/>
  <c r="H5" i="19"/>
  <c r="B47" i="16"/>
  <c r="C46" i="16"/>
  <c r="D46" i="16"/>
  <c r="E46" i="16" s="1"/>
  <c r="D36" i="15"/>
  <c r="E36" i="15" s="1"/>
  <c r="B37" i="15"/>
  <c r="C36" i="15"/>
  <c r="E53" i="19"/>
  <c r="E51" i="19"/>
  <c r="E49" i="19"/>
  <c r="E47" i="19"/>
  <c r="E45" i="19"/>
  <c r="E43" i="19"/>
  <c r="E41" i="19"/>
  <c r="E39" i="19"/>
  <c r="E37" i="19"/>
  <c r="E35" i="19"/>
  <c r="E33" i="19"/>
  <c r="E31" i="19"/>
  <c r="E29" i="19"/>
  <c r="E27" i="19"/>
  <c r="E25" i="19"/>
  <c r="E24" i="19"/>
  <c r="E22" i="19"/>
  <c r="E20" i="19"/>
  <c r="E18" i="19"/>
  <c r="E16" i="19"/>
  <c r="E14" i="19"/>
  <c r="E12" i="19"/>
  <c r="E6" i="19"/>
  <c r="H6" i="19" s="1"/>
  <c r="E9" i="19"/>
  <c r="H9" i="19" s="1"/>
  <c r="E35" i="18"/>
  <c r="E19" i="18"/>
  <c r="E47" i="18"/>
  <c r="E15" i="18"/>
  <c r="H6" i="18"/>
  <c r="E30" i="18"/>
  <c r="E39" i="18"/>
  <c r="E23" i="18"/>
  <c r="E7" i="18"/>
  <c r="E14" i="18"/>
  <c r="E43" i="18"/>
  <c r="E27" i="18"/>
  <c r="E11" i="18"/>
  <c r="E50" i="18"/>
  <c r="E49" i="18"/>
  <c r="E48" i="18"/>
  <c r="E46" i="18"/>
  <c r="E45" i="18"/>
  <c r="E44" i="18"/>
  <c r="E42" i="18"/>
  <c r="E41" i="18"/>
  <c r="E40" i="18"/>
  <c r="E38" i="18"/>
  <c r="E37" i="18"/>
  <c r="E36" i="18"/>
  <c r="E34" i="18"/>
  <c r="E33" i="18"/>
  <c r="E32" i="18"/>
  <c r="E31" i="18"/>
  <c r="E29" i="18"/>
  <c r="E28" i="18"/>
  <c r="E26" i="18"/>
  <c r="E25" i="18"/>
  <c r="E24" i="18"/>
  <c r="E22" i="18"/>
  <c r="E21" i="18"/>
  <c r="E20" i="18"/>
  <c r="E18" i="18"/>
  <c r="E17" i="18"/>
  <c r="E16" i="18"/>
  <c r="E13" i="18"/>
  <c r="E12" i="18"/>
  <c r="E10" i="18"/>
  <c r="E9" i="18"/>
  <c r="E8" i="18"/>
  <c r="E42" i="12"/>
  <c r="E43" i="12"/>
  <c r="B44" i="10"/>
  <c r="I12" i="19" l="1"/>
  <c r="G13" i="19"/>
  <c r="I10" i="18"/>
  <c r="G11" i="18"/>
  <c r="E59" i="10"/>
  <c r="D60" i="10"/>
  <c r="K14" i="25"/>
  <c r="M14" i="25" s="1"/>
  <c r="L13" i="25"/>
  <c r="C44" i="10"/>
  <c r="F44" i="10" s="1"/>
  <c r="D44" i="10"/>
  <c r="E44" i="10" s="1"/>
  <c r="I36" i="25"/>
  <c r="E36" i="25"/>
  <c r="B70" i="12"/>
  <c r="C69" i="12"/>
  <c r="E59" i="12"/>
  <c r="H12" i="19"/>
  <c r="H9" i="18"/>
  <c r="H8" i="18"/>
  <c r="H7" i="18"/>
  <c r="H11" i="18"/>
  <c r="B48" i="16"/>
  <c r="C47" i="16"/>
  <c r="D47" i="16"/>
  <c r="E47" i="16" s="1"/>
  <c r="C37" i="15"/>
  <c r="B38" i="15"/>
  <c r="D37" i="15"/>
  <c r="E37" i="15" s="1"/>
  <c r="H10" i="18"/>
  <c r="E45" i="10"/>
  <c r="G14" i="19" l="1"/>
  <c r="I13" i="19"/>
  <c r="H13" i="19"/>
  <c r="G12" i="18"/>
  <c r="I11" i="18"/>
  <c r="E60" i="10"/>
  <c r="D61" i="10"/>
  <c r="K15" i="25"/>
  <c r="M15" i="25" s="1"/>
  <c r="L14" i="25"/>
  <c r="I37" i="25"/>
  <c r="E37" i="25"/>
  <c r="B71" i="12"/>
  <c r="C70" i="12"/>
  <c r="E60" i="12"/>
  <c r="B49" i="16"/>
  <c r="C48" i="16"/>
  <c r="D48" i="16"/>
  <c r="E48" i="16" s="1"/>
  <c r="B39" i="15"/>
  <c r="C38" i="15"/>
  <c r="D38" i="15"/>
  <c r="E38" i="15" s="1"/>
  <c r="G15" i="19" l="1"/>
  <c r="I14" i="19"/>
  <c r="H14" i="19"/>
  <c r="G13" i="18"/>
  <c r="I12" i="18"/>
  <c r="H12" i="18"/>
  <c r="D62" i="10"/>
  <c r="E61" i="10"/>
  <c r="K16" i="25"/>
  <c r="M16" i="25" s="1"/>
  <c r="L15" i="25"/>
  <c r="E38" i="25"/>
  <c r="I38" i="25"/>
  <c r="B72" i="12"/>
  <c r="C71" i="12"/>
  <c r="E61" i="12"/>
  <c r="D62" i="12"/>
  <c r="D49" i="16"/>
  <c r="E49" i="16" s="1"/>
  <c r="B50" i="16"/>
  <c r="C49" i="16"/>
  <c r="D39" i="15"/>
  <c r="E39" i="15" s="1"/>
  <c r="B40" i="15"/>
  <c r="C39" i="15"/>
  <c r="B73" i="17"/>
  <c r="C73" i="17" s="1"/>
  <c r="B74" i="17"/>
  <c r="C74" i="17" s="1"/>
  <c r="B75" i="17"/>
  <c r="D75" i="17" s="1"/>
  <c r="E75" i="17" s="1"/>
  <c r="B76" i="17"/>
  <c r="C76" i="17" s="1"/>
  <c r="C77" i="17"/>
  <c r="B72" i="17"/>
  <c r="B43" i="17"/>
  <c r="C43" i="17" s="1"/>
  <c r="F43" i="17" s="1"/>
  <c r="H43" i="17" s="1"/>
  <c r="B44" i="17"/>
  <c r="D44" i="17" s="1"/>
  <c r="E44" i="17" s="1"/>
  <c r="B45" i="17"/>
  <c r="B46" i="17"/>
  <c r="D46" i="17" s="1"/>
  <c r="E46" i="17" s="1"/>
  <c r="B47" i="17"/>
  <c r="B48" i="17"/>
  <c r="B49" i="17"/>
  <c r="B50" i="17"/>
  <c r="C50" i="17" s="1"/>
  <c r="F50" i="17" s="1"/>
  <c r="H50" i="17" s="1"/>
  <c r="B51" i="17"/>
  <c r="C51" i="17" s="1"/>
  <c r="F51" i="17" s="1"/>
  <c r="H51" i="17" s="1"/>
  <c r="B52" i="17"/>
  <c r="D52" i="17" s="1"/>
  <c r="E52" i="17" s="1"/>
  <c r="B53" i="17"/>
  <c r="B54" i="17"/>
  <c r="D54" i="17" s="1"/>
  <c r="E54" i="17" s="1"/>
  <c r="C54" i="17"/>
  <c r="F54" i="17" s="1"/>
  <c r="H54" i="17" s="1"/>
  <c r="B55" i="17"/>
  <c r="C55" i="17" s="1"/>
  <c r="F55" i="17" s="1"/>
  <c r="H55" i="17" s="1"/>
  <c r="B56" i="17"/>
  <c r="C56" i="17" s="1"/>
  <c r="F56" i="17" s="1"/>
  <c r="H56" i="17" s="1"/>
  <c r="B57" i="17"/>
  <c r="B58" i="17"/>
  <c r="D58" i="17" s="1"/>
  <c r="E58" i="17" s="1"/>
  <c r="B59" i="17"/>
  <c r="C59" i="17" s="1"/>
  <c r="F59" i="17" s="1"/>
  <c r="H59" i="17" s="1"/>
  <c r="B60" i="17"/>
  <c r="D60" i="17" s="1"/>
  <c r="E60" i="17" s="1"/>
  <c r="B61" i="17"/>
  <c r="B62" i="17"/>
  <c r="D62" i="17" s="1"/>
  <c r="E62" i="17" s="1"/>
  <c r="B63" i="17"/>
  <c r="B64" i="17"/>
  <c r="B65" i="17"/>
  <c r="C65" i="17" s="1"/>
  <c r="F65" i="17" s="1"/>
  <c r="H65" i="17" s="1"/>
  <c r="B66" i="17"/>
  <c r="D66" i="17" s="1"/>
  <c r="E66" i="17" s="1"/>
  <c r="B67" i="17"/>
  <c r="C67" i="17" s="1"/>
  <c r="F67" i="17" s="1"/>
  <c r="H67" i="17" s="1"/>
  <c r="B68" i="17"/>
  <c r="D68" i="17" s="1"/>
  <c r="E68" i="17" s="1"/>
  <c r="B69" i="17"/>
  <c r="C69" i="17" s="1"/>
  <c r="F69" i="17" s="1"/>
  <c r="H69" i="17" s="1"/>
  <c r="B70" i="17"/>
  <c r="D70" i="17" s="1"/>
  <c r="E70" i="17" s="1"/>
  <c r="B71" i="17"/>
  <c r="B26" i="17"/>
  <c r="D26" i="17" s="1"/>
  <c r="E26" i="17" s="1"/>
  <c r="B27" i="17"/>
  <c r="D27" i="17" s="1"/>
  <c r="E27" i="17" s="1"/>
  <c r="B28" i="17"/>
  <c r="C28" i="17" s="1"/>
  <c r="F28" i="17" s="1"/>
  <c r="H28" i="17" s="1"/>
  <c r="B29" i="17"/>
  <c r="D29" i="17" s="1"/>
  <c r="E29" i="17" s="1"/>
  <c r="B30" i="17"/>
  <c r="C30" i="17" s="1"/>
  <c r="F30" i="17" s="1"/>
  <c r="H30" i="17" s="1"/>
  <c r="B31" i="17"/>
  <c r="D31" i="17" s="1"/>
  <c r="E31" i="17" s="1"/>
  <c r="B32" i="17"/>
  <c r="D32" i="17" s="1"/>
  <c r="E32" i="17" s="1"/>
  <c r="B33" i="17"/>
  <c r="D33" i="17" s="1"/>
  <c r="E33" i="17" s="1"/>
  <c r="B34" i="17"/>
  <c r="C34" i="17" s="1"/>
  <c r="F34" i="17" s="1"/>
  <c r="H34" i="17" s="1"/>
  <c r="B35" i="17"/>
  <c r="C35" i="17" s="1"/>
  <c r="F35" i="17" s="1"/>
  <c r="H35" i="17" s="1"/>
  <c r="B36" i="17"/>
  <c r="D36" i="17" s="1"/>
  <c r="E36" i="17" s="1"/>
  <c r="B37" i="17"/>
  <c r="D37" i="17" s="1"/>
  <c r="E37" i="17" s="1"/>
  <c r="B38" i="17"/>
  <c r="C38" i="17" s="1"/>
  <c r="F38" i="17" s="1"/>
  <c r="H38" i="17" s="1"/>
  <c r="B39" i="17"/>
  <c r="C39" i="17" s="1"/>
  <c r="F39" i="17" s="1"/>
  <c r="H39" i="17" s="1"/>
  <c r="B40" i="17"/>
  <c r="D40" i="17" s="1"/>
  <c r="E40" i="17" s="1"/>
  <c r="B41" i="17"/>
  <c r="D41" i="17" s="1"/>
  <c r="E41" i="17" s="1"/>
  <c r="B42" i="17"/>
  <c r="D42" i="17" s="1"/>
  <c r="E42" i="17" s="1"/>
  <c r="B7" i="17"/>
  <c r="C7" i="17" s="1"/>
  <c r="F7" i="17" s="1"/>
  <c r="H7" i="17" s="1"/>
  <c r="B8" i="17"/>
  <c r="C8" i="17" s="1"/>
  <c r="F8" i="17" s="1"/>
  <c r="H8" i="17" s="1"/>
  <c r="B9" i="17"/>
  <c r="D9" i="17" s="1"/>
  <c r="E9" i="17" s="1"/>
  <c r="B10" i="17"/>
  <c r="D10" i="17" s="1"/>
  <c r="E10" i="17" s="1"/>
  <c r="B11" i="17"/>
  <c r="D11" i="17" s="1"/>
  <c r="E11" i="17" s="1"/>
  <c r="B12" i="17"/>
  <c r="D12" i="17" s="1"/>
  <c r="E12" i="17" s="1"/>
  <c r="B13" i="17"/>
  <c r="D13" i="17" s="1"/>
  <c r="E13" i="17" s="1"/>
  <c r="B14" i="17"/>
  <c r="C14" i="17" s="1"/>
  <c r="F14" i="17" s="1"/>
  <c r="H14" i="17" s="1"/>
  <c r="B15" i="17"/>
  <c r="D15" i="17" s="1"/>
  <c r="E15" i="17" s="1"/>
  <c r="B16" i="17"/>
  <c r="D16" i="17" s="1"/>
  <c r="E16" i="17" s="1"/>
  <c r="B17" i="17"/>
  <c r="D17" i="17" s="1"/>
  <c r="E17" i="17" s="1"/>
  <c r="B18" i="17"/>
  <c r="C18" i="17" s="1"/>
  <c r="F18" i="17" s="1"/>
  <c r="H18" i="17" s="1"/>
  <c r="B19" i="17"/>
  <c r="C19" i="17" s="1"/>
  <c r="F19" i="17" s="1"/>
  <c r="H19" i="17" s="1"/>
  <c r="B20" i="17"/>
  <c r="D20" i="17" s="1"/>
  <c r="E20" i="17" s="1"/>
  <c r="B21" i="17"/>
  <c r="D21" i="17" s="1"/>
  <c r="E21" i="17" s="1"/>
  <c r="B22" i="17"/>
  <c r="C22" i="17" s="1"/>
  <c r="F22" i="17" s="1"/>
  <c r="H22" i="17" s="1"/>
  <c r="B23" i="17"/>
  <c r="C23" i="17" s="1"/>
  <c r="F23" i="17" s="1"/>
  <c r="H23" i="17" s="1"/>
  <c r="B24" i="17"/>
  <c r="C24" i="17" s="1"/>
  <c r="F24" i="17" s="1"/>
  <c r="H24" i="17" s="1"/>
  <c r="B25" i="17"/>
  <c r="D25" i="17" s="1"/>
  <c r="E25" i="17" s="1"/>
  <c r="B6" i="17"/>
  <c r="D6" i="17" s="1"/>
  <c r="G16" i="19" l="1"/>
  <c r="I15" i="19"/>
  <c r="H15" i="19"/>
  <c r="G14" i="18"/>
  <c r="I13" i="18"/>
  <c r="H13" i="18"/>
  <c r="C32" i="17"/>
  <c r="F32" i="17" s="1"/>
  <c r="H32" i="17" s="1"/>
  <c r="D35" i="17"/>
  <c r="E35" i="17" s="1"/>
  <c r="C44" i="17"/>
  <c r="F44" i="17" s="1"/>
  <c r="H44" i="17" s="1"/>
  <c r="D74" i="17"/>
  <c r="E74" i="17" s="1"/>
  <c r="D50" i="17"/>
  <c r="E50" i="17" s="1"/>
  <c r="E62" i="10"/>
  <c r="D63" i="10"/>
  <c r="K17" i="25"/>
  <c r="M17" i="25" s="1"/>
  <c r="L16" i="25"/>
  <c r="C6" i="17"/>
  <c r="F6" i="17" s="1"/>
  <c r="D14" i="17"/>
  <c r="E14" i="17" s="1"/>
  <c r="C12" i="17"/>
  <c r="F12" i="17" s="1"/>
  <c r="H12" i="17" s="1"/>
  <c r="C66" i="17"/>
  <c r="F66" i="17" s="1"/>
  <c r="H66" i="17" s="1"/>
  <c r="C60" i="17"/>
  <c r="F60" i="17" s="1"/>
  <c r="H60" i="17" s="1"/>
  <c r="D65" i="17"/>
  <c r="E65" i="17" s="1"/>
  <c r="D28" i="17"/>
  <c r="E28" i="17" s="1"/>
  <c r="D7" i="17"/>
  <c r="E7" i="17" s="1"/>
  <c r="D18" i="17"/>
  <c r="E18" i="17" s="1"/>
  <c r="D34" i="17"/>
  <c r="E34" i="17" s="1"/>
  <c r="C68" i="17"/>
  <c r="F68" i="17" s="1"/>
  <c r="H68" i="17" s="1"/>
  <c r="C62" i="17"/>
  <c r="F62" i="17" s="1"/>
  <c r="H62" i="17" s="1"/>
  <c r="D38" i="17"/>
  <c r="E38" i="17" s="1"/>
  <c r="D19" i="17"/>
  <c r="E19" i="17" s="1"/>
  <c r="C21" i="17"/>
  <c r="F21" i="17" s="1"/>
  <c r="H21" i="17" s="1"/>
  <c r="C41" i="17"/>
  <c r="F41" i="17" s="1"/>
  <c r="H41" i="17" s="1"/>
  <c r="C25" i="17"/>
  <c r="F25" i="17" s="1"/>
  <c r="H25" i="17" s="1"/>
  <c r="D51" i="17"/>
  <c r="E51" i="17" s="1"/>
  <c r="D43" i="17"/>
  <c r="E43" i="17" s="1"/>
  <c r="D24" i="17"/>
  <c r="E24" i="17" s="1"/>
  <c r="C20" i="17"/>
  <c r="F20" i="17" s="1"/>
  <c r="H20" i="17" s="1"/>
  <c r="C40" i="17"/>
  <c r="F40" i="17" s="1"/>
  <c r="H40" i="17" s="1"/>
  <c r="D23" i="17"/>
  <c r="E23" i="17" s="1"/>
  <c r="C13" i="17"/>
  <c r="F13" i="17" s="1"/>
  <c r="H13" i="17" s="1"/>
  <c r="C33" i="17"/>
  <c r="F33" i="17" s="1"/>
  <c r="H33" i="17" s="1"/>
  <c r="C70" i="17"/>
  <c r="F70" i="17" s="1"/>
  <c r="H70" i="17" s="1"/>
  <c r="C52" i="17"/>
  <c r="F52" i="17" s="1"/>
  <c r="H52" i="17" s="1"/>
  <c r="C46" i="17"/>
  <c r="F46" i="17" s="1"/>
  <c r="H46" i="17" s="1"/>
  <c r="D59" i="17"/>
  <c r="E59" i="17" s="1"/>
  <c r="D39" i="17"/>
  <c r="E39" i="17" s="1"/>
  <c r="D30" i="17"/>
  <c r="E30" i="17" s="1"/>
  <c r="D22" i="17"/>
  <c r="E22" i="17" s="1"/>
  <c r="D8" i="17"/>
  <c r="E8" i="17" s="1"/>
  <c r="C75" i="17"/>
  <c r="F75" i="17" s="1"/>
  <c r="H75" i="17" s="1"/>
  <c r="C63" i="17"/>
  <c r="F63" i="17" s="1"/>
  <c r="H63" i="17" s="1"/>
  <c r="D63" i="17"/>
  <c r="E63" i="17" s="1"/>
  <c r="D69" i="17"/>
  <c r="E69" i="17" s="1"/>
  <c r="C71" i="17"/>
  <c r="F71" i="17" s="1"/>
  <c r="H71" i="17" s="1"/>
  <c r="D71" i="17"/>
  <c r="E71" i="17" s="1"/>
  <c r="C48" i="17"/>
  <c r="F48" i="17" s="1"/>
  <c r="H48" i="17" s="1"/>
  <c r="D48" i="17"/>
  <c r="E48" i="17" s="1"/>
  <c r="C45" i="17"/>
  <c r="F45" i="17" s="1"/>
  <c r="H45" i="17" s="1"/>
  <c r="D45" i="17"/>
  <c r="E45" i="17" s="1"/>
  <c r="C72" i="17"/>
  <c r="F72" i="17" s="1"/>
  <c r="H72" i="17" s="1"/>
  <c r="D72" i="17"/>
  <c r="E72" i="17" s="1"/>
  <c r="C17" i="17"/>
  <c r="F17" i="17" s="1"/>
  <c r="H17" i="17" s="1"/>
  <c r="C9" i="17"/>
  <c r="F9" i="17" s="1"/>
  <c r="H9" i="17" s="1"/>
  <c r="C37" i="17"/>
  <c r="F37" i="17" s="1"/>
  <c r="H37" i="17" s="1"/>
  <c r="C29" i="17"/>
  <c r="F29" i="17" s="1"/>
  <c r="H29" i="17" s="1"/>
  <c r="C53" i="17"/>
  <c r="F53" i="17" s="1"/>
  <c r="H53" i="17" s="1"/>
  <c r="D53" i="17"/>
  <c r="E53" i="17" s="1"/>
  <c r="C47" i="17"/>
  <c r="F47" i="17" s="1"/>
  <c r="H47" i="17" s="1"/>
  <c r="D47" i="17"/>
  <c r="E47" i="17" s="1"/>
  <c r="D56" i="17"/>
  <c r="E56" i="17" s="1"/>
  <c r="C16" i="17"/>
  <c r="F16" i="17" s="1"/>
  <c r="H16" i="17" s="1"/>
  <c r="C36" i="17"/>
  <c r="F36" i="17" s="1"/>
  <c r="H36" i="17" s="1"/>
  <c r="C64" i="17"/>
  <c r="F64" i="17" s="1"/>
  <c r="H64" i="17" s="1"/>
  <c r="D64" i="17"/>
  <c r="E64" i="17" s="1"/>
  <c r="C61" i="17"/>
  <c r="F61" i="17" s="1"/>
  <c r="H61" i="17" s="1"/>
  <c r="D61" i="17"/>
  <c r="E61" i="17" s="1"/>
  <c r="C58" i="17"/>
  <c r="F58" i="17" s="1"/>
  <c r="H58" i="17" s="1"/>
  <c r="D55" i="17"/>
  <c r="E55" i="17" s="1"/>
  <c r="C15" i="17"/>
  <c r="F15" i="17" s="1"/>
  <c r="H15" i="17" s="1"/>
  <c r="C11" i="17"/>
  <c r="F11" i="17" s="1"/>
  <c r="H11" i="17" s="1"/>
  <c r="C31" i="17"/>
  <c r="F31" i="17" s="1"/>
  <c r="H31" i="17" s="1"/>
  <c r="C27" i="17"/>
  <c r="F27" i="17" s="1"/>
  <c r="H27" i="17" s="1"/>
  <c r="C57" i="17"/>
  <c r="F57" i="17" s="1"/>
  <c r="H57" i="17" s="1"/>
  <c r="D57" i="17"/>
  <c r="E57" i="17" s="1"/>
  <c r="C49" i="17"/>
  <c r="F49" i="17" s="1"/>
  <c r="H49" i="17" s="1"/>
  <c r="D49" i="17"/>
  <c r="E49" i="17" s="1"/>
  <c r="C10" i="17"/>
  <c r="F10" i="17" s="1"/>
  <c r="H10" i="17" s="1"/>
  <c r="C42" i="17"/>
  <c r="F42" i="17" s="1"/>
  <c r="H42" i="17" s="1"/>
  <c r="C26" i="17"/>
  <c r="F26" i="17" s="1"/>
  <c r="H26" i="17" s="1"/>
  <c r="D67" i="17"/>
  <c r="E67" i="17" s="1"/>
  <c r="I39" i="25"/>
  <c r="E39" i="25"/>
  <c r="B73" i="12"/>
  <c r="C72" i="12"/>
  <c r="E62" i="12"/>
  <c r="D63" i="12"/>
  <c r="B51" i="16"/>
  <c r="C50" i="16"/>
  <c r="C40" i="15"/>
  <c r="D40" i="15"/>
  <c r="E40" i="15" s="1"/>
  <c r="B41" i="15"/>
  <c r="F74" i="17"/>
  <c r="H74" i="17" s="1"/>
  <c r="F76" i="17"/>
  <c r="H76" i="17" s="1"/>
  <c r="F77" i="17"/>
  <c r="H77" i="17" s="1"/>
  <c r="F73" i="17"/>
  <c r="H73" i="17" s="1"/>
  <c r="D77" i="17"/>
  <c r="E77" i="17" s="1"/>
  <c r="D73" i="17"/>
  <c r="E73" i="17" s="1"/>
  <c r="D76" i="17"/>
  <c r="E76" i="17" s="1"/>
  <c r="G17" i="19" l="1"/>
  <c r="I16" i="19"/>
  <c r="H16" i="19"/>
  <c r="G15" i="18"/>
  <c r="I14" i="18"/>
  <c r="H14" i="18"/>
  <c r="G6" i="17"/>
  <c r="H6" i="17"/>
  <c r="E63" i="10"/>
  <c r="D64" i="10"/>
  <c r="K18" i="25"/>
  <c r="M18" i="25" s="1"/>
  <c r="L17" i="25"/>
  <c r="E40" i="25"/>
  <c r="I40" i="25"/>
  <c r="B74" i="12"/>
  <c r="C73" i="12"/>
  <c r="E63" i="12"/>
  <c r="D64" i="12"/>
  <c r="B52" i="16"/>
  <c r="C51" i="16"/>
  <c r="D41" i="15"/>
  <c r="E41" i="15" s="1"/>
  <c r="C41" i="15"/>
  <c r="B42" i="15"/>
  <c r="G18" i="19" l="1"/>
  <c r="I17" i="19"/>
  <c r="H17" i="19"/>
  <c r="G16" i="18"/>
  <c r="I15" i="18"/>
  <c r="H15" i="18"/>
  <c r="I6" i="17"/>
  <c r="K6" i="17" s="1"/>
  <c r="G7" i="17"/>
  <c r="D65" i="10"/>
  <c r="E64" i="10"/>
  <c r="K19" i="25"/>
  <c r="M19" i="25" s="1"/>
  <c r="L18" i="25"/>
  <c r="I41" i="25"/>
  <c r="E41" i="25"/>
  <c r="B75" i="12"/>
  <c r="C74" i="12"/>
  <c r="E64" i="12"/>
  <c r="D65" i="12"/>
  <c r="B53" i="16"/>
  <c r="C52" i="16"/>
  <c r="D42" i="15"/>
  <c r="E42" i="15" s="1"/>
  <c r="C42" i="15"/>
  <c r="B43" i="15"/>
  <c r="E6" i="17"/>
  <c r="G19" i="19" l="1"/>
  <c r="I18" i="19"/>
  <c r="H18" i="19"/>
  <c r="G17" i="18"/>
  <c r="I16" i="18"/>
  <c r="H16" i="18"/>
  <c r="I7" i="17"/>
  <c r="K7" i="17" s="1"/>
  <c r="G8" i="17"/>
  <c r="E65" i="10"/>
  <c r="D66" i="10"/>
  <c r="K20" i="25"/>
  <c r="M20" i="25" s="1"/>
  <c r="L19" i="25"/>
  <c r="I42" i="25"/>
  <c r="E42" i="25"/>
  <c r="B76" i="12"/>
  <c r="C75" i="12"/>
  <c r="E65" i="12"/>
  <c r="D66" i="12"/>
  <c r="B54" i="16"/>
  <c r="C53" i="16"/>
  <c r="D50" i="16"/>
  <c r="E50" i="16" s="1"/>
  <c r="D43" i="15"/>
  <c r="E43" i="15" s="1"/>
  <c r="B44" i="15"/>
  <c r="C43" i="15"/>
  <c r="G20" i="19" l="1"/>
  <c r="I19" i="19"/>
  <c r="H19" i="19"/>
  <c r="G18" i="18"/>
  <c r="I17" i="18"/>
  <c r="H17" i="18"/>
  <c r="I8" i="17"/>
  <c r="K8" i="17" s="1"/>
  <c r="G9" i="17"/>
  <c r="E66" i="10"/>
  <c r="D67" i="10"/>
  <c r="K21" i="25"/>
  <c r="M21" i="25" s="1"/>
  <c r="L20" i="25"/>
  <c r="E43" i="25"/>
  <c r="I43" i="25"/>
  <c r="B77" i="12"/>
  <c r="C76" i="12"/>
  <c r="E66" i="12"/>
  <c r="D67" i="12"/>
  <c r="B55" i="16"/>
  <c r="C54" i="16"/>
  <c r="D51" i="16"/>
  <c r="E51" i="16" s="1"/>
  <c r="C44" i="15"/>
  <c r="B45" i="15"/>
  <c r="D44" i="15"/>
  <c r="E44" i="15" s="1"/>
  <c r="G21" i="19" l="1"/>
  <c r="I20" i="19"/>
  <c r="H20" i="19"/>
  <c r="G19" i="18"/>
  <c r="I18" i="18"/>
  <c r="H18" i="18"/>
  <c r="I9" i="17"/>
  <c r="K9" i="17" s="1"/>
  <c r="G10" i="17"/>
  <c r="D68" i="10"/>
  <c r="E67" i="10"/>
  <c r="K22" i="25"/>
  <c r="M22" i="25" s="1"/>
  <c r="L21" i="25"/>
  <c r="I44" i="25"/>
  <c r="E44" i="25"/>
  <c r="B78" i="12"/>
  <c r="C77" i="12"/>
  <c r="E67" i="12"/>
  <c r="D68" i="12"/>
  <c r="C55" i="16"/>
  <c r="B56" i="16"/>
  <c r="D52" i="16"/>
  <c r="E52" i="16" s="1"/>
  <c r="D45" i="15"/>
  <c r="E45" i="15" s="1"/>
  <c r="C45" i="15"/>
  <c r="B46" i="15"/>
  <c r="G22" i="19" l="1"/>
  <c r="I21" i="19"/>
  <c r="H21" i="19"/>
  <c r="G20" i="18"/>
  <c r="I19" i="18"/>
  <c r="H19" i="18"/>
  <c r="I10" i="17"/>
  <c r="K10" i="17" s="1"/>
  <c r="G11" i="17"/>
  <c r="E68" i="10"/>
  <c r="D69" i="10"/>
  <c r="K23" i="25"/>
  <c r="M23" i="25" s="1"/>
  <c r="L22" i="25"/>
  <c r="I45" i="25"/>
  <c r="E45" i="25"/>
  <c r="B79" i="12"/>
  <c r="C78" i="12"/>
  <c r="D69" i="12"/>
  <c r="E68" i="12"/>
  <c r="B57" i="16"/>
  <c r="C56" i="16"/>
  <c r="D53" i="16"/>
  <c r="E53" i="16" s="1"/>
  <c r="D46" i="15"/>
  <c r="E46" i="15" s="1"/>
  <c r="C46" i="15"/>
  <c r="B47" i="15"/>
  <c r="G23" i="19" l="1"/>
  <c r="I22" i="19"/>
  <c r="H22" i="19"/>
  <c r="G21" i="18"/>
  <c r="I20" i="18"/>
  <c r="H20" i="18"/>
  <c r="I11" i="17"/>
  <c r="K11" i="17" s="1"/>
  <c r="G12" i="17"/>
  <c r="E69" i="10"/>
  <c r="D70" i="10"/>
  <c r="K24" i="25"/>
  <c r="M24" i="25" s="1"/>
  <c r="L23" i="25"/>
  <c r="E46" i="25"/>
  <c r="I46" i="25"/>
  <c r="B80" i="12"/>
  <c r="C79" i="12"/>
  <c r="D70" i="12"/>
  <c r="E69" i="12"/>
  <c r="B58" i="16"/>
  <c r="C57" i="16"/>
  <c r="D54" i="16"/>
  <c r="E54" i="16" s="1"/>
  <c r="D47" i="15"/>
  <c r="E47" i="15" s="1"/>
  <c r="B48" i="15"/>
  <c r="C47" i="15"/>
  <c r="G24" i="19" l="1"/>
  <c r="I23" i="19"/>
  <c r="H23" i="19"/>
  <c r="G22" i="18"/>
  <c r="I21" i="18"/>
  <c r="H21" i="18"/>
  <c r="I12" i="17"/>
  <c r="K12" i="17" s="1"/>
  <c r="G13" i="17"/>
  <c r="E70" i="10"/>
  <c r="D71" i="10"/>
  <c r="K25" i="25"/>
  <c r="M25" i="25" s="1"/>
  <c r="L24" i="25"/>
  <c r="I47" i="25"/>
  <c r="E47" i="25"/>
  <c r="B81" i="12"/>
  <c r="C80" i="12"/>
  <c r="E70" i="12"/>
  <c r="D71" i="12"/>
  <c r="B59" i="16"/>
  <c r="C58" i="16"/>
  <c r="D55" i="16"/>
  <c r="E55" i="16" s="1"/>
  <c r="C48" i="15"/>
  <c r="D48" i="15"/>
  <c r="E48" i="15" s="1"/>
  <c r="B49" i="15"/>
  <c r="G25" i="19" l="1"/>
  <c r="I24" i="19"/>
  <c r="H24" i="19"/>
  <c r="G23" i="18"/>
  <c r="I22" i="18"/>
  <c r="H22" i="18"/>
  <c r="I13" i="17"/>
  <c r="K13" i="17" s="1"/>
  <c r="G14" i="17"/>
  <c r="D72" i="10"/>
  <c r="E71" i="10"/>
  <c r="K26" i="25"/>
  <c r="M26" i="25" s="1"/>
  <c r="L25" i="25"/>
  <c r="I48" i="25"/>
  <c r="E48" i="25"/>
  <c r="C59" i="16"/>
  <c r="B60" i="16"/>
  <c r="B82" i="12"/>
  <c r="C81" i="12"/>
  <c r="E71" i="12"/>
  <c r="D72" i="12"/>
  <c r="D56" i="16"/>
  <c r="E56" i="16" s="1"/>
  <c r="C49" i="15"/>
  <c r="D49" i="15"/>
  <c r="E49" i="15" s="1"/>
  <c r="B50" i="15"/>
  <c r="G26" i="19" l="1"/>
  <c r="I25" i="19"/>
  <c r="H25" i="19"/>
  <c r="G24" i="18"/>
  <c r="I23" i="18"/>
  <c r="H23" i="18"/>
  <c r="I14" i="17"/>
  <c r="K14" i="17" s="1"/>
  <c r="G15" i="17"/>
  <c r="E72" i="10"/>
  <c r="D73" i="10"/>
  <c r="K27" i="25"/>
  <c r="M27" i="25" s="1"/>
  <c r="L26" i="25"/>
  <c r="E49" i="25"/>
  <c r="I49" i="25"/>
  <c r="C60" i="16"/>
  <c r="D60" i="16"/>
  <c r="E60" i="16" s="1"/>
  <c r="B61" i="16"/>
  <c r="B83" i="12"/>
  <c r="C82" i="12"/>
  <c r="D73" i="12"/>
  <c r="E72" i="12"/>
  <c r="D57" i="16"/>
  <c r="E57" i="16" s="1"/>
  <c r="C50" i="15"/>
  <c r="D50" i="15"/>
  <c r="E50" i="15" s="1"/>
  <c r="B51" i="15"/>
  <c r="G27" i="19" l="1"/>
  <c r="I26" i="19"/>
  <c r="H26" i="19"/>
  <c r="G25" i="18"/>
  <c r="I24" i="18"/>
  <c r="H24" i="18"/>
  <c r="I15" i="17"/>
  <c r="K15" i="17" s="1"/>
  <c r="G16" i="17"/>
  <c r="E73" i="10"/>
  <c r="D74" i="10"/>
  <c r="L27" i="25"/>
  <c r="K28" i="25"/>
  <c r="M28" i="25" s="1"/>
  <c r="I50" i="25"/>
  <c r="E50" i="25"/>
  <c r="B62" i="16"/>
  <c r="C61" i="16"/>
  <c r="D61" i="16"/>
  <c r="E61" i="16" s="1"/>
  <c r="B84" i="12"/>
  <c r="C83" i="12"/>
  <c r="D74" i="12"/>
  <c r="E73" i="12"/>
  <c r="D58" i="16"/>
  <c r="E58" i="16" s="1"/>
  <c r="D51" i="15"/>
  <c r="E51" i="15" s="1"/>
  <c r="B52" i="15"/>
  <c r="C51" i="15"/>
  <c r="G28" i="19" l="1"/>
  <c r="I27" i="19"/>
  <c r="H27" i="19"/>
  <c r="G26" i="18"/>
  <c r="I25" i="18"/>
  <c r="H25" i="18"/>
  <c r="I16" i="17"/>
  <c r="K16" i="17" s="1"/>
  <c r="G17" i="17"/>
  <c r="E74" i="10"/>
  <c r="D75" i="10"/>
  <c r="K29" i="25"/>
  <c r="M29" i="25" s="1"/>
  <c r="L28" i="25"/>
  <c r="I51" i="25"/>
  <c r="E51" i="25"/>
  <c r="C62" i="16"/>
  <c r="B63" i="16"/>
  <c r="D62" i="16"/>
  <c r="E62" i="16" s="1"/>
  <c r="B85" i="12"/>
  <c r="C84" i="12"/>
  <c r="E74" i="12"/>
  <c r="D75" i="12"/>
  <c r="D59" i="16"/>
  <c r="E59" i="16" s="1"/>
  <c r="C52" i="15"/>
  <c r="B53" i="15"/>
  <c r="D52" i="15"/>
  <c r="E52" i="15" s="1"/>
  <c r="G29" i="19" l="1"/>
  <c r="I28" i="19"/>
  <c r="H28" i="19"/>
  <c r="G27" i="18"/>
  <c r="I26" i="18"/>
  <c r="H26" i="18"/>
  <c r="I17" i="17"/>
  <c r="K17" i="17" s="1"/>
  <c r="G18" i="17"/>
  <c r="D76" i="10"/>
  <c r="E75" i="10"/>
  <c r="K30" i="25"/>
  <c r="M30" i="25" s="1"/>
  <c r="L29" i="25"/>
  <c r="E52" i="25"/>
  <c r="I52" i="25"/>
  <c r="D63" i="16"/>
  <c r="E63" i="16" s="1"/>
  <c r="C63" i="16"/>
  <c r="B64" i="16"/>
  <c r="B86" i="12"/>
  <c r="C86" i="12" s="1"/>
  <c r="C85" i="12"/>
  <c r="E75" i="12"/>
  <c r="D76" i="12"/>
  <c r="B54" i="15"/>
  <c r="D53" i="15"/>
  <c r="E53" i="15" s="1"/>
  <c r="C53" i="15"/>
  <c r="G30" i="19" l="1"/>
  <c r="I29" i="19"/>
  <c r="H29" i="19"/>
  <c r="G28" i="18"/>
  <c r="I27" i="18"/>
  <c r="H27" i="18"/>
  <c r="I18" i="17"/>
  <c r="K18" i="17" s="1"/>
  <c r="G19" i="17"/>
  <c r="E76" i="10"/>
  <c r="D77" i="10"/>
  <c r="K31" i="25"/>
  <c r="M31" i="25" s="1"/>
  <c r="L30" i="25"/>
  <c r="E53" i="25"/>
  <c r="I53" i="25"/>
  <c r="B65" i="16"/>
  <c r="D64" i="16"/>
  <c r="E64" i="16" s="1"/>
  <c r="C64" i="16"/>
  <c r="D77" i="12"/>
  <c r="E76" i="12"/>
  <c r="C54" i="15"/>
  <c r="D54" i="15"/>
  <c r="E54" i="15" s="1"/>
  <c r="B55" i="15"/>
  <c r="G31" i="19" l="1"/>
  <c r="I30" i="19"/>
  <c r="H30" i="19"/>
  <c r="G29" i="18"/>
  <c r="I28" i="18"/>
  <c r="H28" i="18"/>
  <c r="I19" i="17"/>
  <c r="K19" i="17" s="1"/>
  <c r="G20" i="17"/>
  <c r="E77" i="10"/>
  <c r="D78" i="10"/>
  <c r="K32" i="25"/>
  <c r="M32" i="25" s="1"/>
  <c r="L31" i="25"/>
  <c r="E54" i="25"/>
  <c r="I54" i="25"/>
  <c r="B66" i="16"/>
  <c r="D65" i="16"/>
  <c r="E65" i="16" s="1"/>
  <c r="C65" i="16"/>
  <c r="D78" i="12"/>
  <c r="E77" i="12"/>
  <c r="D55" i="15"/>
  <c r="E55" i="15" s="1"/>
  <c r="C55" i="15"/>
  <c r="B56" i="15"/>
  <c r="G32" i="19" l="1"/>
  <c r="I31" i="19"/>
  <c r="H31" i="19"/>
  <c r="G30" i="18"/>
  <c r="I29" i="18"/>
  <c r="H29" i="18"/>
  <c r="I20" i="17"/>
  <c r="K20" i="17" s="1"/>
  <c r="G21" i="17"/>
  <c r="D79" i="10"/>
  <c r="E78" i="10"/>
  <c r="K33" i="25"/>
  <c r="M33" i="25" s="1"/>
  <c r="L32" i="25"/>
  <c r="I55" i="25"/>
  <c r="E55" i="25"/>
  <c r="B67" i="16"/>
  <c r="D66" i="16"/>
  <c r="E66" i="16" s="1"/>
  <c r="C66" i="16"/>
  <c r="E78" i="12"/>
  <c r="D79" i="12"/>
  <c r="B57" i="15"/>
  <c r="D56" i="15"/>
  <c r="E56" i="15" s="1"/>
  <c r="C56" i="15"/>
  <c r="G33" i="19" l="1"/>
  <c r="I32" i="19"/>
  <c r="H32" i="19"/>
  <c r="G31" i="18"/>
  <c r="I30" i="18"/>
  <c r="H30" i="18"/>
  <c r="I21" i="17"/>
  <c r="K21" i="17" s="1"/>
  <c r="G22" i="17"/>
  <c r="E79" i="10"/>
  <c r="D80" i="10"/>
  <c r="K34" i="25"/>
  <c r="M34" i="25" s="1"/>
  <c r="L33" i="25"/>
  <c r="E56" i="25"/>
  <c r="I56" i="25"/>
  <c r="D67" i="16"/>
  <c r="E67" i="16" s="1"/>
  <c r="B68" i="16"/>
  <c r="C67" i="16"/>
  <c r="E79" i="12"/>
  <c r="D80" i="12"/>
  <c r="B58" i="15"/>
  <c r="D57" i="15"/>
  <c r="E57" i="15" s="1"/>
  <c r="C57" i="15"/>
  <c r="G34" i="19" l="1"/>
  <c r="I33" i="19"/>
  <c r="H33" i="19"/>
  <c r="G32" i="18"/>
  <c r="I31" i="18"/>
  <c r="H31" i="18"/>
  <c r="I22" i="17"/>
  <c r="K22" i="17" s="1"/>
  <c r="G23" i="17"/>
  <c r="E80" i="10"/>
  <c r="D81" i="10"/>
  <c r="K35" i="25"/>
  <c r="M35" i="25" s="1"/>
  <c r="L34" i="25"/>
  <c r="I57" i="25"/>
  <c r="E57" i="25"/>
  <c r="D68" i="16"/>
  <c r="E68" i="16" s="1"/>
  <c r="B69" i="16"/>
  <c r="C68" i="16"/>
  <c r="D81" i="12"/>
  <c r="E80" i="12"/>
  <c r="D58" i="15"/>
  <c r="E58" i="15" s="1"/>
  <c r="C58" i="15"/>
  <c r="B59" i="15"/>
  <c r="B60" i="15" s="1"/>
  <c r="G35" i="19" l="1"/>
  <c r="I34" i="19"/>
  <c r="H34" i="19"/>
  <c r="G33" i="18"/>
  <c r="I32" i="18"/>
  <c r="H32" i="18"/>
  <c r="I23" i="17"/>
  <c r="K23" i="17" s="1"/>
  <c r="G24" i="17"/>
  <c r="D82" i="10"/>
  <c r="E81" i="10"/>
  <c r="K36" i="25"/>
  <c r="M36" i="25" s="1"/>
  <c r="L35" i="25"/>
  <c r="I58" i="25"/>
  <c r="E58" i="25"/>
  <c r="C69" i="16"/>
  <c r="B70" i="16"/>
  <c r="D69" i="16"/>
  <c r="E69" i="16" s="1"/>
  <c r="C60" i="15"/>
  <c r="D60" i="15"/>
  <c r="E60" i="15" s="1"/>
  <c r="B61" i="15"/>
  <c r="D82" i="12"/>
  <c r="E81" i="12"/>
  <c r="D59" i="15"/>
  <c r="E59" i="15" s="1"/>
  <c r="C59" i="15"/>
  <c r="G36" i="19" l="1"/>
  <c r="I35" i="19"/>
  <c r="H35" i="19"/>
  <c r="G34" i="18"/>
  <c r="I33" i="18"/>
  <c r="H33" i="18"/>
  <c r="I24" i="17"/>
  <c r="K24" i="17" s="1"/>
  <c r="G25" i="17"/>
  <c r="E82" i="10"/>
  <c r="D83" i="10"/>
  <c r="K37" i="25"/>
  <c r="M37" i="25" s="1"/>
  <c r="L36" i="25"/>
  <c r="I59" i="25"/>
  <c r="E59" i="25"/>
  <c r="D70" i="16"/>
  <c r="E70" i="16" s="1"/>
  <c r="C70" i="16"/>
  <c r="B71" i="16"/>
  <c r="C61" i="15"/>
  <c r="B62" i="15"/>
  <c r="D61" i="15"/>
  <c r="E61" i="15" s="1"/>
  <c r="E82" i="12"/>
  <c r="D83" i="12"/>
  <c r="G37" i="19" l="1"/>
  <c r="I36" i="19"/>
  <c r="H36" i="19"/>
  <c r="G35" i="18"/>
  <c r="I34" i="18"/>
  <c r="H34" i="18"/>
  <c r="I25" i="17"/>
  <c r="K25" i="17" s="1"/>
  <c r="G26" i="17"/>
  <c r="E83" i="10"/>
  <c r="D84" i="10"/>
  <c r="K38" i="25"/>
  <c r="M38" i="25" s="1"/>
  <c r="L37" i="25"/>
  <c r="E60" i="25"/>
  <c r="I60" i="25"/>
  <c r="B72" i="16"/>
  <c r="D71" i="16"/>
  <c r="E71" i="16" s="1"/>
  <c r="C71" i="16"/>
  <c r="D62" i="15"/>
  <c r="E62" i="15" s="1"/>
  <c r="B63" i="15"/>
  <c r="C62" i="15"/>
  <c r="E83" i="12"/>
  <c r="D84" i="12"/>
  <c r="G38" i="19" l="1"/>
  <c r="I37" i="19"/>
  <c r="H37" i="19"/>
  <c r="G36" i="18"/>
  <c r="I35" i="18"/>
  <c r="H35" i="18"/>
  <c r="I26" i="17"/>
  <c r="K26" i="17" s="1"/>
  <c r="G27" i="17"/>
  <c r="E84" i="10"/>
  <c r="D85" i="10"/>
  <c r="K39" i="25"/>
  <c r="M39" i="25" s="1"/>
  <c r="L38" i="25"/>
  <c r="I61" i="25"/>
  <c r="E61" i="25"/>
  <c r="C72" i="16"/>
  <c r="B73" i="16"/>
  <c r="D72" i="16"/>
  <c r="E72" i="16" s="1"/>
  <c r="C63" i="15"/>
  <c r="D63" i="15"/>
  <c r="E63" i="15" s="1"/>
  <c r="B64" i="15"/>
  <c r="D85" i="12"/>
  <c r="E84" i="12"/>
  <c r="G39" i="19" l="1"/>
  <c r="I38" i="19"/>
  <c r="H38" i="19"/>
  <c r="G37" i="18"/>
  <c r="I36" i="18"/>
  <c r="H36" i="18"/>
  <c r="I27" i="17"/>
  <c r="K27" i="17" s="1"/>
  <c r="G28" i="17"/>
  <c r="E85" i="10"/>
  <c r="D86" i="10"/>
  <c r="E86" i="10" s="1"/>
  <c r="K40" i="25"/>
  <c r="M40" i="25" s="1"/>
  <c r="L39" i="25"/>
  <c r="I62" i="25"/>
  <c r="E62" i="25"/>
  <c r="C73" i="16"/>
  <c r="B74" i="16"/>
  <c r="D73" i="16"/>
  <c r="E73" i="16" s="1"/>
  <c r="D64" i="15"/>
  <c r="E64" i="15" s="1"/>
  <c r="C64" i="15"/>
  <c r="B65" i="15"/>
  <c r="D86" i="12"/>
  <c r="E86" i="12" s="1"/>
  <c r="E85" i="12"/>
  <c r="G40" i="19" l="1"/>
  <c r="I39" i="19"/>
  <c r="H39" i="19"/>
  <c r="G38" i="18"/>
  <c r="I37" i="18"/>
  <c r="H37" i="18"/>
  <c r="I28" i="17"/>
  <c r="K28" i="17" s="1"/>
  <c r="G29" i="17"/>
  <c r="K41" i="25"/>
  <c r="M41" i="25" s="1"/>
  <c r="L40" i="25"/>
  <c r="E63" i="25"/>
  <c r="I63" i="25"/>
  <c r="C74" i="16"/>
  <c r="B75" i="16"/>
  <c r="D74" i="16"/>
  <c r="E74" i="16" s="1"/>
  <c r="D65" i="15"/>
  <c r="E65" i="15" s="1"/>
  <c r="C65" i="15"/>
  <c r="B66" i="15"/>
  <c r="G41" i="19" l="1"/>
  <c r="I40" i="19"/>
  <c r="H40" i="19"/>
  <c r="G39" i="18"/>
  <c r="I38" i="18"/>
  <c r="H38" i="18"/>
  <c r="I29" i="17"/>
  <c r="K29" i="17" s="1"/>
  <c r="G30" i="17"/>
  <c r="K42" i="25"/>
  <c r="M42" i="25" s="1"/>
  <c r="L41" i="25"/>
  <c r="I64" i="25"/>
  <c r="E64" i="25"/>
  <c r="B76" i="16"/>
  <c r="D75" i="16"/>
  <c r="E75" i="16" s="1"/>
  <c r="C75" i="16"/>
  <c r="C66" i="15"/>
  <c r="D66" i="15"/>
  <c r="E66" i="15" s="1"/>
  <c r="B67" i="15"/>
  <c r="G42" i="19" l="1"/>
  <c r="I41" i="19"/>
  <c r="H41" i="19"/>
  <c r="G40" i="18"/>
  <c r="I39" i="18"/>
  <c r="H39" i="18"/>
  <c r="I30" i="17"/>
  <c r="K30" i="17" s="1"/>
  <c r="G31" i="17"/>
  <c r="K43" i="25"/>
  <c r="M43" i="25" s="1"/>
  <c r="L42" i="25"/>
  <c r="E65" i="25"/>
  <c r="I65" i="25"/>
  <c r="B77" i="16"/>
  <c r="D76" i="16"/>
  <c r="E76" i="16" s="1"/>
  <c r="C76" i="16"/>
  <c r="C67" i="15"/>
  <c r="D67" i="15"/>
  <c r="E67" i="15" s="1"/>
  <c r="B68" i="15"/>
  <c r="G43" i="19" l="1"/>
  <c r="I42" i="19"/>
  <c r="H42" i="19"/>
  <c r="G41" i="18"/>
  <c r="I40" i="18"/>
  <c r="H40" i="18"/>
  <c r="I31" i="17"/>
  <c r="K31" i="17" s="1"/>
  <c r="G32" i="17"/>
  <c r="K44" i="25"/>
  <c r="M44" i="25" s="1"/>
  <c r="L43" i="25"/>
  <c r="I66" i="25"/>
  <c r="E66" i="25"/>
  <c r="B78" i="16"/>
  <c r="D77" i="16"/>
  <c r="E77" i="16" s="1"/>
  <c r="C77" i="16"/>
  <c r="C68" i="15"/>
  <c r="B69" i="15"/>
  <c r="D68" i="15"/>
  <c r="E68" i="15" s="1"/>
  <c r="G44" i="19" l="1"/>
  <c r="I43" i="19"/>
  <c r="H43" i="19"/>
  <c r="G42" i="18"/>
  <c r="I41" i="18"/>
  <c r="H41" i="18"/>
  <c r="I32" i="17"/>
  <c r="K32" i="17" s="1"/>
  <c r="G33" i="17"/>
  <c r="K45" i="25"/>
  <c r="M45" i="25" s="1"/>
  <c r="L44" i="25"/>
  <c r="E67" i="25"/>
  <c r="I67" i="25"/>
  <c r="C78" i="16"/>
  <c r="B79" i="16"/>
  <c r="D78" i="16"/>
  <c r="E78" i="16" s="1"/>
  <c r="C69" i="15"/>
  <c r="B70" i="15"/>
  <c r="D69" i="15"/>
  <c r="E69" i="15" s="1"/>
  <c r="G45" i="19" l="1"/>
  <c r="I44" i="19"/>
  <c r="H44" i="19"/>
  <c r="G43" i="18"/>
  <c r="I42" i="18"/>
  <c r="H42" i="18"/>
  <c r="I33" i="17"/>
  <c r="K33" i="17" s="1"/>
  <c r="G34" i="17"/>
  <c r="K46" i="25"/>
  <c r="M46" i="25" s="1"/>
  <c r="L45" i="25"/>
  <c r="I68" i="25"/>
  <c r="E68" i="25"/>
  <c r="B80" i="16"/>
  <c r="C79" i="16"/>
  <c r="D79" i="16"/>
  <c r="E79" i="16" s="1"/>
  <c r="B71" i="15"/>
  <c r="D70" i="15"/>
  <c r="E70" i="15" s="1"/>
  <c r="C70" i="15"/>
  <c r="G46" i="19" l="1"/>
  <c r="I45" i="19"/>
  <c r="H45" i="19"/>
  <c r="G44" i="18"/>
  <c r="I43" i="18"/>
  <c r="H43" i="18"/>
  <c r="I34" i="17"/>
  <c r="K34" i="17" s="1"/>
  <c r="G35" i="17"/>
  <c r="K47" i="25"/>
  <c r="M47" i="25" s="1"/>
  <c r="L46" i="25"/>
  <c r="E69" i="25"/>
  <c r="I69" i="25"/>
  <c r="B81" i="16"/>
  <c r="D80" i="16"/>
  <c r="E80" i="16" s="1"/>
  <c r="C80" i="16"/>
  <c r="C71" i="15"/>
  <c r="B72" i="15"/>
  <c r="D71" i="15"/>
  <c r="E71" i="15" s="1"/>
  <c r="G47" i="19" l="1"/>
  <c r="I46" i="19"/>
  <c r="H46" i="19"/>
  <c r="G45" i="18"/>
  <c r="I44" i="18"/>
  <c r="H44" i="18"/>
  <c r="I35" i="17"/>
  <c r="K35" i="17" s="1"/>
  <c r="G36" i="17"/>
  <c r="K48" i="25"/>
  <c r="M48" i="25" s="1"/>
  <c r="L47" i="25"/>
  <c r="I70" i="25"/>
  <c r="E70" i="25"/>
  <c r="C81" i="16"/>
  <c r="B82" i="16"/>
  <c r="D81" i="16"/>
  <c r="E81" i="16" s="1"/>
  <c r="B73" i="15"/>
  <c r="C72" i="15"/>
  <c r="D72" i="15"/>
  <c r="E72" i="15" s="1"/>
  <c r="G48" i="19" l="1"/>
  <c r="I47" i="19"/>
  <c r="H47" i="19"/>
  <c r="G46" i="18"/>
  <c r="I45" i="18"/>
  <c r="H45" i="18"/>
  <c r="I36" i="17"/>
  <c r="K36" i="17" s="1"/>
  <c r="G37" i="17"/>
  <c r="K49" i="25"/>
  <c r="M49" i="25" s="1"/>
  <c r="L48" i="25"/>
  <c r="I71" i="25"/>
  <c r="E71" i="25"/>
  <c r="C82" i="16"/>
  <c r="D82" i="16"/>
  <c r="E82" i="16" s="1"/>
  <c r="B83" i="16"/>
  <c r="B74" i="15"/>
  <c r="D73" i="15"/>
  <c r="E73" i="15" s="1"/>
  <c r="C73" i="15"/>
  <c r="G49" i="19" l="1"/>
  <c r="I48" i="19"/>
  <c r="H48" i="19"/>
  <c r="G47" i="18"/>
  <c r="I46" i="18"/>
  <c r="H46" i="18"/>
  <c r="I37" i="17"/>
  <c r="K37" i="17" s="1"/>
  <c r="G38" i="17"/>
  <c r="K50" i="25"/>
  <c r="M50" i="25" s="1"/>
  <c r="L49" i="25"/>
  <c r="I72" i="25"/>
  <c r="E72" i="25"/>
  <c r="D83" i="16"/>
  <c r="E83" i="16" s="1"/>
  <c r="B84" i="16"/>
  <c r="C83" i="16"/>
  <c r="D74" i="15"/>
  <c r="E74" i="15" s="1"/>
  <c r="C74" i="15"/>
  <c r="B75" i="15"/>
  <c r="G50" i="19" l="1"/>
  <c r="I49" i="19"/>
  <c r="H49" i="19"/>
  <c r="G48" i="18"/>
  <c r="I47" i="18"/>
  <c r="H47" i="18"/>
  <c r="I38" i="17"/>
  <c r="K38" i="17" s="1"/>
  <c r="G39" i="17"/>
  <c r="K51" i="25"/>
  <c r="M51" i="25" s="1"/>
  <c r="L50" i="25"/>
  <c r="E73" i="25"/>
  <c r="D84" i="16"/>
  <c r="E84" i="16" s="1"/>
  <c r="B85" i="16"/>
  <c r="C84" i="16"/>
  <c r="B76" i="15"/>
  <c r="D75" i="15"/>
  <c r="E75" i="15" s="1"/>
  <c r="C75" i="15"/>
  <c r="G51" i="19" l="1"/>
  <c r="I50" i="19"/>
  <c r="H50" i="19"/>
  <c r="G49" i="18"/>
  <c r="I48" i="18"/>
  <c r="H48" i="18"/>
  <c r="I39" i="17"/>
  <c r="K39" i="17" s="1"/>
  <c r="G40" i="17"/>
  <c r="K52" i="25"/>
  <c r="M52" i="25" s="1"/>
  <c r="L51" i="25"/>
  <c r="I73" i="25"/>
  <c r="I74" i="25"/>
  <c r="E74" i="25"/>
  <c r="D85" i="16"/>
  <c r="E85" i="16" s="1"/>
  <c r="C85" i="16"/>
  <c r="B86" i="16"/>
  <c r="D76" i="15"/>
  <c r="E76" i="15" s="1"/>
  <c r="C76" i="15"/>
  <c r="B77" i="15"/>
  <c r="G52" i="19" l="1"/>
  <c r="I51" i="19"/>
  <c r="H51" i="19"/>
  <c r="G50" i="18"/>
  <c r="I49" i="18"/>
  <c r="H49" i="18"/>
  <c r="I40" i="17"/>
  <c r="K40" i="17" s="1"/>
  <c r="G41" i="17"/>
  <c r="K53" i="25"/>
  <c r="M53" i="25" s="1"/>
  <c r="L52" i="25"/>
  <c r="E75" i="25"/>
  <c r="I75" i="25"/>
  <c r="C86" i="16"/>
  <c r="B87" i="16"/>
  <c r="D86" i="16"/>
  <c r="E86" i="16" s="1"/>
  <c r="B78" i="15"/>
  <c r="D77" i="15"/>
  <c r="E77" i="15" s="1"/>
  <c r="C77" i="15"/>
  <c r="B11" i="16"/>
  <c r="C11" i="16" s="1"/>
  <c r="F11" i="16" s="1"/>
  <c r="B12" i="16"/>
  <c r="C12" i="16" s="1"/>
  <c r="F12" i="16" s="1"/>
  <c r="B13" i="16"/>
  <c r="C13" i="16" s="1"/>
  <c r="F13" i="16" s="1"/>
  <c r="B14" i="16"/>
  <c r="C14" i="16" s="1"/>
  <c r="F14" i="16" s="1"/>
  <c r="B15" i="16"/>
  <c r="C15" i="16" s="1"/>
  <c r="F15" i="16" s="1"/>
  <c r="B16" i="16"/>
  <c r="C16" i="16" s="1"/>
  <c r="F16" i="16" s="1"/>
  <c r="B17" i="16"/>
  <c r="C17" i="16" s="1"/>
  <c r="F17" i="16" s="1"/>
  <c r="B18" i="16"/>
  <c r="C18" i="16" s="1"/>
  <c r="F18" i="16" s="1"/>
  <c r="B19" i="16"/>
  <c r="C19" i="16" s="1"/>
  <c r="F19" i="16" s="1"/>
  <c r="B20" i="16"/>
  <c r="C20" i="16" s="1"/>
  <c r="F20" i="16" s="1"/>
  <c r="B21" i="16"/>
  <c r="C21" i="16" s="1"/>
  <c r="F21" i="16" s="1"/>
  <c r="B22" i="16"/>
  <c r="C22" i="16" s="1"/>
  <c r="F22" i="16" s="1"/>
  <c r="B23" i="16"/>
  <c r="C23" i="16" s="1"/>
  <c r="F23" i="16" s="1"/>
  <c r="B24" i="16"/>
  <c r="C24" i="16" s="1"/>
  <c r="F24" i="16" s="1"/>
  <c r="B25" i="16"/>
  <c r="C25" i="16" s="1"/>
  <c r="F25" i="16" s="1"/>
  <c r="B26" i="16"/>
  <c r="C26" i="16" s="1"/>
  <c r="F26" i="16" s="1"/>
  <c r="B27" i="16"/>
  <c r="C27" i="16" s="1"/>
  <c r="F27" i="16" s="1"/>
  <c r="B28" i="16"/>
  <c r="C28" i="16" s="1"/>
  <c r="F28" i="16" s="1"/>
  <c r="B29" i="16"/>
  <c r="B10" i="16"/>
  <c r="D32" i="15"/>
  <c r="E32" i="15" s="1"/>
  <c r="C32" i="15"/>
  <c r="F32" i="15" s="1"/>
  <c r="D31" i="15"/>
  <c r="E31" i="15" s="1"/>
  <c r="C31" i="15"/>
  <c r="F31" i="15" s="1"/>
  <c r="C29" i="15"/>
  <c r="F29" i="15" s="1"/>
  <c r="D29" i="15"/>
  <c r="E29" i="15" s="1"/>
  <c r="D28" i="15"/>
  <c r="E28" i="15" s="1"/>
  <c r="C28" i="15"/>
  <c r="F28" i="15" s="1"/>
  <c r="D27" i="15"/>
  <c r="E27" i="15" s="1"/>
  <c r="C27" i="15"/>
  <c r="F27" i="15" s="1"/>
  <c r="C25" i="15"/>
  <c r="F25" i="15" s="1"/>
  <c r="D25" i="15"/>
  <c r="E25" i="15" s="1"/>
  <c r="D24" i="15"/>
  <c r="E24" i="15" s="1"/>
  <c r="C24" i="15"/>
  <c r="F24" i="15" s="1"/>
  <c r="D23" i="15"/>
  <c r="E23" i="15" s="1"/>
  <c r="C23" i="15"/>
  <c r="F23" i="15" s="1"/>
  <c r="C21" i="15"/>
  <c r="F21" i="15" s="1"/>
  <c r="D21" i="15"/>
  <c r="E21" i="15" s="1"/>
  <c r="D20" i="15"/>
  <c r="E20" i="15" s="1"/>
  <c r="C20" i="15"/>
  <c r="F20" i="15" s="1"/>
  <c r="D19" i="15"/>
  <c r="E19" i="15" s="1"/>
  <c r="C19" i="15"/>
  <c r="F19" i="15" s="1"/>
  <c r="C17" i="15"/>
  <c r="F17" i="15" s="1"/>
  <c r="D17" i="15"/>
  <c r="E17" i="15" s="1"/>
  <c r="D16" i="15"/>
  <c r="E16" i="15" s="1"/>
  <c r="C16" i="15"/>
  <c r="F16" i="15" s="1"/>
  <c r="G16" i="15" s="1"/>
  <c r="D15" i="15"/>
  <c r="E15" i="15" s="1"/>
  <c r="C15" i="15"/>
  <c r="F15" i="15" s="1"/>
  <c r="C13" i="15"/>
  <c r="F13" i="15" s="1"/>
  <c r="D13" i="15"/>
  <c r="E13" i="15" s="1"/>
  <c r="D12" i="15"/>
  <c r="E12" i="15" s="1"/>
  <c r="C12" i="15"/>
  <c r="F12" i="15" s="1"/>
  <c r="D11" i="15"/>
  <c r="E11" i="15" s="1"/>
  <c r="C11" i="15"/>
  <c r="F11" i="15" s="1"/>
  <c r="D10" i="15"/>
  <c r="E10" i="15" s="1"/>
  <c r="C10" i="15"/>
  <c r="F10" i="15" s="1"/>
  <c r="E40" i="12"/>
  <c r="E39" i="12"/>
  <c r="E38" i="12"/>
  <c r="E37" i="12"/>
  <c r="E35" i="12"/>
  <c r="E34" i="12"/>
  <c r="E33" i="12"/>
  <c r="E31" i="12"/>
  <c r="E30" i="12"/>
  <c r="E29" i="12"/>
  <c r="E27" i="12"/>
  <c r="E26" i="12"/>
  <c r="E25" i="12"/>
  <c r="E23" i="12"/>
  <c r="E22" i="12"/>
  <c r="E21" i="12"/>
  <c r="E19" i="12"/>
  <c r="E18" i="12"/>
  <c r="E17" i="12"/>
  <c r="E15" i="12"/>
  <c r="E14" i="12"/>
  <c r="E13" i="12"/>
  <c r="E11" i="12"/>
  <c r="J11" i="12" s="1"/>
  <c r="E10" i="12"/>
  <c r="J10" i="12" s="1"/>
  <c r="B43" i="10"/>
  <c r="B42" i="10"/>
  <c r="B41" i="10"/>
  <c r="B40" i="10"/>
  <c r="D40" i="10" s="1"/>
  <c r="B39" i="10"/>
  <c r="B38" i="10"/>
  <c r="B37" i="10"/>
  <c r="B36" i="10"/>
  <c r="D36" i="10" s="1"/>
  <c r="B35" i="10"/>
  <c r="B34" i="10"/>
  <c r="B33" i="10"/>
  <c r="B32" i="10"/>
  <c r="D32" i="10" s="1"/>
  <c r="B31" i="10"/>
  <c r="B30" i="10"/>
  <c r="B29" i="10"/>
  <c r="B28" i="10"/>
  <c r="D28" i="10" s="1"/>
  <c r="B27" i="10"/>
  <c r="B26" i="10"/>
  <c r="B25" i="10"/>
  <c r="B24" i="10"/>
  <c r="D24" i="10" s="1"/>
  <c r="B23" i="10"/>
  <c r="B22" i="10"/>
  <c r="B21" i="10"/>
  <c r="B20" i="10"/>
  <c r="D20" i="10" s="1"/>
  <c r="B19" i="10"/>
  <c r="B18" i="10"/>
  <c r="B17" i="10"/>
  <c r="B16" i="10"/>
  <c r="D16" i="10" s="1"/>
  <c r="B15" i="10"/>
  <c r="B14" i="10"/>
  <c r="B13" i="10"/>
  <c r="B12" i="10"/>
  <c r="D12" i="10" s="1"/>
  <c r="B11" i="10"/>
  <c r="B10" i="10"/>
  <c r="E9" i="10"/>
  <c r="B8" i="10"/>
  <c r="D8" i="10" s="1"/>
  <c r="G53" i="19" l="1"/>
  <c r="I52" i="19"/>
  <c r="H52" i="19"/>
  <c r="G51" i="18"/>
  <c r="I50" i="18"/>
  <c r="H50" i="18"/>
  <c r="I41" i="17"/>
  <c r="K41" i="17" s="1"/>
  <c r="G42" i="17"/>
  <c r="D15" i="16"/>
  <c r="E15" i="16" s="1"/>
  <c r="G10" i="15"/>
  <c r="H10" i="15" s="1"/>
  <c r="D14" i="16"/>
  <c r="E14" i="16" s="1"/>
  <c r="K54" i="25"/>
  <c r="M54" i="25" s="1"/>
  <c r="L53" i="25"/>
  <c r="D23" i="16"/>
  <c r="E23" i="16" s="1"/>
  <c r="D22" i="16"/>
  <c r="E22" i="16" s="1"/>
  <c r="D27" i="16"/>
  <c r="E27" i="16" s="1"/>
  <c r="D19" i="16"/>
  <c r="E19" i="16" s="1"/>
  <c r="D11" i="16"/>
  <c r="E11" i="16" s="1"/>
  <c r="D26" i="16"/>
  <c r="E26" i="16" s="1"/>
  <c r="D18" i="16"/>
  <c r="E18" i="16" s="1"/>
  <c r="D25" i="16"/>
  <c r="E25" i="16" s="1"/>
  <c r="D21" i="16"/>
  <c r="E21" i="16" s="1"/>
  <c r="D17" i="16"/>
  <c r="E17" i="16" s="1"/>
  <c r="D13" i="16"/>
  <c r="E13" i="16" s="1"/>
  <c r="D29" i="16"/>
  <c r="E29" i="16" s="1"/>
  <c r="C29" i="16"/>
  <c r="F29" i="16" s="1"/>
  <c r="C10" i="16"/>
  <c r="F10" i="16" s="1"/>
  <c r="G10" i="16" s="1"/>
  <c r="D10" i="16"/>
  <c r="E10" i="16" s="1"/>
  <c r="D28" i="16"/>
  <c r="E28" i="16" s="1"/>
  <c r="D24" i="16"/>
  <c r="E24" i="16" s="1"/>
  <c r="D20" i="16"/>
  <c r="E20" i="16" s="1"/>
  <c r="D16" i="16"/>
  <c r="E16" i="16" s="1"/>
  <c r="D12" i="16"/>
  <c r="E12" i="16" s="1"/>
  <c r="D11" i="10"/>
  <c r="E11" i="10" s="1"/>
  <c r="C19" i="10"/>
  <c r="F19" i="10" s="1"/>
  <c r="D19" i="10"/>
  <c r="E19" i="10" s="1"/>
  <c r="C26" i="10"/>
  <c r="F26" i="10" s="1"/>
  <c r="D26" i="10"/>
  <c r="E26" i="10" s="1"/>
  <c r="C30" i="10"/>
  <c r="F30" i="10" s="1"/>
  <c r="D30" i="10"/>
  <c r="E30" i="10" s="1"/>
  <c r="C34" i="10"/>
  <c r="F34" i="10" s="1"/>
  <c r="D34" i="10"/>
  <c r="E34" i="10" s="1"/>
  <c r="C38" i="10"/>
  <c r="F38" i="10" s="1"/>
  <c r="D38" i="10"/>
  <c r="E38" i="10" s="1"/>
  <c r="C42" i="10"/>
  <c r="F42" i="10" s="1"/>
  <c r="D42" i="10"/>
  <c r="E42" i="10" s="1"/>
  <c r="D27" i="10"/>
  <c r="E27" i="10" s="1"/>
  <c r="D35" i="10"/>
  <c r="E35" i="10" s="1"/>
  <c r="C43" i="10"/>
  <c r="F43" i="10" s="1"/>
  <c r="D43" i="10"/>
  <c r="E43" i="10" s="1"/>
  <c r="C10" i="10"/>
  <c r="F10" i="10" s="1"/>
  <c r="H10" i="10" s="1"/>
  <c r="D10" i="10"/>
  <c r="E10" i="10" s="1"/>
  <c r="D17" i="10"/>
  <c r="E17" i="10" s="1"/>
  <c r="D15" i="10"/>
  <c r="E15" i="10" s="1"/>
  <c r="C22" i="10"/>
  <c r="F22" i="10" s="1"/>
  <c r="D22" i="10"/>
  <c r="E22" i="10" s="1"/>
  <c r="D23" i="10"/>
  <c r="E23" i="10" s="1"/>
  <c r="C31" i="10"/>
  <c r="F31" i="10" s="1"/>
  <c r="D31" i="10"/>
  <c r="E31" i="10" s="1"/>
  <c r="D39" i="10"/>
  <c r="E39" i="10" s="1"/>
  <c r="D13" i="10"/>
  <c r="E13" i="10" s="1"/>
  <c r="C14" i="10"/>
  <c r="F14" i="10" s="1"/>
  <c r="D14" i="10"/>
  <c r="C18" i="10"/>
  <c r="F18" i="10" s="1"/>
  <c r="D18" i="10"/>
  <c r="E18" i="10" s="1"/>
  <c r="D21" i="10"/>
  <c r="E21" i="10" s="1"/>
  <c r="D25" i="10"/>
  <c r="E25" i="10" s="1"/>
  <c r="D29" i="10"/>
  <c r="E29" i="10" s="1"/>
  <c r="D33" i="10"/>
  <c r="E33" i="10" s="1"/>
  <c r="D37" i="10"/>
  <c r="E37" i="10" s="1"/>
  <c r="D41" i="10"/>
  <c r="E41" i="10" s="1"/>
  <c r="E76" i="25"/>
  <c r="I76" i="25"/>
  <c r="D87" i="16"/>
  <c r="E87" i="16" s="1"/>
  <c r="C87" i="16"/>
  <c r="B88" i="16"/>
  <c r="B79" i="15"/>
  <c r="C78" i="15"/>
  <c r="D78" i="15"/>
  <c r="E78" i="15" s="1"/>
  <c r="C39" i="10"/>
  <c r="F39" i="10" s="1"/>
  <c r="C15" i="10"/>
  <c r="F15" i="10" s="1"/>
  <c r="C13" i="10"/>
  <c r="F13" i="10" s="1"/>
  <c r="C23" i="10"/>
  <c r="F23" i="10" s="1"/>
  <c r="C27" i="10"/>
  <c r="F27" i="10" s="1"/>
  <c r="C11" i="10"/>
  <c r="F11" i="10" s="1"/>
  <c r="C35" i="10"/>
  <c r="F35" i="10" s="1"/>
  <c r="E14" i="10"/>
  <c r="C7" i="10"/>
  <c r="E24" i="10"/>
  <c r="C24" i="10"/>
  <c r="F24" i="10" s="1"/>
  <c r="E40" i="10"/>
  <c r="C40" i="10"/>
  <c r="F40" i="10" s="1"/>
  <c r="E20" i="10"/>
  <c r="C20" i="10"/>
  <c r="F20" i="10" s="1"/>
  <c r="E36" i="10"/>
  <c r="C36" i="10"/>
  <c r="F36" i="10" s="1"/>
  <c r="E28" i="10"/>
  <c r="C28" i="10"/>
  <c r="F28" i="10" s="1"/>
  <c r="E8" i="10"/>
  <c r="C8" i="10"/>
  <c r="E12" i="10"/>
  <c r="C12" i="10"/>
  <c r="F12" i="10" s="1"/>
  <c r="E16" i="10"/>
  <c r="C16" i="10"/>
  <c r="F16" i="10" s="1"/>
  <c r="E32" i="10"/>
  <c r="C32" i="10"/>
  <c r="F32" i="10" s="1"/>
  <c r="E32" i="12"/>
  <c r="E8" i="12"/>
  <c r="J8" i="12" s="1"/>
  <c r="E12" i="12"/>
  <c r="J12" i="12" s="1"/>
  <c r="E28" i="12"/>
  <c r="E16" i="12"/>
  <c r="C9" i="10"/>
  <c r="C17" i="10"/>
  <c r="F17" i="10" s="1"/>
  <c r="C21" i="10"/>
  <c r="F21" i="10" s="1"/>
  <c r="C25" i="10"/>
  <c r="F25" i="10" s="1"/>
  <c r="C29" i="10"/>
  <c r="F29" i="10" s="1"/>
  <c r="C33" i="10"/>
  <c r="F33" i="10" s="1"/>
  <c r="C37" i="10"/>
  <c r="F37" i="10" s="1"/>
  <c r="C41" i="10"/>
  <c r="F41" i="10" s="1"/>
  <c r="E24" i="12"/>
  <c r="E20" i="12"/>
  <c r="E36" i="12"/>
  <c r="E41" i="12"/>
  <c r="D26" i="15"/>
  <c r="E26" i="15" s="1"/>
  <c r="C26" i="15"/>
  <c r="F26" i="15" s="1"/>
  <c r="D22" i="15"/>
  <c r="E22" i="15" s="1"/>
  <c r="C22" i="15"/>
  <c r="F22" i="15" s="1"/>
  <c r="D18" i="15"/>
  <c r="E18" i="15" s="1"/>
  <c r="C18" i="15"/>
  <c r="F18" i="15" s="1"/>
  <c r="D14" i="15"/>
  <c r="E14" i="15" s="1"/>
  <c r="C14" i="15"/>
  <c r="F14" i="15" s="1"/>
  <c r="D30" i="15"/>
  <c r="E30" i="15" s="1"/>
  <c r="C30" i="15"/>
  <c r="F30" i="15" s="1"/>
  <c r="G54" i="19" l="1"/>
  <c r="I53" i="19"/>
  <c r="H53" i="19"/>
  <c r="I51" i="18"/>
  <c r="G52" i="18"/>
  <c r="H51" i="18"/>
  <c r="I42" i="17"/>
  <c r="K42" i="17" s="1"/>
  <c r="G43" i="17"/>
  <c r="I10" i="15"/>
  <c r="G15" i="15"/>
  <c r="G12" i="15"/>
  <c r="G11" i="15"/>
  <c r="H11" i="15" s="1"/>
  <c r="H10" i="16"/>
  <c r="I10" i="16" s="1"/>
  <c r="E4" i="16"/>
  <c r="E5" i="16" s="1"/>
  <c r="H7" i="10"/>
  <c r="F7" i="10" s="1"/>
  <c r="G7" i="10" s="1"/>
  <c r="H9" i="10"/>
  <c r="H8" i="10"/>
  <c r="H11" i="10"/>
  <c r="K55" i="25"/>
  <c r="M55" i="25" s="1"/>
  <c r="L54" i="25"/>
  <c r="G11" i="16"/>
  <c r="H11" i="16" s="1"/>
  <c r="I11" i="16" s="1"/>
  <c r="E77" i="25"/>
  <c r="I77" i="25"/>
  <c r="B89" i="16"/>
  <c r="C88" i="16"/>
  <c r="D88" i="16"/>
  <c r="E88" i="16" s="1"/>
  <c r="C79" i="15"/>
  <c r="D79" i="15"/>
  <c r="E79" i="15" s="1"/>
  <c r="B80" i="15"/>
  <c r="G55" i="19" l="1"/>
  <c r="I54" i="19"/>
  <c r="H54" i="19"/>
  <c r="I52" i="18"/>
  <c r="G53" i="18"/>
  <c r="H52" i="18"/>
  <c r="K10" i="16"/>
  <c r="J11" i="16"/>
  <c r="K11" i="16"/>
  <c r="K10" i="15"/>
  <c r="J10" i="15"/>
  <c r="I43" i="17"/>
  <c r="K43" i="17" s="1"/>
  <c r="G44" i="17"/>
  <c r="H12" i="15"/>
  <c r="H16" i="15"/>
  <c r="I11" i="15"/>
  <c r="K11" i="15" s="1"/>
  <c r="G11" i="10"/>
  <c r="G10" i="10"/>
  <c r="H12" i="10"/>
  <c r="F8" i="10"/>
  <c r="G8" i="10"/>
  <c r="F9" i="10"/>
  <c r="I7" i="10"/>
  <c r="K56" i="25"/>
  <c r="M56" i="25" s="1"/>
  <c r="L55" i="25"/>
  <c r="G12" i="16"/>
  <c r="H12" i="16" s="1"/>
  <c r="I12" i="16" s="1"/>
  <c r="E78" i="25"/>
  <c r="I78" i="25"/>
  <c r="C89" i="16"/>
  <c r="D89" i="16"/>
  <c r="E89" i="16" s="1"/>
  <c r="D80" i="15"/>
  <c r="E80" i="15" s="1"/>
  <c r="C80" i="15"/>
  <c r="B81" i="15"/>
  <c r="I55" i="19" l="1"/>
  <c r="G56" i="19"/>
  <c r="H55" i="19"/>
  <c r="I53" i="18"/>
  <c r="G54" i="18"/>
  <c r="H53" i="18"/>
  <c r="J12" i="16"/>
  <c r="K12" i="16"/>
  <c r="J7" i="10"/>
  <c r="K7" i="10"/>
  <c r="I44" i="17"/>
  <c r="K44" i="17" s="1"/>
  <c r="G45" i="17"/>
  <c r="J11" i="15"/>
  <c r="I12" i="15"/>
  <c r="K12" i="15" s="1"/>
  <c r="G12" i="10"/>
  <c r="I8" i="10"/>
  <c r="K8" i="10" s="1"/>
  <c r="K57" i="25"/>
  <c r="M57" i="25" s="1"/>
  <c r="L56" i="25"/>
  <c r="G13" i="16"/>
  <c r="H13" i="16" s="1"/>
  <c r="I13" i="16" s="1"/>
  <c r="E79" i="25"/>
  <c r="I79" i="25"/>
  <c r="C81" i="15"/>
  <c r="B82" i="15"/>
  <c r="D81" i="15"/>
  <c r="E81" i="15" s="1"/>
  <c r="I56" i="19" l="1"/>
  <c r="G57" i="19"/>
  <c r="H56" i="19"/>
  <c r="I54" i="18"/>
  <c r="G55" i="18"/>
  <c r="H54" i="18"/>
  <c r="J13" i="16"/>
  <c r="K13" i="16"/>
  <c r="I45" i="17"/>
  <c r="K45" i="17" s="1"/>
  <c r="G46" i="17"/>
  <c r="J12" i="15"/>
  <c r="J8" i="10"/>
  <c r="K58" i="25"/>
  <c r="M58" i="25" s="1"/>
  <c r="L57" i="25"/>
  <c r="G14" i="16"/>
  <c r="H14" i="16" s="1"/>
  <c r="I14" i="16" s="1"/>
  <c r="E80" i="25"/>
  <c r="I80" i="25"/>
  <c r="D82" i="15"/>
  <c r="E82" i="15" s="1"/>
  <c r="C82" i="15"/>
  <c r="B83" i="15"/>
  <c r="I57" i="19" l="1"/>
  <c r="G58" i="19"/>
  <c r="H57" i="19"/>
  <c r="I55" i="18"/>
  <c r="G56" i="18"/>
  <c r="H55" i="18"/>
  <c r="J14" i="16"/>
  <c r="K14" i="16"/>
  <c r="I46" i="17"/>
  <c r="K46" i="17" s="1"/>
  <c r="G47" i="17"/>
  <c r="K59" i="25"/>
  <c r="M59" i="25" s="1"/>
  <c r="L58" i="25"/>
  <c r="G15" i="16"/>
  <c r="H15" i="16" s="1"/>
  <c r="I15" i="16" s="1"/>
  <c r="K15" i="16" s="1"/>
  <c r="E81" i="25"/>
  <c r="I81" i="25"/>
  <c r="C83" i="15"/>
  <c r="D83" i="15"/>
  <c r="E83" i="15" s="1"/>
  <c r="B84" i="15"/>
  <c r="I58" i="19" l="1"/>
  <c r="G59" i="19"/>
  <c r="H58" i="19"/>
  <c r="I56" i="18"/>
  <c r="G57" i="18"/>
  <c r="H56" i="18"/>
  <c r="I47" i="17"/>
  <c r="K47" i="17" s="1"/>
  <c r="G48" i="17"/>
  <c r="J15" i="16"/>
  <c r="K60" i="25"/>
  <c r="M60" i="25" s="1"/>
  <c r="L59" i="25"/>
  <c r="G16" i="16"/>
  <c r="H16" i="16" s="1"/>
  <c r="I16" i="16" s="1"/>
  <c r="K16" i="16" s="1"/>
  <c r="E82" i="25"/>
  <c r="I82" i="25"/>
  <c r="B85" i="15"/>
  <c r="D84" i="15"/>
  <c r="E84" i="15" s="1"/>
  <c r="C84" i="15"/>
  <c r="I59" i="19" l="1"/>
  <c r="H59" i="19"/>
  <c r="G60" i="19"/>
  <c r="I57" i="18"/>
  <c r="H57" i="18"/>
  <c r="G58" i="18"/>
  <c r="I48" i="17"/>
  <c r="K48" i="17" s="1"/>
  <c r="G49" i="17"/>
  <c r="J16" i="16"/>
  <c r="K61" i="25"/>
  <c r="M61" i="25" s="1"/>
  <c r="L60" i="25"/>
  <c r="G17" i="16"/>
  <c r="H17" i="16" s="1"/>
  <c r="I17" i="16" s="1"/>
  <c r="K17" i="16" s="1"/>
  <c r="I83" i="25"/>
  <c r="E83" i="25"/>
  <c r="B86" i="15"/>
  <c r="C85" i="15"/>
  <c r="D85" i="15"/>
  <c r="E85" i="15" s="1"/>
  <c r="I60" i="19" l="1"/>
  <c r="G61" i="19"/>
  <c r="H60" i="19"/>
  <c r="I58" i="18"/>
  <c r="H58" i="18"/>
  <c r="G59" i="18"/>
  <c r="I49" i="17"/>
  <c r="K49" i="17" s="1"/>
  <c r="G50" i="17"/>
  <c r="J17" i="16"/>
  <c r="K62" i="25"/>
  <c r="M62" i="25" s="1"/>
  <c r="L61" i="25"/>
  <c r="G18" i="16"/>
  <c r="H18" i="16" s="1"/>
  <c r="I18" i="16" s="1"/>
  <c r="K18" i="16" s="1"/>
  <c r="E84" i="25"/>
  <c r="D86" i="15"/>
  <c r="E86" i="15" s="1"/>
  <c r="C86" i="15"/>
  <c r="B87" i="15"/>
  <c r="I61" i="19" l="1"/>
  <c r="G62" i="19"/>
  <c r="H61" i="19"/>
  <c r="I59" i="18"/>
  <c r="H59" i="18"/>
  <c r="G60" i="18"/>
  <c r="I50" i="17"/>
  <c r="K50" i="17" s="1"/>
  <c r="G51" i="17"/>
  <c r="J18" i="16"/>
  <c r="E85" i="25"/>
  <c r="K63" i="25"/>
  <c r="M63" i="25" s="1"/>
  <c r="L62" i="25"/>
  <c r="I84" i="25"/>
  <c r="G19" i="16"/>
  <c r="H19" i="16" s="1"/>
  <c r="I19" i="16" s="1"/>
  <c r="K19" i="16" s="1"/>
  <c r="C87" i="15"/>
  <c r="B88" i="15"/>
  <c r="D87" i="15"/>
  <c r="E87" i="15" s="1"/>
  <c r="I62" i="19" l="1"/>
  <c r="G63" i="19"/>
  <c r="H62" i="19"/>
  <c r="I60" i="18"/>
  <c r="H60" i="18"/>
  <c r="G61" i="18"/>
  <c r="E86" i="25"/>
  <c r="I51" i="17"/>
  <c r="K51" i="17" s="1"/>
  <c r="G52" i="17"/>
  <c r="J19" i="16"/>
  <c r="K64" i="25"/>
  <c r="M64" i="25" s="1"/>
  <c r="L63" i="25"/>
  <c r="E87" i="25"/>
  <c r="I85" i="25"/>
  <c r="G20" i="16"/>
  <c r="H20" i="16" s="1"/>
  <c r="I20" i="16" s="1"/>
  <c r="K20" i="16" s="1"/>
  <c r="D88" i="15"/>
  <c r="E88" i="15" s="1"/>
  <c r="C88" i="15"/>
  <c r="B89" i="15"/>
  <c r="I63" i="19" l="1"/>
  <c r="G64" i="19"/>
  <c r="H63" i="19"/>
  <c r="I61" i="18"/>
  <c r="G62" i="18"/>
  <c r="H61" i="18"/>
  <c r="I52" i="17"/>
  <c r="K52" i="17" s="1"/>
  <c r="G53" i="17"/>
  <c r="J20" i="16"/>
  <c r="K65" i="25"/>
  <c r="M65" i="25" s="1"/>
  <c r="L64" i="25"/>
  <c r="I86" i="25"/>
  <c r="G21" i="16"/>
  <c r="H21" i="16" s="1"/>
  <c r="I21" i="16" s="1"/>
  <c r="K21" i="16" s="1"/>
  <c r="C89" i="15"/>
  <c r="D89" i="15"/>
  <c r="E89" i="15" s="1"/>
  <c r="I64" i="19" l="1"/>
  <c r="G65" i="19"/>
  <c r="H64" i="19"/>
  <c r="I62" i="18"/>
  <c r="H62" i="18"/>
  <c r="G63" i="18"/>
  <c r="I53" i="17"/>
  <c r="K53" i="17" s="1"/>
  <c r="G54" i="17"/>
  <c r="J21" i="16"/>
  <c r="K66" i="25"/>
  <c r="M66" i="25" s="1"/>
  <c r="L65" i="25"/>
  <c r="I87" i="25"/>
  <c r="G22" i="16"/>
  <c r="H22" i="16" s="1"/>
  <c r="I22" i="16" s="1"/>
  <c r="K22" i="16" s="1"/>
  <c r="I65" i="19" l="1"/>
  <c r="G66" i="19"/>
  <c r="H65" i="19"/>
  <c r="I63" i="18"/>
  <c r="H63" i="18"/>
  <c r="G64" i="18"/>
  <c r="I54" i="17"/>
  <c r="K54" i="17" s="1"/>
  <c r="G55" i="17"/>
  <c r="J22" i="16"/>
  <c r="K67" i="25"/>
  <c r="M67" i="25" s="1"/>
  <c r="L66" i="25"/>
  <c r="G23" i="16"/>
  <c r="H23" i="16" s="1"/>
  <c r="I23" i="16" s="1"/>
  <c r="K23" i="16" s="1"/>
  <c r="I66" i="19" l="1"/>
  <c r="G67" i="19"/>
  <c r="H66" i="19"/>
  <c r="I64" i="18"/>
  <c r="H64" i="18"/>
  <c r="G65" i="18"/>
  <c r="I55" i="17"/>
  <c r="K55" i="17" s="1"/>
  <c r="G56" i="17"/>
  <c r="J23" i="16"/>
  <c r="K68" i="25"/>
  <c r="M68" i="25" s="1"/>
  <c r="L67" i="25"/>
  <c r="G24" i="16"/>
  <c r="H24" i="16" s="1"/>
  <c r="I24" i="16" s="1"/>
  <c r="K24" i="16" s="1"/>
  <c r="I67" i="19" l="1"/>
  <c r="G68" i="19"/>
  <c r="H67" i="19"/>
  <c r="I65" i="18"/>
  <c r="H65" i="18"/>
  <c r="G66" i="18"/>
  <c r="I56" i="17"/>
  <c r="K56" i="17" s="1"/>
  <c r="G57" i="17"/>
  <c r="J24" i="16"/>
  <c r="K69" i="25"/>
  <c r="M69" i="25" s="1"/>
  <c r="L68" i="25"/>
  <c r="G25" i="16"/>
  <c r="H25" i="16" s="1"/>
  <c r="I25" i="16" s="1"/>
  <c r="K25" i="16" s="1"/>
  <c r="I68" i="19" l="1"/>
  <c r="G69" i="19"/>
  <c r="H68" i="19"/>
  <c r="I66" i="18"/>
  <c r="H66" i="18"/>
  <c r="G67" i="18"/>
  <c r="I57" i="17"/>
  <c r="K57" i="17" s="1"/>
  <c r="G58" i="17"/>
  <c r="J25" i="16"/>
  <c r="K70" i="25"/>
  <c r="M70" i="25" s="1"/>
  <c r="L69" i="25"/>
  <c r="G26" i="16"/>
  <c r="H26" i="16" s="1"/>
  <c r="I26" i="16" s="1"/>
  <c r="K26" i="16" s="1"/>
  <c r="I69" i="19" l="1"/>
  <c r="G70" i="19"/>
  <c r="H69" i="19"/>
  <c r="I67" i="18"/>
  <c r="H67" i="18"/>
  <c r="G68" i="18"/>
  <c r="I58" i="17"/>
  <c r="K58" i="17" s="1"/>
  <c r="G59" i="17"/>
  <c r="J26" i="16"/>
  <c r="K71" i="25"/>
  <c r="M71" i="25" s="1"/>
  <c r="L70" i="25"/>
  <c r="G27" i="16"/>
  <c r="H27" i="16" s="1"/>
  <c r="I27" i="16" s="1"/>
  <c r="K27" i="16" s="1"/>
  <c r="I70" i="19" l="1"/>
  <c r="G71" i="19"/>
  <c r="H70" i="19"/>
  <c r="I68" i="18"/>
  <c r="H68" i="18"/>
  <c r="G69" i="18"/>
  <c r="I59" i="17"/>
  <c r="K59" i="17" s="1"/>
  <c r="G60" i="17"/>
  <c r="J27" i="16"/>
  <c r="K72" i="25"/>
  <c r="M72" i="25" s="1"/>
  <c r="L71" i="25"/>
  <c r="G28" i="16"/>
  <c r="H28" i="16" s="1"/>
  <c r="I28" i="16" s="1"/>
  <c r="K28" i="16" s="1"/>
  <c r="I71" i="19" l="1"/>
  <c r="G72" i="19"/>
  <c r="H71" i="19"/>
  <c r="I69" i="18"/>
  <c r="H69" i="18"/>
  <c r="G70" i="18"/>
  <c r="I60" i="17"/>
  <c r="K60" i="17" s="1"/>
  <c r="G61" i="17"/>
  <c r="J28" i="16"/>
  <c r="K73" i="25"/>
  <c r="M73" i="25" s="1"/>
  <c r="L72" i="25"/>
  <c r="G29" i="16"/>
  <c r="H29" i="16" s="1"/>
  <c r="I29" i="16" s="1"/>
  <c r="K29" i="16" s="1"/>
  <c r="I72" i="19" l="1"/>
  <c r="G73" i="19"/>
  <c r="H72" i="19"/>
  <c r="I70" i="18"/>
  <c r="H70" i="18"/>
  <c r="G71" i="18"/>
  <c r="I61" i="17"/>
  <c r="K61" i="17" s="1"/>
  <c r="G62" i="17"/>
  <c r="J29" i="16"/>
  <c r="K74" i="25"/>
  <c r="M74" i="25" s="1"/>
  <c r="L73" i="25"/>
  <c r="G30" i="16"/>
  <c r="H30" i="16" s="1"/>
  <c r="I30" i="16" s="1"/>
  <c r="K30" i="16" s="1"/>
  <c r="I73" i="19" l="1"/>
  <c r="G74" i="19"/>
  <c r="H73" i="19"/>
  <c r="I71" i="18"/>
  <c r="H71" i="18"/>
  <c r="G72" i="18"/>
  <c r="I62" i="17"/>
  <c r="K62" i="17" s="1"/>
  <c r="G63" i="17"/>
  <c r="J30" i="16"/>
  <c r="K75" i="25"/>
  <c r="M75" i="25" s="1"/>
  <c r="L74" i="25"/>
  <c r="G31" i="16"/>
  <c r="H31" i="16" s="1"/>
  <c r="I31" i="16" s="1"/>
  <c r="K31" i="16" s="1"/>
  <c r="I74" i="19" l="1"/>
  <c r="G75" i="19"/>
  <c r="H74" i="19"/>
  <c r="I72" i="18"/>
  <c r="H72" i="18"/>
  <c r="G73" i="18"/>
  <c r="I63" i="17"/>
  <c r="K63" i="17" s="1"/>
  <c r="G64" i="17"/>
  <c r="J31" i="16"/>
  <c r="K76" i="25"/>
  <c r="M76" i="25" s="1"/>
  <c r="L75" i="25"/>
  <c r="G32" i="16"/>
  <c r="H32" i="16" s="1"/>
  <c r="I32" i="16" s="1"/>
  <c r="K32" i="16" s="1"/>
  <c r="I75" i="19" l="1"/>
  <c r="G76" i="19"/>
  <c r="H75" i="19"/>
  <c r="I73" i="18"/>
  <c r="H73" i="18"/>
  <c r="G74" i="18"/>
  <c r="I64" i="17"/>
  <c r="K64" i="17" s="1"/>
  <c r="G65" i="17"/>
  <c r="J32" i="16"/>
  <c r="K77" i="25"/>
  <c r="M77" i="25" s="1"/>
  <c r="L76" i="25"/>
  <c r="G33" i="16"/>
  <c r="H33" i="16" s="1"/>
  <c r="I33" i="16" s="1"/>
  <c r="K33" i="16" s="1"/>
  <c r="I76" i="19" l="1"/>
  <c r="G77" i="19"/>
  <c r="H76" i="19"/>
  <c r="I74" i="18"/>
  <c r="H74" i="18"/>
  <c r="G75" i="18"/>
  <c r="I65" i="17"/>
  <c r="K65" i="17" s="1"/>
  <c r="G66" i="17"/>
  <c r="J33" i="16"/>
  <c r="K78" i="25"/>
  <c r="M78" i="25" s="1"/>
  <c r="L77" i="25"/>
  <c r="G34" i="16"/>
  <c r="H34" i="16" s="1"/>
  <c r="I34" i="16" s="1"/>
  <c r="K34" i="16" s="1"/>
  <c r="I77" i="19" l="1"/>
  <c r="G78" i="19"/>
  <c r="H77" i="19"/>
  <c r="I75" i="18"/>
  <c r="H75" i="18"/>
  <c r="G76" i="18"/>
  <c r="I66" i="17"/>
  <c r="K66" i="17" s="1"/>
  <c r="G67" i="17"/>
  <c r="J34" i="16"/>
  <c r="K79" i="25"/>
  <c r="M79" i="25" s="1"/>
  <c r="L78" i="25"/>
  <c r="G35" i="16"/>
  <c r="H35" i="16" s="1"/>
  <c r="I35" i="16" s="1"/>
  <c r="K35" i="16" s="1"/>
  <c r="I78" i="19" l="1"/>
  <c r="G79" i="19"/>
  <c r="H78" i="19"/>
  <c r="I76" i="18"/>
  <c r="H76" i="18"/>
  <c r="G77" i="18"/>
  <c r="I67" i="17"/>
  <c r="K67" i="17" s="1"/>
  <c r="G68" i="17"/>
  <c r="J35" i="16"/>
  <c r="K80" i="25"/>
  <c r="M80" i="25" s="1"/>
  <c r="L79" i="25"/>
  <c r="G36" i="16"/>
  <c r="H36" i="16" s="1"/>
  <c r="I36" i="16" s="1"/>
  <c r="K36" i="16" s="1"/>
  <c r="I79" i="19" l="1"/>
  <c r="G80" i="19"/>
  <c r="H79" i="19"/>
  <c r="I77" i="18"/>
  <c r="H77" i="18"/>
  <c r="G78" i="18"/>
  <c r="I68" i="17"/>
  <c r="K68" i="17" s="1"/>
  <c r="G69" i="17"/>
  <c r="J36" i="16"/>
  <c r="K81" i="25"/>
  <c r="M81" i="25" s="1"/>
  <c r="L80" i="25"/>
  <c r="G37" i="16"/>
  <c r="H37" i="16" s="1"/>
  <c r="I37" i="16" s="1"/>
  <c r="K37" i="16" s="1"/>
  <c r="I80" i="19" l="1"/>
  <c r="G81" i="19"/>
  <c r="H80" i="19"/>
  <c r="I78" i="18"/>
  <c r="H78" i="18"/>
  <c r="G79" i="18"/>
  <c r="I69" i="17"/>
  <c r="K69" i="17" s="1"/>
  <c r="G70" i="17"/>
  <c r="J37" i="16"/>
  <c r="K82" i="25"/>
  <c r="M82" i="25" s="1"/>
  <c r="L81" i="25"/>
  <c r="G38" i="16"/>
  <c r="H38" i="16" s="1"/>
  <c r="I38" i="16" s="1"/>
  <c r="K38" i="16" s="1"/>
  <c r="I81" i="19" l="1"/>
  <c r="G82" i="19"/>
  <c r="H81" i="19"/>
  <c r="I79" i="18"/>
  <c r="H79" i="18"/>
  <c r="G80" i="18"/>
  <c r="I70" i="17"/>
  <c r="K70" i="17" s="1"/>
  <c r="G71" i="17"/>
  <c r="J38" i="16"/>
  <c r="K83" i="25"/>
  <c r="M83" i="25" s="1"/>
  <c r="L82" i="25"/>
  <c r="G39" i="16"/>
  <c r="H39" i="16" s="1"/>
  <c r="I39" i="16" s="1"/>
  <c r="K39" i="16" s="1"/>
  <c r="I82" i="19" l="1"/>
  <c r="G83" i="19"/>
  <c r="H82" i="19"/>
  <c r="I80" i="18"/>
  <c r="H80" i="18"/>
  <c r="G81" i="18"/>
  <c r="I71" i="17"/>
  <c r="K71" i="17" s="1"/>
  <c r="G72" i="17"/>
  <c r="J39" i="16"/>
  <c r="K84" i="25"/>
  <c r="M84" i="25" s="1"/>
  <c r="L83" i="25"/>
  <c r="G40" i="16"/>
  <c r="H40" i="16" s="1"/>
  <c r="I40" i="16" s="1"/>
  <c r="K40" i="16" s="1"/>
  <c r="I83" i="19" l="1"/>
  <c r="G84" i="19"/>
  <c r="H83" i="19"/>
  <c r="I81" i="18"/>
  <c r="H81" i="18"/>
  <c r="G82" i="18"/>
  <c r="I72" i="17"/>
  <c r="K72" i="17" s="1"/>
  <c r="G73" i="17"/>
  <c r="J40" i="16"/>
  <c r="K85" i="25"/>
  <c r="M85" i="25" s="1"/>
  <c r="L84" i="25"/>
  <c r="G41" i="16"/>
  <c r="H41" i="16" s="1"/>
  <c r="I41" i="16" s="1"/>
  <c r="K41" i="16" s="1"/>
  <c r="H84" i="19" l="1"/>
  <c r="I84" i="19"/>
  <c r="I82" i="18"/>
  <c r="H82" i="18"/>
  <c r="G83" i="18"/>
  <c r="I73" i="17"/>
  <c r="K73" i="17" s="1"/>
  <c r="G74" i="17"/>
  <c r="J41" i="16"/>
  <c r="K86" i="25"/>
  <c r="M86" i="25" s="1"/>
  <c r="L85" i="25"/>
  <c r="G42" i="16"/>
  <c r="H42" i="16" s="1"/>
  <c r="I42" i="16" s="1"/>
  <c r="K42" i="16" s="1"/>
  <c r="I83" i="18" l="1"/>
  <c r="H83" i="18"/>
  <c r="G84" i="18"/>
  <c r="I74" i="17"/>
  <c r="K74" i="17" s="1"/>
  <c r="G75" i="17"/>
  <c r="J42" i="16"/>
  <c r="K87" i="25"/>
  <c r="L86" i="25"/>
  <c r="G43" i="16"/>
  <c r="I84" i="18" l="1"/>
  <c r="H84" i="18"/>
  <c r="G85" i="18"/>
  <c r="L87" i="25"/>
  <c r="M87" i="25"/>
  <c r="I75" i="17"/>
  <c r="K75" i="17" s="1"/>
  <c r="G76" i="17"/>
  <c r="G44" i="16"/>
  <c r="H43" i="16"/>
  <c r="I43" i="16" s="1"/>
  <c r="K43" i="16" s="1"/>
  <c r="I85" i="18" l="1"/>
  <c r="H85" i="18"/>
  <c r="G86" i="18"/>
  <c r="I76" i="17"/>
  <c r="K76" i="17" s="1"/>
  <c r="G77" i="17"/>
  <c r="J43" i="16"/>
  <c r="H44" i="16"/>
  <c r="H45" i="16" s="1"/>
  <c r="G45" i="16"/>
  <c r="F45" i="16" s="1"/>
  <c r="I86" i="18" l="1"/>
  <c r="H86" i="18"/>
  <c r="G87" i="18"/>
  <c r="I77" i="17"/>
  <c r="K77" i="17" s="1"/>
  <c r="G78" i="17"/>
  <c r="H46" i="16"/>
  <c r="H47" i="16" s="1"/>
  <c r="H48" i="16" s="1"/>
  <c r="H49" i="16" s="1"/>
  <c r="H50" i="16" s="1"/>
  <c r="H51" i="16" s="1"/>
  <c r="H52" i="16" s="1"/>
  <c r="H53" i="16" s="1"/>
  <c r="H54" i="16" s="1"/>
  <c r="H55" i="16" s="1"/>
  <c r="I44" i="16"/>
  <c r="G46" i="16"/>
  <c r="I87" i="18" l="1"/>
  <c r="H87" i="18"/>
  <c r="G88" i="18"/>
  <c r="J44" i="16"/>
  <c r="K44" i="16"/>
  <c r="I78" i="17"/>
  <c r="K78" i="17" s="1"/>
  <c r="G79" i="17"/>
  <c r="I45" i="16"/>
  <c r="K45" i="16" s="1"/>
  <c r="H56" i="16"/>
  <c r="H57" i="16" s="1"/>
  <c r="H58" i="16" s="1"/>
  <c r="H59" i="16" s="1"/>
  <c r="H60" i="16" s="1"/>
  <c r="H61" i="16" s="1"/>
  <c r="H62" i="16" s="1"/>
  <c r="H63" i="16" s="1"/>
  <c r="H64" i="16" s="1"/>
  <c r="H65" i="16" s="1"/>
  <c r="H66" i="16" s="1"/>
  <c r="H67" i="16" s="1"/>
  <c r="H68" i="16" s="1"/>
  <c r="F46" i="16"/>
  <c r="G47" i="16"/>
  <c r="I88" i="18" l="1"/>
  <c r="H88" i="18"/>
  <c r="G89" i="18"/>
  <c r="I79" i="17"/>
  <c r="K79" i="17" s="1"/>
  <c r="G80" i="17"/>
  <c r="I46" i="16"/>
  <c r="K46" i="16" s="1"/>
  <c r="J45" i="16"/>
  <c r="F47" i="16"/>
  <c r="G48" i="16"/>
  <c r="I89" i="18" l="1"/>
  <c r="H89" i="18"/>
  <c r="G90" i="18"/>
  <c r="I80" i="17"/>
  <c r="K80" i="17" s="1"/>
  <c r="G81" i="17"/>
  <c r="I47" i="16"/>
  <c r="K47" i="16" s="1"/>
  <c r="J46" i="16"/>
  <c r="F48" i="16"/>
  <c r="G49" i="16"/>
  <c r="I90" i="18" l="1"/>
  <c r="H90" i="18"/>
  <c r="G91" i="18"/>
  <c r="I81" i="17"/>
  <c r="K81" i="17" s="1"/>
  <c r="G82" i="17"/>
  <c r="I48" i="16"/>
  <c r="K48" i="16" s="1"/>
  <c r="J47" i="16"/>
  <c r="G50" i="16"/>
  <c r="F49" i="16"/>
  <c r="I91" i="18" l="1"/>
  <c r="G92" i="18"/>
  <c r="H91" i="18"/>
  <c r="I82" i="17"/>
  <c r="K82" i="17" s="1"/>
  <c r="G83" i="17"/>
  <c r="I49" i="16"/>
  <c r="K49" i="16" s="1"/>
  <c r="J48" i="16"/>
  <c r="F50" i="16"/>
  <c r="G51" i="16"/>
  <c r="I92" i="18" l="1"/>
  <c r="H92" i="18"/>
  <c r="G93" i="18"/>
  <c r="I83" i="17"/>
  <c r="K83" i="17" s="1"/>
  <c r="G84" i="17"/>
  <c r="I50" i="16"/>
  <c r="K50" i="16" s="1"/>
  <c r="J49" i="16"/>
  <c r="F51" i="16"/>
  <c r="G52" i="16"/>
  <c r="I93" i="18" l="1"/>
  <c r="G94" i="18"/>
  <c r="H93" i="18"/>
  <c r="I84" i="17"/>
  <c r="K84" i="17" s="1"/>
  <c r="G85" i="17"/>
  <c r="I51" i="16"/>
  <c r="K51" i="16" s="1"/>
  <c r="J50" i="16"/>
  <c r="F52" i="16"/>
  <c r="G53" i="16"/>
  <c r="I94" i="18" l="1"/>
  <c r="G95" i="18"/>
  <c r="H94" i="18"/>
  <c r="I85" i="17"/>
  <c r="K85" i="17" s="1"/>
  <c r="G86" i="17"/>
  <c r="I52" i="16"/>
  <c r="K52" i="16" s="1"/>
  <c r="J51" i="16"/>
  <c r="G54" i="16"/>
  <c r="F53" i="16"/>
  <c r="I95" i="18" l="1"/>
  <c r="H95" i="18"/>
  <c r="G96" i="18"/>
  <c r="I86" i="17"/>
  <c r="K86" i="17" s="1"/>
  <c r="G87" i="17"/>
  <c r="I53" i="16"/>
  <c r="K53" i="16" s="1"/>
  <c r="J52" i="16"/>
  <c r="G55" i="16"/>
  <c r="F54" i="16"/>
  <c r="I96" i="18" l="1"/>
  <c r="H96" i="18"/>
  <c r="G97" i="18"/>
  <c r="I87" i="17"/>
  <c r="K87" i="17" s="1"/>
  <c r="G88" i="17"/>
  <c r="I54" i="16"/>
  <c r="K54" i="16" s="1"/>
  <c r="J53" i="16"/>
  <c r="G56" i="16"/>
  <c r="F55" i="16"/>
  <c r="I97" i="18" l="1"/>
  <c r="H97" i="18"/>
  <c r="G98" i="18"/>
  <c r="I88" i="17"/>
  <c r="K88" i="17" s="1"/>
  <c r="G89" i="17"/>
  <c r="J54" i="16"/>
  <c r="I55" i="16"/>
  <c r="K55" i="16" s="1"/>
  <c r="F56" i="16"/>
  <c r="G57" i="16"/>
  <c r="I98" i="18" l="1"/>
  <c r="G99" i="18"/>
  <c r="H98" i="18"/>
  <c r="I89" i="17"/>
  <c r="K89" i="17" s="1"/>
  <c r="G90" i="17"/>
  <c r="I56" i="16"/>
  <c r="K56" i="16" s="1"/>
  <c r="J55" i="16"/>
  <c r="F57" i="16"/>
  <c r="G58" i="16"/>
  <c r="I99" i="18" l="1"/>
  <c r="G100" i="18"/>
  <c r="H99" i="18"/>
  <c r="I90" i="17"/>
  <c r="K90" i="17" s="1"/>
  <c r="G91" i="17"/>
  <c r="I57" i="16"/>
  <c r="K57" i="16" s="1"/>
  <c r="J56" i="16"/>
  <c r="G59" i="16"/>
  <c r="F58" i="16"/>
  <c r="I100" i="18" l="1"/>
  <c r="G101" i="18"/>
  <c r="H100" i="18"/>
  <c r="I91" i="17"/>
  <c r="K91" i="17" s="1"/>
  <c r="G92" i="17"/>
  <c r="I58" i="16"/>
  <c r="K58" i="16" s="1"/>
  <c r="J57" i="16"/>
  <c r="G60" i="16"/>
  <c r="F59" i="16"/>
  <c r="I101" i="18" l="1"/>
  <c r="G102" i="18"/>
  <c r="H101" i="18"/>
  <c r="I92" i="17"/>
  <c r="K92" i="17" s="1"/>
  <c r="G93" i="17"/>
  <c r="I59" i="16"/>
  <c r="K59" i="16" s="1"/>
  <c r="J58" i="16"/>
  <c r="F60" i="16"/>
  <c r="G61" i="16"/>
  <c r="I102" i="18" l="1"/>
  <c r="G103" i="18"/>
  <c r="H102" i="18"/>
  <c r="I93" i="17"/>
  <c r="K93" i="17" s="1"/>
  <c r="G94" i="17"/>
  <c r="I60" i="16"/>
  <c r="K60" i="16" s="1"/>
  <c r="J59" i="16"/>
  <c r="F61" i="16"/>
  <c r="G62" i="16"/>
  <c r="I103" i="18" l="1"/>
  <c r="H103" i="18"/>
  <c r="G104" i="18"/>
  <c r="I94" i="17"/>
  <c r="K94" i="17" s="1"/>
  <c r="G95" i="17"/>
  <c r="I61" i="16"/>
  <c r="K61" i="16" s="1"/>
  <c r="J60" i="16"/>
  <c r="G63" i="16"/>
  <c r="F62" i="16"/>
  <c r="I104" i="18" l="1"/>
  <c r="G105" i="18"/>
  <c r="H104" i="18"/>
  <c r="I95" i="17"/>
  <c r="K95" i="17" s="1"/>
  <c r="G96" i="17"/>
  <c r="I62" i="16"/>
  <c r="K62" i="16" s="1"/>
  <c r="J61" i="16"/>
  <c r="G64" i="16"/>
  <c r="F63" i="16"/>
  <c r="H105" i="18" l="1"/>
  <c r="I105" i="18"/>
  <c r="I96" i="17"/>
  <c r="K96" i="17" s="1"/>
  <c r="G97" i="17"/>
  <c r="I63" i="16"/>
  <c r="K63" i="16" s="1"/>
  <c r="J62" i="16"/>
  <c r="G65" i="16"/>
  <c r="F64" i="16"/>
  <c r="I97" i="17" l="1"/>
  <c r="K97" i="17" s="1"/>
  <c r="G98" i="17"/>
  <c r="I64" i="16"/>
  <c r="K64" i="16" s="1"/>
  <c r="J63" i="16"/>
  <c r="F65" i="16"/>
  <c r="G66" i="16"/>
  <c r="I98" i="17" l="1"/>
  <c r="K98" i="17" s="1"/>
  <c r="G99" i="17"/>
  <c r="I65" i="16"/>
  <c r="K65" i="16" s="1"/>
  <c r="J64" i="16"/>
  <c r="G67" i="16"/>
  <c r="F66" i="16"/>
  <c r="I99" i="17" l="1"/>
  <c r="K99" i="17" s="1"/>
  <c r="G100" i="17"/>
  <c r="I66" i="16"/>
  <c r="K66" i="16" s="1"/>
  <c r="J65" i="16"/>
  <c r="G68" i="16"/>
  <c r="F67" i="16"/>
  <c r="I100" i="17" l="1"/>
  <c r="K100" i="17" s="1"/>
  <c r="G101" i="17"/>
  <c r="I67" i="16"/>
  <c r="K67" i="16" s="1"/>
  <c r="J66" i="16"/>
  <c r="G69" i="16"/>
  <c r="F68" i="16"/>
  <c r="I101" i="17" l="1"/>
  <c r="K101" i="17" s="1"/>
  <c r="G102" i="17"/>
  <c r="I68" i="16"/>
  <c r="K68" i="16" s="1"/>
  <c r="J67" i="16"/>
  <c r="G70" i="16"/>
  <c r="F69" i="16"/>
  <c r="I102" i="17" l="1"/>
  <c r="K102" i="17" s="1"/>
  <c r="G103" i="17"/>
  <c r="I69" i="16"/>
  <c r="K69" i="16" s="1"/>
  <c r="J68" i="16"/>
  <c r="G71" i="16"/>
  <c r="F70" i="16"/>
  <c r="I103" i="17" l="1"/>
  <c r="K103" i="17" s="1"/>
  <c r="G104" i="17"/>
  <c r="I70" i="16"/>
  <c r="K70" i="16" s="1"/>
  <c r="J69" i="16"/>
  <c r="G72" i="16"/>
  <c r="F71" i="16"/>
  <c r="I104" i="17" l="1"/>
  <c r="K104" i="17" s="1"/>
  <c r="G105" i="17"/>
  <c r="I105" i="17" s="1"/>
  <c r="K105" i="17" s="1"/>
  <c r="I71" i="16"/>
  <c r="K71" i="16" s="1"/>
  <c r="J70" i="16"/>
  <c r="G73" i="16"/>
  <c r="F72" i="16"/>
  <c r="I72" i="16" l="1"/>
  <c r="K72" i="16" s="1"/>
  <c r="J71" i="16"/>
  <c r="G74" i="16"/>
  <c r="F73" i="16"/>
  <c r="I73" i="16" l="1"/>
  <c r="K73" i="16" s="1"/>
  <c r="J72" i="16"/>
  <c r="G75" i="16"/>
  <c r="F74" i="16"/>
  <c r="I74" i="16" l="1"/>
  <c r="K74" i="16" s="1"/>
  <c r="J73" i="16"/>
  <c r="G76" i="16"/>
  <c r="F75" i="16"/>
  <c r="I75" i="16" l="1"/>
  <c r="K75" i="16" s="1"/>
  <c r="J74" i="16"/>
  <c r="G77" i="16"/>
  <c r="F76" i="16"/>
  <c r="I76" i="16" l="1"/>
  <c r="K76" i="16" s="1"/>
  <c r="J75" i="16"/>
  <c r="G78" i="16"/>
  <c r="F77" i="16"/>
  <c r="I77" i="16" l="1"/>
  <c r="K77" i="16" s="1"/>
  <c r="J76" i="16"/>
  <c r="G79" i="16"/>
  <c r="F78" i="16"/>
  <c r="I78" i="16" l="1"/>
  <c r="K78" i="16" s="1"/>
  <c r="J77" i="16"/>
  <c r="G80" i="16"/>
  <c r="F79" i="16"/>
  <c r="I79" i="16" l="1"/>
  <c r="K79" i="16" s="1"/>
  <c r="J78" i="16"/>
  <c r="G81" i="16"/>
  <c r="F80" i="16"/>
  <c r="I80" i="16" l="1"/>
  <c r="K80" i="16" s="1"/>
  <c r="J79" i="16"/>
  <c r="G82" i="16"/>
  <c r="F81" i="16"/>
  <c r="I81" i="16" l="1"/>
  <c r="K81" i="16" s="1"/>
  <c r="J80" i="16"/>
  <c r="G83" i="16"/>
  <c r="F82" i="16"/>
  <c r="I82" i="16" l="1"/>
  <c r="K82" i="16" s="1"/>
  <c r="J81" i="16"/>
  <c r="G84" i="16"/>
  <c r="F83" i="16"/>
  <c r="I83" i="16" l="1"/>
  <c r="K83" i="16" s="1"/>
  <c r="J82" i="16"/>
  <c r="G85" i="16"/>
  <c r="F84" i="16"/>
  <c r="I84" i="16" l="1"/>
  <c r="K84" i="16" s="1"/>
  <c r="J83" i="16"/>
  <c r="G86" i="16"/>
  <c r="F85" i="16"/>
  <c r="I85" i="16" l="1"/>
  <c r="K85" i="16" s="1"/>
  <c r="J84" i="16"/>
  <c r="F86" i="16"/>
  <c r="G87" i="16"/>
  <c r="I86" i="16" l="1"/>
  <c r="K86" i="16" s="1"/>
  <c r="J85" i="16"/>
  <c r="F87" i="16"/>
  <c r="G88" i="16"/>
  <c r="I87" i="16" l="1"/>
  <c r="K87" i="16" s="1"/>
  <c r="J86" i="16"/>
  <c r="G89" i="16"/>
  <c r="F88" i="16"/>
  <c r="I88" i="16" l="1"/>
  <c r="K88" i="16" s="1"/>
  <c r="J87" i="16"/>
  <c r="F89" i="16"/>
  <c r="I89" i="16" l="1"/>
  <c r="J88" i="16"/>
  <c r="G9" i="10"/>
  <c r="I9" i="10" s="1"/>
  <c r="K9" i="10" s="1"/>
  <c r="J89" i="16" l="1"/>
  <c r="K89" i="16"/>
  <c r="J9" i="10"/>
  <c r="I10" i="10"/>
  <c r="I11" i="10" l="1"/>
  <c r="K11" i="10" s="1"/>
  <c r="K10" i="10"/>
  <c r="J10" i="10"/>
  <c r="J11" i="10"/>
  <c r="H13" i="10"/>
  <c r="H14" i="10" l="1"/>
  <c r="G13" i="10"/>
  <c r="I12" i="10"/>
  <c r="K12" i="10" s="1"/>
  <c r="G14" i="10" l="1"/>
  <c r="H15" i="10"/>
  <c r="I13" i="10"/>
  <c r="K13" i="10" s="1"/>
  <c r="J12" i="10"/>
  <c r="G15" i="10" l="1"/>
  <c r="H16" i="10"/>
  <c r="I14" i="10"/>
  <c r="K14" i="10" s="1"/>
  <c r="J13" i="10"/>
  <c r="G16" i="10" l="1"/>
  <c r="H17" i="10"/>
  <c r="I15" i="10"/>
  <c r="K15" i="10" s="1"/>
  <c r="J14" i="10"/>
  <c r="G17" i="10" l="1"/>
  <c r="H18" i="10"/>
  <c r="I16" i="10"/>
  <c r="K16" i="10" s="1"/>
  <c r="J15" i="10"/>
  <c r="G18" i="10" l="1"/>
  <c r="H19" i="10"/>
  <c r="I17" i="10"/>
  <c r="K17" i="10" s="1"/>
  <c r="J16" i="10"/>
  <c r="G19" i="10" l="1"/>
  <c r="H20" i="10"/>
  <c r="I18" i="10"/>
  <c r="K18" i="10" s="1"/>
  <c r="J17" i="10"/>
  <c r="G20" i="10" l="1"/>
  <c r="H21" i="10"/>
  <c r="H22" i="10" s="1"/>
  <c r="I19" i="10"/>
  <c r="K19" i="10" s="1"/>
  <c r="J18" i="10"/>
  <c r="G22" i="10" l="1"/>
  <c r="G21" i="10"/>
  <c r="I20" i="10"/>
  <c r="K20" i="10" s="1"/>
  <c r="J19" i="10"/>
  <c r="H23" i="10"/>
  <c r="G23" i="10" l="1"/>
  <c r="I21" i="10"/>
  <c r="K21" i="10" s="1"/>
  <c r="J20" i="10"/>
  <c r="H24" i="10"/>
  <c r="G24" i="10" l="1"/>
  <c r="I22" i="10"/>
  <c r="K22" i="10" s="1"/>
  <c r="J21" i="10"/>
  <c r="H25" i="10"/>
  <c r="G25" i="10" l="1"/>
  <c r="I23" i="10"/>
  <c r="K23" i="10" s="1"/>
  <c r="J22" i="10"/>
  <c r="H26" i="10"/>
  <c r="G26" i="10" l="1"/>
  <c r="I24" i="10"/>
  <c r="K24" i="10" s="1"/>
  <c r="J23" i="10"/>
  <c r="H27" i="10"/>
  <c r="G27" i="10" l="1"/>
  <c r="I25" i="10"/>
  <c r="K25" i="10" s="1"/>
  <c r="J24" i="10"/>
  <c r="H28" i="10"/>
  <c r="G28" i="10" l="1"/>
  <c r="I26" i="10"/>
  <c r="K26" i="10" s="1"/>
  <c r="J25" i="10"/>
  <c r="H29" i="10"/>
  <c r="G29" i="10" l="1"/>
  <c r="I27" i="10"/>
  <c r="K27" i="10" s="1"/>
  <c r="J26" i="10"/>
  <c r="H30" i="10"/>
  <c r="G30" i="10" l="1"/>
  <c r="I28" i="10"/>
  <c r="K28" i="10" s="1"/>
  <c r="J27" i="10"/>
  <c r="H31" i="10"/>
  <c r="G31" i="10" l="1"/>
  <c r="I29" i="10"/>
  <c r="K29" i="10" s="1"/>
  <c r="J28" i="10"/>
  <c r="H32" i="10"/>
  <c r="G32" i="10" l="1"/>
  <c r="I30" i="10"/>
  <c r="K30" i="10" s="1"/>
  <c r="J29" i="10"/>
  <c r="H33" i="10"/>
  <c r="G33" i="10" l="1"/>
  <c r="I31" i="10"/>
  <c r="K31" i="10" s="1"/>
  <c r="J30" i="10"/>
  <c r="H34" i="10"/>
  <c r="G34" i="10" l="1"/>
  <c r="I32" i="10"/>
  <c r="K32" i="10" s="1"/>
  <c r="J31" i="10"/>
  <c r="H35" i="10"/>
  <c r="G35" i="10" l="1"/>
  <c r="I33" i="10"/>
  <c r="J32" i="10"/>
  <c r="H36" i="10"/>
  <c r="K33" i="10" l="1"/>
  <c r="I34" i="10"/>
  <c r="K34" i="10" s="1"/>
  <c r="G36" i="10"/>
  <c r="J33" i="10"/>
  <c r="H37" i="10"/>
  <c r="G37" i="10" l="1"/>
  <c r="I35" i="10"/>
  <c r="K35" i="10" s="1"/>
  <c r="J34" i="10"/>
  <c r="H38" i="10"/>
  <c r="G38" i="10" l="1"/>
  <c r="I36" i="10"/>
  <c r="K36" i="10" s="1"/>
  <c r="J35" i="10"/>
  <c r="H39" i="10"/>
  <c r="G39" i="10" l="1"/>
  <c r="I37" i="10"/>
  <c r="K37" i="10" s="1"/>
  <c r="J36" i="10"/>
  <c r="H40" i="10"/>
  <c r="G40" i="10" l="1"/>
  <c r="I38" i="10"/>
  <c r="K38" i="10" s="1"/>
  <c r="J37" i="10"/>
  <c r="H41" i="10"/>
  <c r="G41" i="10" l="1"/>
  <c r="I39" i="10"/>
  <c r="K39" i="10" s="1"/>
  <c r="J38" i="10"/>
  <c r="H42" i="10"/>
  <c r="G42" i="10" l="1"/>
  <c r="I40" i="10"/>
  <c r="K40" i="10" s="1"/>
  <c r="J39" i="10"/>
  <c r="H43" i="10"/>
  <c r="G43" i="10" l="1"/>
  <c r="I41" i="10"/>
  <c r="K41" i="10" s="1"/>
  <c r="J40" i="10"/>
  <c r="H44" i="10"/>
  <c r="G44" i="10" l="1"/>
  <c r="I42" i="10"/>
  <c r="K42" i="10" s="1"/>
  <c r="J41" i="10"/>
  <c r="H45" i="10"/>
  <c r="G45" i="10" l="1"/>
  <c r="I43" i="10"/>
  <c r="K43" i="10" s="1"/>
  <c r="J42" i="10"/>
  <c r="H46" i="10"/>
  <c r="G46" i="10" l="1"/>
  <c r="I44" i="10"/>
  <c r="K44" i="10" s="1"/>
  <c r="J43" i="10"/>
  <c r="H47" i="10"/>
  <c r="G47" i="10" l="1"/>
  <c r="I45" i="10"/>
  <c r="K45" i="10" s="1"/>
  <c r="J44" i="10"/>
  <c r="H48" i="10"/>
  <c r="G48" i="10" l="1"/>
  <c r="I46" i="10"/>
  <c r="J45" i="10"/>
  <c r="H49" i="10"/>
  <c r="I47" i="10" l="1"/>
  <c r="K47" i="10" s="1"/>
  <c r="K46" i="10"/>
  <c r="H50" i="10"/>
  <c r="G50" i="10" s="1"/>
  <c r="J2" i="10" s="1"/>
  <c r="J3" i="10" s="1"/>
  <c r="G54" i="10" s="1"/>
  <c r="G55" i="10" s="1"/>
  <c r="G56" i="10" s="1"/>
  <c r="G57" i="10" s="1"/>
  <c r="G58" i="10" s="1"/>
  <c r="G59" i="10" s="1"/>
  <c r="G60" i="10" s="1"/>
  <c r="G61" i="10" s="1"/>
  <c r="G62" i="10" s="1"/>
  <c r="G63" i="10" s="1"/>
  <c r="G64" i="10" s="1"/>
  <c r="G65" i="10" s="1"/>
  <c r="G66" i="10" s="1"/>
  <c r="G67" i="10" s="1"/>
  <c r="G68" i="10" s="1"/>
  <c r="G69" i="10" s="1"/>
  <c r="G70" i="10" s="1"/>
  <c r="G71" i="10" s="1"/>
  <c r="G72" i="10" s="1"/>
  <c r="G73" i="10" s="1"/>
  <c r="G74" i="10" s="1"/>
  <c r="G75" i="10" s="1"/>
  <c r="G76" i="10" s="1"/>
  <c r="G77" i="10" s="1"/>
  <c r="G78" i="10" s="1"/>
  <c r="H51" i="10"/>
  <c r="G49" i="10"/>
  <c r="J46" i="10"/>
  <c r="I48" i="10" l="1"/>
  <c r="K48" i="10" s="1"/>
  <c r="J47" i="10"/>
  <c r="I49" i="10" l="1"/>
  <c r="K49" i="10" s="1"/>
  <c r="J48" i="10"/>
  <c r="F51" i="10"/>
  <c r="H52" i="10"/>
  <c r="H53" i="10" l="1"/>
  <c r="F52" i="10"/>
  <c r="J49" i="10"/>
  <c r="I50" i="10"/>
  <c r="K50" i="10" s="1"/>
  <c r="I51" i="10" l="1"/>
  <c r="K51" i="10" s="1"/>
  <c r="J50" i="10"/>
  <c r="F53" i="10"/>
  <c r="H54" i="10"/>
  <c r="F54" i="10" l="1"/>
  <c r="J51" i="10"/>
  <c r="I52" i="10"/>
  <c r="H55" i="10"/>
  <c r="I53" i="10" l="1"/>
  <c r="K53" i="10" s="1"/>
  <c r="K52" i="10"/>
  <c r="H56" i="10"/>
  <c r="J52" i="10"/>
  <c r="F55" i="10"/>
  <c r="J53" i="10" l="1"/>
  <c r="I54" i="10"/>
  <c r="K54" i="10" s="1"/>
  <c r="F56" i="10"/>
  <c r="H57" i="10"/>
  <c r="J54" i="10" l="1"/>
  <c r="I55" i="10"/>
  <c r="K55" i="10" s="1"/>
  <c r="F57" i="10"/>
  <c r="H58" i="10"/>
  <c r="J55" i="10" l="1"/>
  <c r="I56" i="10"/>
  <c r="K56" i="10" s="1"/>
  <c r="F58" i="10"/>
  <c r="H59" i="10"/>
  <c r="I57" i="10" l="1"/>
  <c r="K57" i="10" s="1"/>
  <c r="J56" i="10"/>
  <c r="F59" i="10"/>
  <c r="H60" i="10"/>
  <c r="I58" i="10" l="1"/>
  <c r="K58" i="10" s="1"/>
  <c r="J57" i="10"/>
  <c r="F60" i="10"/>
  <c r="H61" i="10"/>
  <c r="J58" i="10" l="1"/>
  <c r="I59" i="10"/>
  <c r="K59" i="10" s="1"/>
  <c r="F61" i="10"/>
  <c r="H62" i="10"/>
  <c r="J59" i="10" l="1"/>
  <c r="I60" i="10"/>
  <c r="K60" i="10" s="1"/>
  <c r="F62" i="10"/>
  <c r="H63" i="10"/>
  <c r="I61" i="10" l="1"/>
  <c r="K61" i="10" s="1"/>
  <c r="J60" i="10"/>
  <c r="F63" i="10"/>
  <c r="H64" i="10"/>
  <c r="J61" i="10" l="1"/>
  <c r="I62" i="10"/>
  <c r="K62" i="10" s="1"/>
  <c r="F64" i="10"/>
  <c r="H65" i="10"/>
  <c r="J62" i="10" l="1"/>
  <c r="I63" i="10"/>
  <c r="K63" i="10" s="1"/>
  <c r="F65" i="10"/>
  <c r="H66" i="10"/>
  <c r="I64" i="10" l="1"/>
  <c r="K64" i="10" s="1"/>
  <c r="J63" i="10"/>
  <c r="F66" i="10"/>
  <c r="H67" i="10"/>
  <c r="I65" i="10" l="1"/>
  <c r="K65" i="10" s="1"/>
  <c r="J64" i="10"/>
  <c r="F67" i="10"/>
  <c r="H68" i="10"/>
  <c r="J65" i="10" l="1"/>
  <c r="I66" i="10"/>
  <c r="K66" i="10" s="1"/>
  <c r="F68" i="10"/>
  <c r="H69" i="10"/>
  <c r="I67" i="10" l="1"/>
  <c r="K67" i="10" s="1"/>
  <c r="J66" i="10"/>
  <c r="F69" i="10"/>
  <c r="H70" i="10"/>
  <c r="J67" i="10" l="1"/>
  <c r="I68" i="10"/>
  <c r="K68" i="10" s="1"/>
  <c r="F70" i="10"/>
  <c r="H71" i="10"/>
  <c r="J68" i="10" l="1"/>
  <c r="I69" i="10"/>
  <c r="K69" i="10" s="1"/>
  <c r="F71" i="10"/>
  <c r="H72" i="10"/>
  <c r="I70" i="10" l="1"/>
  <c r="K70" i="10" s="1"/>
  <c r="J69" i="10"/>
  <c r="F72" i="10"/>
  <c r="H73" i="10"/>
  <c r="J70" i="10" l="1"/>
  <c r="I71" i="10"/>
  <c r="K71" i="10" s="1"/>
  <c r="H74" i="10"/>
  <c r="F73" i="10"/>
  <c r="I72" i="10" l="1"/>
  <c r="K72" i="10" s="1"/>
  <c r="J71" i="10"/>
  <c r="F74" i="10"/>
  <c r="H75" i="10"/>
  <c r="H76" i="10" l="1"/>
  <c r="I73" i="10"/>
  <c r="K73" i="10" s="1"/>
  <c r="J72" i="10"/>
  <c r="F75" i="10"/>
  <c r="F76" i="10" l="1"/>
  <c r="I74" i="10"/>
  <c r="K74" i="10" s="1"/>
  <c r="J73" i="10"/>
  <c r="H77" i="10"/>
  <c r="J74" i="10" l="1"/>
  <c r="I75" i="10"/>
  <c r="K75" i="10" s="1"/>
  <c r="H78" i="10"/>
  <c r="F77" i="10"/>
  <c r="J75" i="10" l="1"/>
  <c r="I76" i="10"/>
  <c r="K76" i="10" s="1"/>
  <c r="F78" i="10"/>
  <c r="H79" i="10"/>
  <c r="I77" i="10" l="1"/>
  <c r="K77" i="10" s="1"/>
  <c r="J76" i="10"/>
  <c r="F79" i="10"/>
  <c r="H80" i="10"/>
  <c r="J77" i="10" l="1"/>
  <c r="I78" i="10"/>
  <c r="K78" i="10" s="1"/>
  <c r="F80" i="10"/>
  <c r="H81" i="10"/>
  <c r="J78" i="10" l="1"/>
  <c r="I79" i="10"/>
  <c r="K79" i="10" s="1"/>
  <c r="H82" i="10"/>
  <c r="F81" i="10"/>
  <c r="I80" i="10" l="1"/>
  <c r="K80" i="10" s="1"/>
  <c r="J79" i="10"/>
  <c r="F82" i="10"/>
  <c r="H83" i="10"/>
  <c r="I81" i="10" l="1"/>
  <c r="K81" i="10" s="1"/>
  <c r="J80" i="10"/>
  <c r="F83" i="10"/>
  <c r="H84" i="10"/>
  <c r="I82" i="10" l="1"/>
  <c r="K82" i="10" s="1"/>
  <c r="J81" i="10"/>
  <c r="H85" i="10"/>
  <c r="F84" i="10"/>
  <c r="J82" i="10" l="1"/>
  <c r="I83" i="10"/>
  <c r="K83" i="10" s="1"/>
  <c r="H86" i="10"/>
  <c r="F85" i="10"/>
  <c r="I84" i="10" l="1"/>
  <c r="K84" i="10" s="1"/>
  <c r="J83" i="10"/>
  <c r="F86" i="10"/>
  <c r="J84" i="10" l="1"/>
  <c r="I85" i="10"/>
  <c r="K85" i="10" s="1"/>
  <c r="I86" i="10" l="1"/>
  <c r="J85" i="10"/>
  <c r="J86" i="10" l="1"/>
  <c r="K86" i="10"/>
  <c r="I8" i="12"/>
  <c r="I13" i="12" l="1"/>
  <c r="G13" i="12" l="1"/>
  <c r="H13" i="12" s="1"/>
  <c r="J13" i="12"/>
  <c r="I14" i="12"/>
  <c r="G14" i="12" l="1"/>
  <c r="H14" i="12" s="1"/>
  <c r="J14" i="12"/>
  <c r="I15" i="12"/>
  <c r="G15" i="12" l="1"/>
  <c r="H15" i="12" s="1"/>
  <c r="J15" i="12"/>
  <c r="I16" i="12"/>
  <c r="G16" i="12" l="1"/>
  <c r="H16" i="12" s="1"/>
  <c r="I17" i="12"/>
  <c r="J16" i="12" l="1"/>
  <c r="G17" i="12"/>
  <c r="H17" i="12" s="1"/>
  <c r="I18" i="12"/>
  <c r="J17" i="12" l="1"/>
  <c r="G18" i="12"/>
  <c r="H18" i="12" s="1"/>
  <c r="I19" i="12"/>
  <c r="J18" i="12" l="1"/>
  <c r="G19" i="12"/>
  <c r="H19" i="12" s="1"/>
  <c r="I20" i="12"/>
  <c r="J19" i="12" l="1"/>
  <c r="G20" i="12"/>
  <c r="H20" i="12" s="1"/>
  <c r="I21" i="12"/>
  <c r="J20" i="12" l="1"/>
  <c r="G21" i="12"/>
  <c r="H21" i="12" s="1"/>
  <c r="I22" i="12"/>
  <c r="J21" i="12" l="1"/>
  <c r="G22" i="12"/>
  <c r="H22" i="12" s="1"/>
  <c r="I23" i="12"/>
  <c r="J22" i="12" l="1"/>
  <c r="G23" i="12"/>
  <c r="H23" i="12" s="1"/>
  <c r="I24" i="12"/>
  <c r="J23" i="12" l="1"/>
  <c r="G24" i="12"/>
  <c r="H24" i="12" s="1"/>
  <c r="I25" i="12"/>
  <c r="J24" i="12" l="1"/>
  <c r="G25" i="12"/>
  <c r="H25" i="12" s="1"/>
  <c r="I26" i="12"/>
  <c r="J25" i="12" l="1"/>
  <c r="G26" i="12"/>
  <c r="H26" i="12" s="1"/>
  <c r="I27" i="12"/>
  <c r="J26" i="12" l="1"/>
  <c r="G27" i="12"/>
  <c r="H27" i="12" s="1"/>
  <c r="J27" i="12"/>
  <c r="I28" i="12"/>
  <c r="G28" i="12" l="1"/>
  <c r="H28" i="12" s="1"/>
  <c r="J28" i="12"/>
  <c r="I29" i="12"/>
  <c r="G29" i="12" l="1"/>
  <c r="H29" i="12" s="1"/>
  <c r="I30" i="12"/>
  <c r="J29" i="12" l="1"/>
  <c r="G30" i="12"/>
  <c r="H30" i="12" s="1"/>
  <c r="I31" i="12"/>
  <c r="J30" i="12" l="1"/>
  <c r="G31" i="12"/>
  <c r="H31" i="12" s="1"/>
  <c r="J31" i="12"/>
  <c r="I32" i="12"/>
  <c r="G32" i="12" l="1"/>
  <c r="H32" i="12" s="1"/>
  <c r="J32" i="12"/>
  <c r="I33" i="12"/>
  <c r="G33" i="12" l="1"/>
  <c r="H33" i="12" s="1"/>
  <c r="J33" i="12"/>
  <c r="I34" i="12"/>
  <c r="G34" i="12" l="1"/>
  <c r="H34" i="12" s="1"/>
  <c r="J34" i="12"/>
  <c r="I35" i="12"/>
  <c r="G35" i="12" l="1"/>
  <c r="H35" i="12" s="1"/>
  <c r="J35" i="12"/>
  <c r="I36" i="12"/>
  <c r="G36" i="12" l="1"/>
  <c r="H36" i="12" s="1"/>
  <c r="I37" i="12"/>
  <c r="J36" i="12" l="1"/>
  <c r="G37" i="12"/>
  <c r="H37" i="12" s="1"/>
  <c r="J37" i="12"/>
  <c r="I38" i="12"/>
  <c r="G38" i="12" l="1"/>
  <c r="H38" i="12" s="1"/>
  <c r="J38" i="12"/>
  <c r="I39" i="12"/>
  <c r="G39" i="12" l="1"/>
  <c r="H39" i="12" s="1"/>
  <c r="J39" i="12"/>
  <c r="I40" i="12"/>
  <c r="I41" i="12" l="1"/>
  <c r="G40" i="12"/>
  <c r="H40" i="12" s="1"/>
  <c r="G41" i="12" l="1"/>
  <c r="H41" i="12"/>
  <c r="J40" i="12"/>
  <c r="I42" i="12"/>
  <c r="G42" i="12" l="1"/>
  <c r="H42" i="12"/>
  <c r="J41" i="12"/>
  <c r="I43" i="12"/>
  <c r="G43" i="12" l="1"/>
  <c r="H43" i="12"/>
  <c r="J42" i="12"/>
  <c r="I44" i="12"/>
  <c r="G44" i="12" l="1"/>
  <c r="H44" i="12"/>
  <c r="J43" i="12"/>
  <c r="I45" i="12"/>
  <c r="G45" i="12" l="1"/>
  <c r="H45" i="12"/>
  <c r="J44" i="12"/>
  <c r="I46" i="12"/>
  <c r="G46" i="12" l="1"/>
  <c r="H46" i="12"/>
  <c r="J45" i="12"/>
  <c r="I47" i="12"/>
  <c r="G47" i="12" l="1"/>
  <c r="H47" i="12"/>
  <c r="J46" i="12"/>
  <c r="I48" i="12"/>
  <c r="G48" i="12" l="1"/>
  <c r="H48" i="12" s="1"/>
  <c r="J47" i="12"/>
  <c r="I49" i="12"/>
  <c r="G49" i="12" l="1"/>
  <c r="H49" i="12" s="1"/>
  <c r="J48" i="12"/>
  <c r="I50" i="12"/>
  <c r="G50" i="12" l="1"/>
  <c r="H50" i="12"/>
  <c r="J49" i="12"/>
  <c r="I51" i="12"/>
  <c r="G51" i="12" l="1"/>
  <c r="H51" i="12"/>
  <c r="J50" i="12"/>
  <c r="I52" i="12"/>
  <c r="G52" i="12" l="1"/>
  <c r="H52" i="12"/>
  <c r="J51" i="12"/>
  <c r="I53" i="12"/>
  <c r="G53" i="12" l="1"/>
  <c r="H53" i="12"/>
  <c r="J52" i="12"/>
  <c r="I54" i="12"/>
  <c r="G54" i="12" l="1"/>
  <c r="H54" i="12"/>
  <c r="J53" i="12"/>
  <c r="I55" i="12"/>
  <c r="G55" i="12" l="1"/>
  <c r="H55" i="12"/>
  <c r="J54" i="12"/>
  <c r="I56" i="12"/>
  <c r="G56" i="12" l="1"/>
  <c r="H56" i="12" s="1"/>
  <c r="J55" i="12"/>
  <c r="I57" i="12"/>
  <c r="G57" i="12" l="1"/>
  <c r="H57" i="12" s="1"/>
  <c r="J56" i="12"/>
  <c r="I58" i="12"/>
  <c r="G58" i="12" l="1"/>
  <c r="H58" i="12"/>
  <c r="J57" i="12"/>
  <c r="I59" i="12"/>
  <c r="G59" i="12" l="1"/>
  <c r="H59" i="12"/>
  <c r="J58" i="12"/>
  <c r="I60" i="12"/>
  <c r="G60" i="12" l="1"/>
  <c r="G61" i="12" s="1"/>
  <c r="G62" i="12" s="1"/>
  <c r="G63" i="12" s="1"/>
  <c r="G64" i="12" s="1"/>
  <c r="G65" i="12" s="1"/>
  <c r="G66" i="12" s="1"/>
  <c r="G67" i="12" s="1"/>
  <c r="G68" i="12" s="1"/>
  <c r="G69" i="12" s="1"/>
  <c r="G70" i="12" s="1"/>
  <c r="G71" i="12" s="1"/>
  <c r="G72" i="12" s="1"/>
  <c r="G73" i="12" s="1"/>
  <c r="G74" i="12" s="1"/>
  <c r="G75" i="12" s="1"/>
  <c r="G76" i="12" s="1"/>
  <c r="H60" i="12"/>
  <c r="J59" i="12"/>
  <c r="I61" i="12"/>
  <c r="H61" i="12" l="1"/>
  <c r="J60" i="12"/>
  <c r="I62" i="12"/>
  <c r="H62" i="12" l="1"/>
  <c r="J61" i="12"/>
  <c r="I63" i="12"/>
  <c r="F63" i="12" l="1"/>
  <c r="H63" i="12"/>
  <c r="J62" i="12"/>
  <c r="I64" i="12"/>
  <c r="H64" i="12" l="1"/>
  <c r="J63" i="12"/>
  <c r="I65" i="12"/>
  <c r="F64" i="12"/>
  <c r="H65" i="12" l="1"/>
  <c r="J64" i="12"/>
  <c r="I66" i="12"/>
  <c r="F65" i="12"/>
  <c r="H66" i="12" l="1"/>
  <c r="J65" i="12"/>
  <c r="I67" i="12"/>
  <c r="F66" i="12"/>
  <c r="H67" i="12" l="1"/>
  <c r="J66" i="12"/>
  <c r="I68" i="12"/>
  <c r="F67" i="12"/>
  <c r="H68" i="12" l="1"/>
  <c r="J67" i="12"/>
  <c r="I69" i="12"/>
  <c r="F68" i="12"/>
  <c r="H69" i="12" l="1"/>
  <c r="J68" i="12"/>
  <c r="I70" i="12"/>
  <c r="F69" i="12"/>
  <c r="H70" i="12" l="1"/>
  <c r="J69" i="12"/>
  <c r="I71" i="12"/>
  <c r="F70" i="12"/>
  <c r="H71" i="12" l="1"/>
  <c r="J70" i="12"/>
  <c r="I72" i="12"/>
  <c r="F71" i="12"/>
  <c r="H72" i="12" l="1"/>
  <c r="J71" i="12"/>
  <c r="I73" i="12"/>
  <c r="F72" i="12"/>
  <c r="H73" i="12" l="1"/>
  <c r="J72" i="12"/>
  <c r="I74" i="12"/>
  <c r="F73" i="12"/>
  <c r="H74" i="12" l="1"/>
  <c r="J73" i="12"/>
  <c r="I75" i="12"/>
  <c r="F74" i="12"/>
  <c r="H75" i="12" l="1"/>
  <c r="J74" i="12"/>
  <c r="I76" i="12"/>
  <c r="F75" i="12"/>
  <c r="H76" i="12" l="1"/>
  <c r="J75" i="12"/>
  <c r="I77" i="12"/>
  <c r="F76" i="12"/>
  <c r="H77" i="12" l="1"/>
  <c r="J76" i="12"/>
  <c r="F77" i="12"/>
  <c r="I78" i="12"/>
  <c r="H78" i="12" l="1"/>
  <c r="J77" i="12"/>
  <c r="I79" i="12"/>
  <c r="F78" i="12"/>
  <c r="H79" i="12" l="1"/>
  <c r="J78" i="12"/>
  <c r="I80" i="12"/>
  <c r="F79" i="12"/>
  <c r="H80" i="12" l="1"/>
  <c r="J79" i="12"/>
  <c r="I81" i="12"/>
  <c r="F80" i="12"/>
  <c r="H81" i="12" l="1"/>
  <c r="J80" i="12"/>
  <c r="F81" i="12"/>
  <c r="I82" i="12"/>
  <c r="H82" i="12" l="1"/>
  <c r="J81" i="12"/>
  <c r="I83" i="12"/>
  <c r="F82" i="12"/>
  <c r="H83" i="12" l="1"/>
  <c r="J82" i="12"/>
  <c r="F83" i="12"/>
  <c r="I84" i="12"/>
  <c r="H84" i="12" l="1"/>
  <c r="J83" i="12"/>
  <c r="I85" i="12"/>
  <c r="F84" i="12"/>
  <c r="H85" i="12" l="1"/>
  <c r="J84" i="12"/>
  <c r="F85" i="12"/>
  <c r="I86" i="12"/>
  <c r="H86" i="12" l="1"/>
  <c r="J85" i="12"/>
  <c r="F86" i="12"/>
  <c r="J86" i="12" l="1"/>
  <c r="G17" i="15"/>
  <c r="H17" i="15" s="1"/>
  <c r="G14" i="15" l="1"/>
  <c r="G13" i="15"/>
  <c r="H13" i="15" s="1"/>
  <c r="I13" i="15" s="1"/>
  <c r="K13" i="15" s="1"/>
  <c r="G18" i="15"/>
  <c r="H18" i="15" s="1"/>
  <c r="J13" i="15" l="1"/>
  <c r="H14" i="15"/>
  <c r="I14" i="15" s="1"/>
  <c r="K14" i="15" s="1"/>
  <c r="H15" i="15"/>
  <c r="G19" i="15"/>
  <c r="H19" i="15" s="1"/>
  <c r="J14" i="15" l="1"/>
  <c r="I15" i="15"/>
  <c r="K15" i="15" s="1"/>
  <c r="G20" i="15"/>
  <c r="H20" i="15" s="1"/>
  <c r="I16" i="15" l="1"/>
  <c r="K16" i="15" s="1"/>
  <c r="J15" i="15"/>
  <c r="G21" i="15"/>
  <c r="H21" i="15" s="1"/>
  <c r="I17" i="15" l="1"/>
  <c r="K17" i="15" s="1"/>
  <c r="J16" i="15"/>
  <c r="G22" i="15"/>
  <c r="H22" i="15" s="1"/>
  <c r="I18" i="15" l="1"/>
  <c r="K18" i="15" s="1"/>
  <c r="J17" i="15"/>
  <c r="G23" i="15"/>
  <c r="H23" i="15" s="1"/>
  <c r="I19" i="15" l="1"/>
  <c r="K19" i="15" s="1"/>
  <c r="J18" i="15"/>
  <c r="G24" i="15"/>
  <c r="H24" i="15" s="1"/>
  <c r="I20" i="15" l="1"/>
  <c r="K20" i="15" s="1"/>
  <c r="J19" i="15"/>
  <c r="G25" i="15"/>
  <c r="H25" i="15" s="1"/>
  <c r="I21" i="15" l="1"/>
  <c r="K21" i="15" s="1"/>
  <c r="J20" i="15"/>
  <c r="G26" i="15"/>
  <c r="H26" i="15" s="1"/>
  <c r="I22" i="15" l="1"/>
  <c r="K22" i="15" s="1"/>
  <c r="J21" i="15"/>
  <c r="G27" i="15"/>
  <c r="H27" i="15" l="1"/>
  <c r="G28" i="15"/>
  <c r="H28" i="15" s="1"/>
  <c r="I23" i="15"/>
  <c r="K23" i="15" s="1"/>
  <c r="J22" i="15"/>
  <c r="I24" i="15" l="1"/>
  <c r="K24" i="15" s="1"/>
  <c r="J23" i="15"/>
  <c r="G29" i="15"/>
  <c r="H29" i="15" s="1"/>
  <c r="I25" i="15" l="1"/>
  <c r="K25" i="15" s="1"/>
  <c r="J24" i="15"/>
  <c r="G30" i="15"/>
  <c r="H30" i="15" s="1"/>
  <c r="I26" i="15" l="1"/>
  <c r="K26" i="15" s="1"/>
  <c r="J25" i="15"/>
  <c r="G31" i="15"/>
  <c r="H31" i="15" s="1"/>
  <c r="I27" i="15" l="1"/>
  <c r="K27" i="15" s="1"/>
  <c r="J26" i="15"/>
  <c r="G32" i="15"/>
  <c r="H32" i="15" s="1"/>
  <c r="I28" i="15" l="1"/>
  <c r="K28" i="15" s="1"/>
  <c r="J27" i="15"/>
  <c r="G33" i="15"/>
  <c r="H33" i="15" l="1"/>
  <c r="G34" i="15"/>
  <c r="G35" i="15" s="1"/>
  <c r="I29" i="15"/>
  <c r="K29" i="15" s="1"/>
  <c r="J28" i="15"/>
  <c r="I30" i="15" l="1"/>
  <c r="K30" i="15" s="1"/>
  <c r="J29" i="15"/>
  <c r="H34" i="15"/>
  <c r="H35" i="15" l="1"/>
  <c r="G4" i="15"/>
  <c r="G5" i="15" s="1"/>
  <c r="I31" i="15"/>
  <c r="K31" i="15" s="1"/>
  <c r="J30" i="15"/>
  <c r="G36" i="15"/>
  <c r="F35" i="15"/>
  <c r="I32" i="15" l="1"/>
  <c r="K32" i="15" s="1"/>
  <c r="J31" i="15"/>
  <c r="H37" i="15"/>
  <c r="H38" i="15" s="1"/>
  <c r="H39" i="15" s="1"/>
  <c r="H40" i="15" s="1"/>
  <c r="H41" i="15" s="1"/>
  <c r="H42" i="15" s="1"/>
  <c r="H43" i="15" s="1"/>
  <c r="H44" i="15" s="1"/>
  <c r="H45" i="15" s="1"/>
  <c r="H46" i="15" s="1"/>
  <c r="H47" i="15" s="1"/>
  <c r="H48" i="15" s="1"/>
  <c r="H49" i="15" s="1"/>
  <c r="H50" i="15" s="1"/>
  <c r="H51" i="15" s="1"/>
  <c r="H52" i="15" s="1"/>
  <c r="H53" i="15" s="1"/>
  <c r="H54" i="15" s="1"/>
  <c r="H55" i="15" s="1"/>
  <c r="H56" i="15" s="1"/>
  <c r="H57" i="15" s="1"/>
  <c r="H58" i="15" s="1"/>
  <c r="H59" i="15" s="1"/>
  <c r="H89" i="15"/>
  <c r="G37" i="15"/>
  <c r="F36" i="15"/>
  <c r="I33" i="15" l="1"/>
  <c r="K33" i="15" s="1"/>
  <c r="J32" i="15"/>
  <c r="G38" i="15"/>
  <c r="F37" i="15"/>
  <c r="I34" i="15" l="1"/>
  <c r="K34" i="15" s="1"/>
  <c r="J33" i="15"/>
  <c r="F38" i="15"/>
  <c r="G39" i="15"/>
  <c r="I35" i="15" l="1"/>
  <c r="K35" i="15" s="1"/>
  <c r="J34" i="15"/>
  <c r="G40" i="15"/>
  <c r="F39" i="15"/>
  <c r="I36" i="15" l="1"/>
  <c r="K36" i="15" s="1"/>
  <c r="J35" i="15"/>
  <c r="G41" i="15"/>
  <c r="F40" i="15"/>
  <c r="I37" i="15" l="1"/>
  <c r="K37" i="15" s="1"/>
  <c r="J36" i="15"/>
  <c r="G42" i="15"/>
  <c r="F41" i="15"/>
  <c r="I38" i="15" l="1"/>
  <c r="K38" i="15" s="1"/>
  <c r="J37" i="15"/>
  <c r="F42" i="15"/>
  <c r="G43" i="15"/>
  <c r="I39" i="15" l="1"/>
  <c r="K39" i="15" s="1"/>
  <c r="J38" i="15"/>
  <c r="G44" i="15"/>
  <c r="F43" i="15"/>
  <c r="I40" i="15" l="1"/>
  <c r="K40" i="15" s="1"/>
  <c r="J39" i="15"/>
  <c r="G45" i="15"/>
  <c r="F44" i="15"/>
  <c r="I41" i="15" l="1"/>
  <c r="K41" i="15" s="1"/>
  <c r="J40" i="15"/>
  <c r="G46" i="15"/>
  <c r="F45" i="15"/>
  <c r="I42" i="15" l="1"/>
  <c r="K42" i="15" s="1"/>
  <c r="J41" i="15"/>
  <c r="G47" i="15"/>
  <c r="F46" i="15"/>
  <c r="I43" i="15" l="1"/>
  <c r="K43" i="15" s="1"/>
  <c r="J42" i="15"/>
  <c r="G48" i="15"/>
  <c r="F47" i="15"/>
  <c r="I44" i="15" l="1"/>
  <c r="K44" i="15" s="1"/>
  <c r="J43" i="15"/>
  <c r="G49" i="15"/>
  <c r="F48" i="15"/>
  <c r="I45" i="15" l="1"/>
  <c r="K45" i="15" s="1"/>
  <c r="J44" i="15"/>
  <c r="F49" i="15"/>
  <c r="G50" i="15"/>
  <c r="I46" i="15" l="1"/>
  <c r="K46" i="15" s="1"/>
  <c r="J45" i="15"/>
  <c r="G51" i="15"/>
  <c r="F50" i="15"/>
  <c r="I47" i="15" l="1"/>
  <c r="K47" i="15" s="1"/>
  <c r="J46" i="15"/>
  <c r="G52" i="15"/>
  <c r="F51" i="15"/>
  <c r="I48" i="15" l="1"/>
  <c r="K48" i="15" s="1"/>
  <c r="J47" i="15"/>
  <c r="G53" i="15"/>
  <c r="F52" i="15"/>
  <c r="I49" i="15" l="1"/>
  <c r="K49" i="15" s="1"/>
  <c r="J48" i="15"/>
  <c r="F53" i="15"/>
  <c r="G54" i="15"/>
  <c r="I50" i="15" l="1"/>
  <c r="K50" i="15" s="1"/>
  <c r="J49" i="15"/>
  <c r="F54" i="15"/>
  <c r="G55" i="15"/>
  <c r="I51" i="15" l="1"/>
  <c r="K51" i="15" s="1"/>
  <c r="J50" i="15"/>
  <c r="G56" i="15"/>
  <c r="F55" i="15"/>
  <c r="I52" i="15" l="1"/>
  <c r="K52" i="15" s="1"/>
  <c r="J51" i="15"/>
  <c r="G57" i="15"/>
  <c r="F56" i="15"/>
  <c r="I53" i="15" l="1"/>
  <c r="K53" i="15" s="1"/>
  <c r="J52" i="15"/>
  <c r="F57" i="15"/>
  <c r="G58" i="15"/>
  <c r="I54" i="15" l="1"/>
  <c r="K54" i="15" s="1"/>
  <c r="J53" i="15"/>
  <c r="F58" i="15"/>
  <c r="G59" i="15"/>
  <c r="I55" i="15" l="1"/>
  <c r="K55" i="15" s="1"/>
  <c r="J54" i="15"/>
  <c r="G60" i="15"/>
  <c r="F59" i="15"/>
  <c r="I56" i="15" l="1"/>
  <c r="K56" i="15" s="1"/>
  <c r="J55" i="15"/>
  <c r="G61" i="15"/>
  <c r="F60" i="15"/>
  <c r="I57" i="15" l="1"/>
  <c r="K57" i="15" s="1"/>
  <c r="J56" i="15"/>
  <c r="G62" i="15"/>
  <c r="F61" i="15"/>
  <c r="I58" i="15" l="1"/>
  <c r="K58" i="15" s="1"/>
  <c r="J57" i="15"/>
  <c r="G63" i="15"/>
  <c r="F62" i="15"/>
  <c r="I59" i="15" l="1"/>
  <c r="K59" i="15" s="1"/>
  <c r="J58" i="15"/>
  <c r="G64" i="15"/>
  <c r="F63" i="15"/>
  <c r="J59" i="15" l="1"/>
  <c r="I60" i="15"/>
  <c r="K60" i="15" s="1"/>
  <c r="F64" i="15"/>
  <c r="G65" i="15"/>
  <c r="I61" i="15" l="1"/>
  <c r="K61" i="15" s="1"/>
  <c r="J60" i="15"/>
  <c r="G66" i="15"/>
  <c r="F65" i="15"/>
  <c r="J61" i="15" l="1"/>
  <c r="I62" i="15"/>
  <c r="K62" i="15" s="1"/>
  <c r="G67" i="15"/>
  <c r="F66" i="15"/>
  <c r="J62" i="15" l="1"/>
  <c r="I63" i="15"/>
  <c r="K63" i="15" s="1"/>
  <c r="G68" i="15"/>
  <c r="F67" i="15"/>
  <c r="I64" i="15" l="1"/>
  <c r="K64" i="15" s="1"/>
  <c r="J63" i="15"/>
  <c r="F68" i="15"/>
  <c r="G69" i="15"/>
  <c r="I65" i="15" l="1"/>
  <c r="K65" i="15" s="1"/>
  <c r="J64" i="15"/>
  <c r="G70" i="15"/>
  <c r="F69" i="15"/>
  <c r="J65" i="15" l="1"/>
  <c r="I66" i="15"/>
  <c r="K66" i="15" s="1"/>
  <c r="F70" i="15"/>
  <c r="G71" i="15"/>
  <c r="J66" i="15" l="1"/>
  <c r="I67" i="15"/>
  <c r="K67" i="15" s="1"/>
  <c r="G72" i="15"/>
  <c r="F71" i="15"/>
  <c r="I68" i="15" l="1"/>
  <c r="K68" i="15" s="1"/>
  <c r="J67" i="15"/>
  <c r="G73" i="15"/>
  <c r="F72" i="15"/>
  <c r="J68" i="15" l="1"/>
  <c r="I69" i="15"/>
  <c r="K69" i="15" s="1"/>
  <c r="F73" i="15"/>
  <c r="G74" i="15"/>
  <c r="J69" i="15" l="1"/>
  <c r="I70" i="15"/>
  <c r="K70" i="15" s="1"/>
  <c r="F74" i="15"/>
  <c r="G75" i="15"/>
  <c r="I71" i="15" l="1"/>
  <c r="K71" i="15" s="1"/>
  <c r="J70" i="15"/>
  <c r="F75" i="15"/>
  <c r="G76" i="15"/>
  <c r="J71" i="15" l="1"/>
  <c r="I72" i="15"/>
  <c r="K72" i="15" s="1"/>
  <c r="G77" i="15"/>
  <c r="F76" i="15"/>
  <c r="J72" i="15" l="1"/>
  <c r="I73" i="15"/>
  <c r="K73" i="15" s="1"/>
  <c r="G78" i="15"/>
  <c r="F77" i="15"/>
  <c r="I74" i="15" l="1"/>
  <c r="K74" i="15" s="1"/>
  <c r="J73" i="15"/>
  <c r="F78" i="15"/>
  <c r="G79" i="15"/>
  <c r="J74" i="15" l="1"/>
  <c r="I75" i="15"/>
  <c r="K75" i="15" s="1"/>
  <c r="F79" i="15"/>
  <c r="G80" i="15"/>
  <c r="I76" i="15" l="1"/>
  <c r="K76" i="15" s="1"/>
  <c r="J75" i="15"/>
  <c r="G81" i="15"/>
  <c r="F80" i="15"/>
  <c r="I77" i="15" l="1"/>
  <c r="K77" i="15" s="1"/>
  <c r="J76" i="15"/>
  <c r="G82" i="15"/>
  <c r="F81" i="15"/>
  <c r="J77" i="15" l="1"/>
  <c r="I78" i="15"/>
  <c r="K78" i="15" s="1"/>
  <c r="F82" i="15"/>
  <c r="G83" i="15"/>
  <c r="I79" i="15" l="1"/>
  <c r="K79" i="15" s="1"/>
  <c r="J78" i="15"/>
  <c r="F83" i="15"/>
  <c r="G84" i="15"/>
  <c r="I80" i="15" l="1"/>
  <c r="K80" i="15" s="1"/>
  <c r="J79" i="15"/>
  <c r="F84" i="15"/>
  <c r="G85" i="15"/>
  <c r="J80" i="15" l="1"/>
  <c r="I81" i="15"/>
  <c r="K81" i="15" s="1"/>
  <c r="G86" i="15"/>
  <c r="F85" i="15"/>
  <c r="J81" i="15" l="1"/>
  <c r="I82" i="15"/>
  <c r="K82" i="15" s="1"/>
  <c r="F86" i="15"/>
  <c r="G87" i="15"/>
  <c r="I83" i="15" l="1"/>
  <c r="K83" i="15" s="1"/>
  <c r="J82" i="15"/>
  <c r="G88" i="15"/>
  <c r="F87" i="15"/>
  <c r="J83" i="15" l="1"/>
  <c r="I84" i="15"/>
  <c r="K84" i="15" s="1"/>
  <c r="F88" i="15"/>
  <c r="G89" i="15"/>
  <c r="I85" i="15" l="1"/>
  <c r="K85" i="15" s="1"/>
  <c r="J84" i="15"/>
  <c r="F89" i="15"/>
  <c r="I86" i="15" l="1"/>
  <c r="K86" i="15" s="1"/>
  <c r="J85" i="15"/>
  <c r="J86" i="15" l="1"/>
  <c r="I87" i="15"/>
  <c r="K87" i="15" s="1"/>
  <c r="I88" i="15" l="1"/>
  <c r="K88" i="15" s="1"/>
  <c r="J87" i="15"/>
  <c r="I89" i="15" l="1"/>
  <c r="J88" i="15"/>
  <c r="J89" i="15" l="1"/>
  <c r="K89" i="15"/>
</calcChain>
</file>

<file path=xl/sharedStrings.xml><?xml version="1.0" encoding="utf-8"?>
<sst xmlns="http://schemas.openxmlformats.org/spreadsheetml/2006/main" count="947" uniqueCount="540">
  <si>
    <t>CO2 kg/age</t>
  </si>
  <si>
    <t>CO2 kg/year</t>
  </si>
  <si>
    <r>
      <t>m</t>
    </r>
    <r>
      <rPr>
        <b/>
        <vertAlign val="superscript"/>
        <sz val="11"/>
        <color theme="1"/>
        <rFont val="Calibri"/>
        <family val="2"/>
        <scheme val="minor"/>
      </rPr>
      <t>2</t>
    </r>
  </si>
  <si>
    <t>m</t>
  </si>
  <si>
    <t>cm</t>
  </si>
  <si>
    <t xml:space="preserve">yrs </t>
  </si>
  <si>
    <t>Carbon sequestered per canopy area 
C  kg/m2</t>
  </si>
  <si>
    <t>Cumulative CO2 Stored</t>
  </si>
  <si>
    <t>CO2 Sequestration Rate</t>
  </si>
  <si>
    <t>Canopy Area</t>
  </si>
  <si>
    <t>Crown diameter</t>
  </si>
  <si>
    <t xml:space="preserve">Tree height </t>
  </si>
  <si>
    <t>dbh</t>
  </si>
  <si>
    <t>Age</t>
  </si>
  <si>
    <t>Coolibah Tree</t>
  </si>
  <si>
    <t xml:space="preserve">Common name </t>
  </si>
  <si>
    <t>Paperbark</t>
  </si>
  <si>
    <t>Common Name</t>
  </si>
  <si>
    <t>Date Palm</t>
  </si>
  <si>
    <t>Cumulative CO2
 Stored</t>
  </si>
  <si>
    <t>CO2 
Sequestration Rate</t>
  </si>
  <si>
    <t>Turkish Pine</t>
  </si>
  <si>
    <t xml:space="preserve"> </t>
  </si>
  <si>
    <t>Willow Acacia</t>
  </si>
  <si>
    <t>WACC</t>
  </si>
  <si>
    <t>Fertilizer Cost</t>
  </si>
  <si>
    <t>year</t>
  </si>
  <si>
    <t>Land Conversion 
cost crf</t>
  </si>
  <si>
    <t>Irrigation Equipment crf</t>
  </si>
  <si>
    <t>Casuarina</t>
  </si>
  <si>
    <t xml:space="preserve">Land Rent </t>
  </si>
  <si>
    <t>Conversion Cost</t>
  </si>
  <si>
    <r>
      <t>ha -&gt; km</t>
    </r>
    <r>
      <rPr>
        <b/>
        <vertAlign val="superscript"/>
        <sz val="11"/>
        <color theme="1"/>
        <rFont val="Calibri"/>
        <family val="2"/>
        <scheme val="minor"/>
      </rPr>
      <t>2</t>
    </r>
  </si>
  <si>
    <t>Irrigation Type</t>
  </si>
  <si>
    <t>Sub-Surface Drip Irrigation</t>
  </si>
  <si>
    <t>Share of area assumed that is irrigated</t>
  </si>
  <si>
    <t>kg/year</t>
  </si>
  <si>
    <t>(Stephenson et al_2014)</t>
  </si>
  <si>
    <t>Kamani</t>
  </si>
  <si>
    <t>White Mulberry</t>
  </si>
  <si>
    <t>USD -&gt;  €</t>
  </si>
  <si>
    <t>Lifetime Land</t>
  </si>
  <si>
    <t>Lifetime Irrigation Equipment</t>
  </si>
  <si>
    <t xml:space="preserve">Trunk height </t>
  </si>
  <si>
    <t>Tree Specific Parameters</t>
  </si>
  <si>
    <t>AboveGround Crown Biomass</t>
  </si>
  <si>
    <t>AboveGround Trunk Biomass</t>
  </si>
  <si>
    <t>Cumulative C02 Stored</t>
  </si>
  <si>
    <t xml:space="preserve">Average vaue is taken for all tree ages </t>
  </si>
  <si>
    <t>Carbon in Biomass Coefficient</t>
  </si>
  <si>
    <t>Medium BelowGround Coefficient ( 5 - 10 yrs)</t>
  </si>
  <si>
    <t>Mature  BelowGround Coefficient ( &gt; 10 yrs)</t>
  </si>
  <si>
    <t>Tree Height and Trunk Height Differenc (5 - 10 yrs)</t>
  </si>
  <si>
    <t>Tree Height and Trunk Height Differenc (&gt; 5yrs)</t>
  </si>
  <si>
    <t>Tree Height and Trunk Height Differenc (&gt; 10 yrs)</t>
  </si>
  <si>
    <t>Also known as Eucalpytus microtheca</t>
  </si>
  <si>
    <t>Carbon concentrated in the litter layer and woody layer
Share of total biomass</t>
  </si>
  <si>
    <t>Assumed average increase in Dry Weight Aboveground Biomass for mature trees at 100 cm dbh</t>
  </si>
  <si>
    <t xml:space="preserve">Eucalyptus plantations in Southern China </t>
  </si>
  <si>
    <t>Paper Bark ( Forests in Vietnams sandy soils without inundation)</t>
  </si>
  <si>
    <t>White Mulberry plantations in Central Iran</t>
  </si>
  <si>
    <t xml:space="preserve">Averarge Dry Weight Biomass to Carbon conversion </t>
  </si>
  <si>
    <t>Irrigation Equipment Opex</t>
  </si>
  <si>
    <r>
      <t>€/km</t>
    </r>
    <r>
      <rPr>
        <vertAlign val="superscript"/>
        <sz val="11"/>
        <color theme="1"/>
        <rFont val="Calibri"/>
        <family val="2"/>
        <scheme val="minor"/>
      </rPr>
      <t>2</t>
    </r>
    <r>
      <rPr>
        <sz val="11"/>
        <color theme="1"/>
        <rFont val="Calibri"/>
        <family val="2"/>
        <scheme val="minor"/>
      </rPr>
      <t>/year</t>
    </r>
  </si>
  <si>
    <t xml:space="preserve">Carbon concentrated in the litter layer and woody (deadwood) layer ( defaul value for the trees; specifc value for three trees below)
</t>
  </si>
  <si>
    <t>Carbon in (sandy) soil as a % of the full biomass</t>
  </si>
  <si>
    <t xml:space="preserve">Mean Carbon added by date palm plantations to soil (soil organic carbon)
for mature date plants (&gt;10 yrs) - this is in addition to the ABG and BGB </t>
  </si>
  <si>
    <t>tC/ha</t>
  </si>
  <si>
    <t>GtC</t>
  </si>
  <si>
    <t>C02 kg</t>
  </si>
  <si>
    <t>kg</t>
  </si>
  <si>
    <t>Average BG biomass to total biomass 
Ratio of below ground biomass to total biomass</t>
  </si>
  <si>
    <t>Monitoring Cost</t>
  </si>
  <si>
    <t>OandM Costs for Land</t>
  </si>
  <si>
    <t>€/km2</t>
  </si>
  <si>
    <t>years</t>
  </si>
  <si>
    <t>tC/ha/yr</t>
  </si>
  <si>
    <t>tC/ha/year</t>
  </si>
  <si>
    <t xml:space="preserve">1400 - 2100 </t>
  </si>
  <si>
    <t>g/m2/year</t>
  </si>
  <si>
    <t>These numbers are for dry weight matter</t>
  </si>
  <si>
    <t>Above ground biomass only</t>
  </si>
  <si>
    <t xml:space="preserve">Rainforest productivitiy generally assumed to be </t>
  </si>
  <si>
    <t>New Cumulative CO2 Stored</t>
  </si>
  <si>
    <t>New CO2 Sequestration Rate</t>
  </si>
  <si>
    <t>Gradient from yr 1 to yr 44</t>
  </si>
  <si>
    <t>Gradient from yr 44 to yr 80</t>
  </si>
  <si>
    <t>New CO2 Sequstration Rate</t>
  </si>
  <si>
    <t>Gradient from yr 1 to yr54</t>
  </si>
  <si>
    <t>Gradient from yr 54 to yr 80</t>
  </si>
  <si>
    <t>New Cumulative CO2 Sequestered</t>
  </si>
  <si>
    <t>Gradient from yr 1 to yr 20</t>
  </si>
  <si>
    <t>Gradient from yr 20 to yr 80</t>
  </si>
  <si>
    <t>Gradient from yr 1 to yr25</t>
  </si>
  <si>
    <t>Gradient from yr 25 to yr 80</t>
  </si>
  <si>
    <t>New CO2 
Sequestration Rate</t>
  </si>
  <si>
    <t>New Cumulative CO2
 Stored</t>
  </si>
  <si>
    <t>Gradient from yr 1 to yr35</t>
  </si>
  <si>
    <t>Gradient from yr 35 to yr 80</t>
  </si>
  <si>
    <t xml:space="preserve">Number of trees </t>
  </si>
  <si>
    <t>Birge, D., Mandhan, S., Qiu, W. and Berger, A. M. (2019) ‘Potential for sustainable use of trees in hot arid regions: A case study of Emirati neighborhoods in Abu Dhabi’, Landscape and Urban Planning, 190, p. 103577. doi: 10.1016/j.landurbplan.2019.05.008.</t>
  </si>
  <si>
    <t>McPherson, E. G., van Doorn, N. S. and Peper, P. J. (2016) ‘Urban Tree Database’. Colorado, USA. Available at: https://www.fs.usda.gov/rds/archive/Catalog/RDS-2016-0005 (Accessed: 25 March 2022).</t>
  </si>
  <si>
    <t>McPherson, E. G., van Doorn, N. and Peper, P. J. (2016) ‘Urban Tree Database and Allometric Equations’, General Technical Report PSW-GTR-253. Colorado, USA, p. 86. doi: 10.13140/RG.2.2.35769.98405.</t>
  </si>
  <si>
    <t xml:space="preserve">It has to be noted that the equations to predict the diameter at breast height (d.b.h) for young ages sometimes produce negative values due to the lack of data. In these cases, the nearest positive value is taken and remaining values modified accordingly.  </t>
  </si>
  <si>
    <t xml:space="preserve">Similar approach was taken for the earlier years when the carbon sequestraton potential is not correctly captured by the equations. </t>
  </si>
  <si>
    <t xml:space="preserve">Determining tree growth after limits of the tree allometry equations are met </t>
  </si>
  <si>
    <t>Usage of tree allometry equations</t>
  </si>
  <si>
    <t xml:space="preserve">The Urban Tree Database provides the equations based on measurements carried out for specific tree types in the climate zone. 
The equation usually fits  a certain range of dependent variables - in this case , age (independent variable) vs dbh ( dependent variable)
For instance, for Coolibah, the tree allometry equations work upto the dbh 85.  Before the dbh hits 85 for this tree species, the  use of tree allometry equations to project the numbers is discontinued. </t>
  </si>
  <si>
    <t xml:space="preserve"> The dry weight aboveground biomass is increased proportionally with the dbh using the above parameter. For the Coolibah tree, this is observed from row 51 onwards. </t>
  </si>
  <si>
    <t>Determining the water demand of each tree species over time</t>
  </si>
  <si>
    <t>The water demand of the tree is a function of the canopy area of the tree, and is also dependendent on the Eto (evaporation coefficient)  and Kc (specific species water coefficient) of the location and tree species respectively.</t>
  </si>
  <si>
    <t>The CO2 Sequestration columns indicate the CO2 captured in the aboveground and belowground biomass.</t>
  </si>
  <si>
    <r>
      <t>For all trees, except the date palm , the tree allometry equations are taken from Birge et al. (2019), the Urban Tree Database</t>
    </r>
    <r>
      <rPr>
        <b/>
        <sz val="11"/>
        <color theme="1"/>
        <rFont val="Calibri"/>
        <family val="2"/>
        <scheme val="minor"/>
      </rPr>
      <t xml:space="preserve"> (McPherson et al., 2016) &amp; the Urban Tree Database and  Allometric Equations report ( McPherson et al. ,2016)</t>
    </r>
    <r>
      <rPr>
        <sz val="11"/>
        <color theme="1"/>
        <rFont val="Calibri"/>
        <family val="2"/>
        <scheme val="minor"/>
      </rPr>
      <t>.</t>
    </r>
  </si>
  <si>
    <t>The CO2 sequestered in the litter layer, woody layer and soil are calculated based on the parameters listed in the Key Parameters.</t>
  </si>
  <si>
    <t>The same procedure is applied for other trees.</t>
  </si>
  <si>
    <t>Further explanaiton is provided in the Methods section of the manuscript.</t>
  </si>
  <si>
    <t>New CO2 Sequestration Rate
(modified to smoothen curve)</t>
  </si>
  <si>
    <r>
      <t>The changes in the tree carbon sequestration after a certain point are based on the parameter '</t>
    </r>
    <r>
      <rPr>
        <i/>
        <sz val="11"/>
        <color theme="1"/>
        <rFont val="Calibri"/>
        <family val="2"/>
        <scheme val="minor"/>
      </rPr>
      <t xml:space="preserve">Assumed average increase in Dry Weight Aboveground Biomass for mature trees at 100 cm dbh' (Stephenson et al., 2014) </t>
    </r>
    <r>
      <rPr>
        <sz val="11"/>
        <color theme="1"/>
        <rFont val="Calibri"/>
        <family val="2"/>
        <scheme val="minor"/>
      </rPr>
      <t>in row 15 of the worksheet 'KeyParameters'</t>
    </r>
  </si>
  <si>
    <r>
      <t xml:space="preserve">Stephenson, N. L., Das, A. J., Condit, R., Russo, S. E., Baker, P. J., Beckman, N. G., Coomes, D. A., Lines, E. R., Morris, W. K., Rüger, N., </t>
    </r>
    <r>
      <rPr>
        <i/>
        <sz val="11"/>
        <color theme="1"/>
        <rFont val="Calibri"/>
        <family val="2"/>
        <scheme val="minor"/>
      </rPr>
      <t>et al.</t>
    </r>
    <r>
      <rPr>
        <sz val="11"/>
        <color theme="1"/>
        <rFont val="Calibri"/>
        <family val="2"/>
        <scheme val="minor"/>
      </rPr>
      <t xml:space="preserve"> (2014) ‘Rate of tree carbon accumulation increases continuously with tree size’, </t>
    </r>
    <r>
      <rPr>
        <i/>
        <sz val="11"/>
        <color theme="1"/>
        <rFont val="Calibri"/>
        <family val="2"/>
        <scheme val="minor"/>
      </rPr>
      <t>Nature</t>
    </r>
    <r>
      <rPr>
        <sz val="11"/>
        <color theme="1"/>
        <rFont val="Calibri"/>
        <family val="2"/>
        <scheme val="minor"/>
      </rPr>
      <t>, 507(7490), pp. 90–93. doi: 10.1038/nature12914.</t>
    </r>
  </si>
  <si>
    <t xml:space="preserve">Not much data available for date palm in desert regions
The Urban Tree Database also says that their date palm equations are not that accurate
</t>
  </si>
  <si>
    <t>Date Palm equations</t>
  </si>
  <si>
    <t>The relationship between trunk height and age of date palms are obtained from Jahromi et al. 2007. The researchers plot the equation for date palms grown in the arid southern region of Iran.</t>
  </si>
  <si>
    <r>
      <t xml:space="preserve">Issa, S., Dahy, B., Ksiksi, T. and Saleous, N. (2020) ‘Allometric equations coupled with remotely sensed variables to estimate carbon stocks in date palms’, </t>
    </r>
    <r>
      <rPr>
        <i/>
        <sz val="11"/>
        <color theme="1"/>
        <rFont val="Calibri"/>
        <family val="2"/>
        <scheme val="minor"/>
      </rPr>
      <t>Journal of Arid Environments</t>
    </r>
    <r>
      <rPr>
        <sz val="11"/>
        <color theme="1"/>
        <rFont val="Calibri"/>
        <family val="2"/>
        <scheme val="minor"/>
      </rPr>
      <t>, 182(104264). doi: 10.1016/j.jaridenv.2020.104264.</t>
    </r>
  </si>
  <si>
    <r>
      <t xml:space="preserve">Jahromi, M. K., Jafari, A., Rafiee, S. and Mohtasebi, S. S. (2007) ‘A survey on some physical properties of the Date Palm tree’, </t>
    </r>
    <r>
      <rPr>
        <i/>
        <sz val="11"/>
        <color theme="1"/>
        <rFont val="Calibri"/>
        <family val="2"/>
        <scheme val="minor"/>
      </rPr>
      <t>Journal of Agricultural Technology</t>
    </r>
    <r>
      <rPr>
        <sz val="11"/>
        <color theme="1"/>
        <rFont val="Calibri"/>
        <family val="2"/>
        <scheme val="minor"/>
      </rPr>
      <t>, 3(2), pp. 317–322.</t>
    </r>
  </si>
  <si>
    <t xml:space="preserve">The equations from Issa et al. 2020 are for date palms in the 2.5 - 20 years range. </t>
  </si>
  <si>
    <t>The Crown Biomass and Trunk Biomass equations from Issa et al. , 2020 are used for date palms.</t>
  </si>
  <si>
    <t>After 20 years, the carbon sequestered is extrapolated as carried out for the other trees using the 'Assumed average increase in Dry Weight Aboveground Biomass for mature trees at 100 cm dbh'</t>
  </si>
  <si>
    <t>Also known as Melaleuca quinquenervia</t>
  </si>
  <si>
    <t>Also known as Phoneix Dactylifera</t>
  </si>
  <si>
    <t>Also known as Pinus Brutia</t>
  </si>
  <si>
    <t>Using the Acacia Nilotica carbon sequestration equations for Willow Acacia</t>
  </si>
  <si>
    <t>Also known as Acacia Salicina</t>
  </si>
  <si>
    <t xml:space="preserve">Also known as calophyllum inophyllum </t>
  </si>
  <si>
    <t>Also known as Casuarina equisetifolia</t>
  </si>
  <si>
    <t>Also known as Morus Alba</t>
  </si>
  <si>
    <t>Water coefficienct factor not known in WUCOLS database, using an average value of 0.5</t>
  </si>
  <si>
    <t>General Assumptions</t>
  </si>
  <si>
    <t xml:space="preserve">Irrigation Equipment Cost Assumptions </t>
  </si>
  <si>
    <t>(Dhehibi et al_2018)</t>
  </si>
  <si>
    <t xml:space="preserve">Efficiency of irrigation system </t>
  </si>
  <si>
    <t>(Mohammed et al_2020)</t>
  </si>
  <si>
    <t>(Texas A &amp; M University_2011)</t>
  </si>
  <si>
    <r>
      <t xml:space="preserve">Dhehibi, B., Salah, M. Ben, Frija, A., Aw-Hassan, A., Ouhibi, H. El and Raisi, Y. M. Al (2018) ‘Economic and Technical Evaluation of Different Irrigation Systems for Date Palm Farming System in the GCC Countries: Case of Oman’, </t>
    </r>
    <r>
      <rPr>
        <i/>
        <sz val="11"/>
        <color theme="1"/>
        <rFont val="Calibri"/>
        <family val="2"/>
        <scheme val="minor"/>
      </rPr>
      <t>Environment and Natural Resources Research</t>
    </r>
    <r>
      <rPr>
        <sz val="11"/>
        <color theme="1"/>
        <rFont val="Calibri"/>
        <family val="2"/>
        <scheme val="minor"/>
      </rPr>
      <t>, 8(3), p. 55. doi: 10.5539/enrr.v8n3p55.</t>
    </r>
  </si>
  <si>
    <r>
      <t xml:space="preserve">Mohammed, M. E. A., Alhajhoj, M. R., Ali-Dinar, H. M. and Munir, M. (2020) ‘Impact of a novel water-saving subsurface irrigation system on water productivity, photosynthetic characteristics, yield, and fruit quality of date palm under arid conditions’, </t>
    </r>
    <r>
      <rPr>
        <i/>
        <sz val="11"/>
        <color theme="1"/>
        <rFont val="Calibri"/>
        <family val="2"/>
        <scheme val="minor"/>
      </rPr>
      <t>Agronomy</t>
    </r>
    <r>
      <rPr>
        <sz val="11"/>
        <color theme="1"/>
        <rFont val="Calibri"/>
        <family val="2"/>
        <scheme val="minor"/>
      </rPr>
      <t>, 10(9), pp. 1–17. doi: 10.3390/agronomy10091265.</t>
    </r>
  </si>
  <si>
    <r>
      <t xml:space="preserve">Texas A &amp; M University (2011) </t>
    </r>
    <r>
      <rPr>
        <i/>
        <sz val="11"/>
        <color theme="1"/>
        <rFont val="Calibri"/>
        <family val="2"/>
        <scheme val="minor"/>
      </rPr>
      <t>Economics of Irrigation Systems</t>
    </r>
    <r>
      <rPr>
        <sz val="11"/>
        <color theme="1"/>
        <rFont val="Calibri"/>
        <family val="2"/>
        <scheme val="minor"/>
      </rPr>
      <t>. Texas, United States.</t>
    </r>
  </si>
  <si>
    <t>trees/hecare</t>
  </si>
  <si>
    <r>
      <t>€/km</t>
    </r>
    <r>
      <rPr>
        <vertAlign val="superscript"/>
        <sz val="11"/>
        <color theme="1"/>
        <rFont val="Calibri"/>
        <family val="2"/>
        <scheme val="minor"/>
      </rPr>
      <t>2</t>
    </r>
  </si>
  <si>
    <t>(Crowther et al_2015)</t>
  </si>
  <si>
    <t>Tropical dry forest mean tree density in Crowther et al_2015</t>
  </si>
  <si>
    <t xml:space="preserve">Irrigation equipment capex_for new tree density </t>
  </si>
  <si>
    <t>Assuming that the irrigation capex will not increase with the same share as the density, an 80% increase assumed</t>
  </si>
  <si>
    <t>(Texas A &amp; M Univeristy_2011)</t>
  </si>
  <si>
    <t>Irrigation equpiment capex_original value from Texas A&amp;M_2011</t>
  </si>
  <si>
    <t>Tree density in Dhehibi et al_2018 for date plantations</t>
  </si>
  <si>
    <t>In this research, assumed mean tree density</t>
  </si>
  <si>
    <t>Assuming that the irrigaiton capex posted by Texa A &amp;M University is also fo r a tree desity of 164 trees /ha</t>
  </si>
  <si>
    <r>
      <t xml:space="preserve">Crowther, T. W., Glick, H. B., Covey, K. R., Bettigole, C., Maynard, D. S., Thomas, S. M., Smith, J. R., Hintler, G., Duguid, M. C., Amatulli, G., </t>
    </r>
    <r>
      <rPr>
        <i/>
        <sz val="11"/>
        <color theme="1"/>
        <rFont val="Calibri"/>
        <family val="2"/>
        <scheme val="minor"/>
      </rPr>
      <t>et al.</t>
    </r>
    <r>
      <rPr>
        <sz val="11"/>
        <color theme="1"/>
        <rFont val="Calibri"/>
        <family val="2"/>
        <scheme val="minor"/>
      </rPr>
      <t xml:space="preserve"> (2015) ‘Mapping tree density at a global scale’, </t>
    </r>
    <r>
      <rPr>
        <i/>
        <sz val="11"/>
        <color theme="1"/>
        <rFont val="Calibri"/>
        <family val="2"/>
        <scheme val="minor"/>
      </rPr>
      <t>Nature</t>
    </r>
    <r>
      <rPr>
        <sz val="11"/>
        <color theme="1"/>
        <rFont val="Calibri"/>
        <family val="2"/>
        <scheme val="minor"/>
      </rPr>
      <t>, 525(7568), pp. 201–205. doi: 10.1038/nature14967.</t>
    </r>
  </si>
  <si>
    <t>Kateb, H. El, El-Gindy, A. G., Stimm, B., Ahmed Aamer Settway, H. Z. and Ahmed Kherashy Mohamed, Amr Abd-Elwaheb, Bernhard Felbermeier, Hossam Hassan, Nashwa Hassan, Sara Khamis, Manal Abd- Elbaky, Michael Weber, Mostafa El Hakim, R. M. (2015) ‘S ILVICULTURAL E XPERIMENTS German-Egyptian Collaboration to Afforestation in Desert Lands of Egypt’. Geltendorf, Germany.</t>
  </si>
  <si>
    <t>(Kateb et al_2015)</t>
  </si>
  <si>
    <t>Fertiliser cost will vary for different trees, but assumed here as for study in Egypt</t>
  </si>
  <si>
    <t>Land Assumptions</t>
  </si>
  <si>
    <t xml:space="preserve">Data extracted for regions and applied to countries, from  Doelman et al_ 2020. </t>
  </si>
  <si>
    <r>
      <t xml:space="preserve">Doelman, J. C., Stehfest, E., van Vuuren, D. P., Tabeau, A., Hof, A. F., Braakhekke, M. C., Gernaat, D. E. H. J., van den Berg, M., van Zeist, W. J., Daioglou, V., </t>
    </r>
    <r>
      <rPr>
        <i/>
        <sz val="11"/>
        <color theme="1"/>
        <rFont val="Calibri"/>
        <family val="2"/>
        <scheme val="minor"/>
      </rPr>
      <t>et al.</t>
    </r>
    <r>
      <rPr>
        <sz val="11"/>
        <color theme="1"/>
        <rFont val="Calibri"/>
        <family val="2"/>
        <scheme val="minor"/>
      </rPr>
      <t xml:space="preserve"> (2020) ‘Afforestation for climate change mitigation: Potentials, risks and trade-offs’, </t>
    </r>
    <r>
      <rPr>
        <i/>
        <sz val="11"/>
        <color theme="1"/>
        <rFont val="Calibri"/>
        <family val="2"/>
        <scheme val="minor"/>
      </rPr>
      <t>Global Change Biology</t>
    </r>
    <r>
      <rPr>
        <sz val="11"/>
        <color theme="1"/>
        <rFont val="Calibri"/>
        <family val="2"/>
        <scheme val="minor"/>
      </rPr>
      <t>, 26(3), pp. 1576–1591. doi: 10.1111/gcb.14887.</t>
    </r>
  </si>
  <si>
    <r>
      <t xml:space="preserve">Zhang, H., Jiang, Y., Song, M., He, J. and Guan, D. (2020) ‘Improving understanding of carbon stock characteristics of Eucalyptus and Acacia trees in southern China through litter layer and woody debris’, </t>
    </r>
    <r>
      <rPr>
        <i/>
        <sz val="11"/>
        <color theme="1"/>
        <rFont val="Calibri"/>
        <family val="2"/>
        <scheme val="minor"/>
      </rPr>
      <t>Scientific Reports</t>
    </r>
    <r>
      <rPr>
        <sz val="11"/>
        <color theme="1"/>
        <rFont val="Calibri"/>
        <family val="2"/>
        <scheme val="minor"/>
      </rPr>
      <t>, 10(1), pp. 1–11. doi: 10.1038/s41598-020-61476-3.</t>
    </r>
  </si>
  <si>
    <r>
      <t xml:space="preserve">Becker, K., Wulfmeyer, V., Berger, T., Gebel, J. and Münch, W. (2013) ‘Carbon farming in hot, dry coastal areas: An option for climate change mitigation’, </t>
    </r>
    <r>
      <rPr>
        <i/>
        <sz val="11"/>
        <color theme="1"/>
        <rFont val="Calibri"/>
        <family val="2"/>
        <scheme val="minor"/>
      </rPr>
      <t>Earth System Dynamics</t>
    </r>
    <r>
      <rPr>
        <sz val="11"/>
        <color theme="1"/>
        <rFont val="Calibri"/>
        <family val="2"/>
        <scheme val="minor"/>
      </rPr>
      <t>, 4(2), pp. 237–251. doi: 10.5194/esd-4-237-2013.</t>
    </r>
  </si>
  <si>
    <t>(McPherson et al_2016)</t>
  </si>
  <si>
    <t>(Zhang et al_2020 &amp; Becker et al_2013)
This will change with tree type and the climate etc as based on Zhang et al. However, it is generally takent o be 50%.</t>
  </si>
  <si>
    <t>(Dhehibi et al_2018; Texas A &amp; M University_2011))</t>
  </si>
  <si>
    <t>For planted forest in sandy soil</t>
  </si>
  <si>
    <r>
      <t xml:space="preserve">Tran, D. B., Hoang, T. V and Dargusch, P. (2015) ‘An assessment of the carbon stocks and sodicity tolerance of disturbed Melaleuca forests in Southern Vietnam’, </t>
    </r>
    <r>
      <rPr>
        <i/>
        <sz val="11"/>
        <color theme="1"/>
        <rFont val="Calibri"/>
        <family val="2"/>
        <scheme val="minor"/>
      </rPr>
      <t>Carbon Balance and Management</t>
    </r>
    <r>
      <rPr>
        <sz val="11"/>
        <color theme="1"/>
        <rFont val="Calibri"/>
        <family val="2"/>
        <scheme val="minor"/>
      </rPr>
      <t>, 10, p. 15. doi: 10.1186/s13021-015-0025-6.</t>
    </r>
  </si>
  <si>
    <t>Date Palm Specific Parameters</t>
  </si>
  <si>
    <r>
      <t xml:space="preserve">All values inflated to 2019 USD and converted to </t>
    </r>
    <r>
      <rPr>
        <sz val="11"/>
        <color theme="1"/>
        <rFont val="Calibri"/>
        <family val="2"/>
      </rPr>
      <t>€</t>
    </r>
  </si>
  <si>
    <t>(Issa et al_2020)</t>
  </si>
  <si>
    <t>Issa et al_2020 : it could be even higher, but using the lower value.</t>
  </si>
  <si>
    <t>(Da Binh Tran et al_2016)</t>
  </si>
  <si>
    <t>(Du et al_2015)</t>
  </si>
  <si>
    <t>(Sohrabi et al_2016)</t>
  </si>
  <si>
    <r>
      <t xml:space="preserve">Sohrabi, H., Bakhtiarvand-Bakhtiari, S. and Ahmadi, K. (2016) ‘Above- and below-ground biomass and carbon stocks of different tree plantations in central Iran’, </t>
    </r>
    <r>
      <rPr>
        <i/>
        <sz val="11"/>
        <color theme="1"/>
        <rFont val="Calibri"/>
        <family val="2"/>
        <scheme val="minor"/>
      </rPr>
      <t>Journal of Arid Land</t>
    </r>
    <r>
      <rPr>
        <sz val="11"/>
        <color theme="1"/>
        <rFont val="Calibri"/>
        <family val="2"/>
        <scheme val="minor"/>
      </rPr>
      <t>, 8(1), pp. 138–145. doi: 10.1007/s40333-015-0087-z.</t>
    </r>
  </si>
  <si>
    <r>
      <t xml:space="preserve">Du, H., Zeng, F., Peng, W., Wang, K., Zhang, H., Liu, L. and Song, T. (2015) ‘Carbon storage in a Eucalyptus plantation chronosequence in Southern China’, </t>
    </r>
    <r>
      <rPr>
        <i/>
        <sz val="11"/>
        <color theme="1"/>
        <rFont val="Calibri"/>
        <family val="2"/>
        <scheme val="minor"/>
      </rPr>
      <t>Forests</t>
    </r>
    <r>
      <rPr>
        <sz val="11"/>
        <color theme="1"/>
        <rFont val="Calibri"/>
        <family val="2"/>
        <scheme val="minor"/>
      </rPr>
      <t>, 6(6), pp. 1763–1778. doi: 10.3390/f6061763.</t>
    </r>
  </si>
  <si>
    <t>Validating Carbon Stored in the Forests</t>
  </si>
  <si>
    <t>Following literature sources state the below numbers for the carbon sequestration potential of forests</t>
  </si>
  <si>
    <t>Bastin et al_2019</t>
  </si>
  <si>
    <r>
      <t xml:space="preserve">Pan, Y., Birdsey, R. A., Fang, J., Houghton, R., Kauppi, P. E., Kurz, W. A., Phillips, O. L., Shvidenko, A., Lewis, S. L., Canadell, J. G., </t>
    </r>
    <r>
      <rPr>
        <i/>
        <sz val="11"/>
        <color theme="1"/>
        <rFont val="Calibri"/>
        <family val="2"/>
        <scheme val="minor"/>
      </rPr>
      <t>et al.</t>
    </r>
    <r>
      <rPr>
        <sz val="11"/>
        <color theme="1"/>
        <rFont val="Calibri"/>
        <family val="2"/>
        <scheme val="minor"/>
      </rPr>
      <t xml:space="preserve"> (2011) ‘A large and persistent carbon sink in the world’s forests’, </t>
    </r>
    <r>
      <rPr>
        <i/>
        <sz val="11"/>
        <color theme="1"/>
        <rFont val="Calibri"/>
        <family val="2"/>
        <scheme val="minor"/>
      </rPr>
      <t>Science</t>
    </r>
    <r>
      <rPr>
        <sz val="11"/>
        <color theme="1"/>
        <rFont val="Calibri"/>
        <family val="2"/>
        <scheme val="minor"/>
      </rPr>
      <t>, 333(6045), pp. 988–993. doi: 10.1126/science.1201609.</t>
    </r>
  </si>
  <si>
    <r>
      <t xml:space="preserve">Bastin, J. F., Finegold, Y., Garcia, C., Mollicone, D., Rezende, M., Routh, D., Zohner, C. M. and Crowther, T. W. (2019) ‘The global tree restoration potential’, </t>
    </r>
    <r>
      <rPr>
        <i/>
        <sz val="11"/>
        <color theme="1"/>
        <rFont val="Calibri"/>
        <family val="2"/>
        <scheme val="minor"/>
      </rPr>
      <t>Science</t>
    </r>
    <r>
      <rPr>
        <sz val="11"/>
        <color theme="1"/>
        <rFont val="Calibri"/>
        <family val="2"/>
        <scheme val="minor"/>
      </rPr>
      <t>, 364(6448), pp. 76–79. doi: 10.1126/science.aax0848.</t>
    </r>
  </si>
  <si>
    <t>Conservative  estimate of sequestration potential in restoration land suitable for trees</t>
  </si>
  <si>
    <t xml:space="preserve">Total restoration land area </t>
  </si>
  <si>
    <t>Mha</t>
  </si>
  <si>
    <t>Long time to reach maximum carbon sequestration potential</t>
  </si>
  <si>
    <t>Assuming mature age of trees  based on IPCC special report</t>
  </si>
  <si>
    <t xml:space="preserve">Average  carbon sequestration potential </t>
  </si>
  <si>
    <t>Pan et al_2011</t>
  </si>
  <si>
    <t>Age of forests</t>
  </si>
  <si>
    <t xml:space="preserve">Boreal forests </t>
  </si>
  <si>
    <t>Temperatre forests</t>
  </si>
  <si>
    <t>Tropical intact forests</t>
  </si>
  <si>
    <t>Tropical  regrowth forests</t>
  </si>
  <si>
    <t>All tropics</t>
  </si>
  <si>
    <t xml:space="preserve">Boreal forests  avg potential </t>
  </si>
  <si>
    <t xml:space="preserve">Temperatre forests  avg potential </t>
  </si>
  <si>
    <t xml:space="preserve">Tropical intact forests  avg potential  </t>
  </si>
  <si>
    <t xml:space="preserve">Tropical  regrowth forests  avg potential </t>
  </si>
  <si>
    <t xml:space="preserve">All tropics  avg potential </t>
  </si>
  <si>
    <t>Grace et al_2006</t>
  </si>
  <si>
    <t>General productivity of tropical savannahs</t>
  </si>
  <si>
    <t>According to Grace et al._2006, the productivity of savannahs are limited by</t>
  </si>
  <si>
    <t>precipitation. There is a linear relationhip between precipitation and biomass.</t>
  </si>
  <si>
    <t>Savannahs in India which are largely degraded sub-humid rain forests have higher  productivity values</t>
  </si>
  <si>
    <t>To get smooth curves in the carbon sequestration diagrams shown, the numbers are smoothened out using gradient slope illustrated in Braakhekke et al. (2019).</t>
  </si>
  <si>
    <t>Clark_2013</t>
  </si>
  <si>
    <t>Convering lower limit assuming 50% carbon in  biomass</t>
  </si>
  <si>
    <t>Convering upper limit assuming 50% carbon in  biomass</t>
  </si>
  <si>
    <t>Lowland tropical forest net primary productivity in Costa Rica</t>
  </si>
  <si>
    <t>Maass and Martinez-Yrizar_2013</t>
  </si>
  <si>
    <t>Tropical humid forest in South America</t>
  </si>
  <si>
    <r>
      <t xml:space="preserve">Grace, J., José, J. S., Meir, P., Miranda, H. S. and Montes, R. A. (2006) ‘Productivity and carbon fluxes of tropical savannas’, </t>
    </r>
    <r>
      <rPr>
        <i/>
        <sz val="11"/>
        <color theme="1"/>
        <rFont val="Calibri"/>
        <family val="2"/>
        <scheme val="minor"/>
      </rPr>
      <t>Journal of Biogeography</t>
    </r>
    <r>
      <rPr>
        <sz val="11"/>
        <color theme="1"/>
        <rFont val="Calibri"/>
        <family val="2"/>
        <scheme val="minor"/>
      </rPr>
      <t>, 33(3), pp. 387–400. doi: 10.1111/j.1365-2699.2005.01448.x.</t>
    </r>
  </si>
  <si>
    <t xml:space="preserve">References used in this Excel file </t>
  </si>
  <si>
    <t>Clark, D. A. (2013) ‘NPP Tropical Forest: La Selva, Costa Rica, 1975-1994, R1’. Oak Ridge, Tennessee, USA: Oak Ridge National Laboratory Distributed Active Archive Center. doi: doi:10.3334/ORNLDAAC/218.</t>
  </si>
  <si>
    <t>Maass, M. and Martinez-Yrizar, A. (2013) ‘NPP Tropical Forest: Chamela, Mexico, 1982-1995, R1’. Tennessee, USA: ORNL DAAC. doi: doi.org/10.3334/ORNLDAAC/578.</t>
  </si>
  <si>
    <t>Share of each tree type assumed</t>
  </si>
  <si>
    <t>Tree1</t>
  </si>
  <si>
    <t>Tree2</t>
  </si>
  <si>
    <t>Paper Bark</t>
  </si>
  <si>
    <t>Tree3</t>
  </si>
  <si>
    <t>Tree4</t>
  </si>
  <si>
    <t>Tree5</t>
  </si>
  <si>
    <t>Tree6</t>
  </si>
  <si>
    <t>Iron Wood</t>
  </si>
  <si>
    <t>Tree7</t>
  </si>
  <si>
    <t>Tree8</t>
  </si>
  <si>
    <t xml:space="preserve">Total </t>
  </si>
  <si>
    <t xml:space="preserve"> Cumulative CO2 Stored (Aboveground Belowground) +  Litter+ Deadwood+ Soil Carbon</t>
  </si>
  <si>
    <t xml:space="preserve"> Share Value</t>
  </si>
  <si>
    <t xml:space="preserve">Resulting average carbon sequestraton globally </t>
  </si>
  <si>
    <t>Validating Water Demand of Forests</t>
  </si>
  <si>
    <t>Ryland _2019</t>
  </si>
  <si>
    <t>Total water demand per year</t>
  </si>
  <si>
    <t>Avg water demand per tree</t>
  </si>
  <si>
    <t xml:space="preserve">Total area </t>
  </si>
  <si>
    <t>Avg water demand per unit area</t>
  </si>
  <si>
    <r>
      <t>m</t>
    </r>
    <r>
      <rPr>
        <vertAlign val="superscript"/>
        <sz val="11"/>
        <color theme="1"/>
        <rFont val="Calibri"/>
        <family val="2"/>
        <scheme val="minor"/>
      </rPr>
      <t>3</t>
    </r>
    <r>
      <rPr>
        <sz val="11"/>
        <color theme="1"/>
        <rFont val="Calibri"/>
        <family val="2"/>
        <scheme val="minor"/>
      </rPr>
      <t>/year</t>
    </r>
  </si>
  <si>
    <r>
      <t>m</t>
    </r>
    <r>
      <rPr>
        <vertAlign val="superscript"/>
        <sz val="11"/>
        <color theme="1"/>
        <rFont val="Calibri"/>
        <family val="2"/>
        <scheme val="minor"/>
      </rPr>
      <t>2</t>
    </r>
  </si>
  <si>
    <r>
      <t>m</t>
    </r>
    <r>
      <rPr>
        <vertAlign val="superscript"/>
        <sz val="11"/>
        <color theme="1"/>
        <rFont val="Calibri"/>
        <family val="2"/>
        <scheme val="minor"/>
      </rPr>
      <t>3</t>
    </r>
    <r>
      <rPr>
        <sz val="11"/>
        <color theme="1"/>
        <rFont val="Calibri"/>
        <family val="2"/>
        <scheme val="minor"/>
      </rPr>
      <t>/m</t>
    </r>
    <r>
      <rPr>
        <vertAlign val="superscript"/>
        <sz val="11"/>
        <color theme="1"/>
        <rFont val="Calibri"/>
        <family val="2"/>
        <scheme val="minor"/>
      </rPr>
      <t>2</t>
    </r>
  </si>
  <si>
    <t>Smith et al_2016</t>
  </si>
  <si>
    <t xml:space="preserve">Water demand of forests range </t>
  </si>
  <si>
    <t xml:space="preserve">1176 - 2353 </t>
  </si>
  <si>
    <r>
      <t>m</t>
    </r>
    <r>
      <rPr>
        <vertAlign val="superscript"/>
        <sz val="11"/>
        <color theme="1"/>
        <rFont val="Calibri"/>
        <family val="2"/>
        <scheme val="minor"/>
      </rPr>
      <t>3</t>
    </r>
    <r>
      <rPr>
        <sz val="11"/>
        <color theme="1"/>
        <rFont val="Calibri"/>
        <family val="2"/>
        <scheme val="minor"/>
      </rPr>
      <t>/tC</t>
    </r>
  </si>
  <si>
    <t>Resulting average water demand of forests</t>
  </si>
  <si>
    <r>
      <t>m</t>
    </r>
    <r>
      <rPr>
        <b/>
        <vertAlign val="superscript"/>
        <sz val="11"/>
        <color theme="1"/>
        <rFont val="Calibri"/>
        <family val="2"/>
        <scheme val="minor"/>
      </rPr>
      <t>3</t>
    </r>
    <r>
      <rPr>
        <b/>
        <sz val="11"/>
        <color theme="1"/>
        <rFont val="Calibri"/>
        <family val="2"/>
        <scheme val="minor"/>
      </rPr>
      <t>/tC</t>
    </r>
  </si>
  <si>
    <r>
      <t>m</t>
    </r>
    <r>
      <rPr>
        <b/>
        <vertAlign val="superscript"/>
        <sz val="11"/>
        <color theme="1"/>
        <rFont val="Calibri"/>
        <family val="2"/>
        <scheme val="minor"/>
      </rPr>
      <t>3</t>
    </r>
    <r>
      <rPr>
        <b/>
        <sz val="11"/>
        <color theme="1"/>
        <rFont val="Calibri"/>
        <family val="2"/>
        <scheme val="minor"/>
      </rPr>
      <t>/m</t>
    </r>
    <r>
      <rPr>
        <b/>
        <vertAlign val="superscript"/>
        <sz val="11"/>
        <color theme="1"/>
        <rFont val="Calibri"/>
        <family val="2"/>
        <scheme val="minor"/>
      </rPr>
      <t>2</t>
    </r>
  </si>
  <si>
    <t xml:space="preserve">The water demand per tC reduces due to the continous increase in carbon sequestered whilst the water demand is not expected to change much after 2060. </t>
  </si>
  <si>
    <r>
      <t xml:space="preserve">Ryland, D. (2019) ‘A Green Sahara : Is Afforestation the Solution to Climate Change that Mankind Has Been Looking For ?’, </t>
    </r>
    <r>
      <rPr>
        <i/>
        <sz val="11"/>
        <color theme="1"/>
        <rFont val="Calibri"/>
        <family val="2"/>
        <scheme val="minor"/>
      </rPr>
      <t>The E&amp;S Magazine</t>
    </r>
    <r>
      <rPr>
        <sz val="11"/>
        <color theme="1"/>
        <rFont val="Calibri"/>
        <family val="2"/>
        <scheme val="minor"/>
      </rPr>
      <t>.</t>
    </r>
  </si>
  <si>
    <r>
      <t xml:space="preserve">Smith, P., Davis, S. J., Creutzig, F., Fuss, S., Minx, J., Gabrielle, B., Kato, E., Jackson, R. B., Cowie, A., Kriegler, E., </t>
    </r>
    <r>
      <rPr>
        <i/>
        <sz val="11"/>
        <color theme="1"/>
        <rFont val="Calibri"/>
        <family val="2"/>
        <scheme val="minor"/>
      </rPr>
      <t>et al.</t>
    </r>
    <r>
      <rPr>
        <sz val="11"/>
        <color theme="1"/>
        <rFont val="Calibri"/>
        <family val="2"/>
        <scheme val="minor"/>
      </rPr>
      <t xml:space="preserve"> (2016) ‘Biophysical and economic limits to negative CO2 emissions’, </t>
    </r>
    <r>
      <rPr>
        <i/>
        <sz val="11"/>
        <color theme="1"/>
        <rFont val="Calibri"/>
        <family val="2"/>
        <scheme val="minor"/>
      </rPr>
      <t>Nature Climate Change</t>
    </r>
    <r>
      <rPr>
        <sz val="11"/>
        <color theme="1"/>
        <rFont val="Calibri"/>
        <family val="2"/>
        <scheme val="minor"/>
      </rPr>
      <t>, 6(1), pp. 42–50. doi: 10.1038/nclimate2870.</t>
    </r>
  </si>
  <si>
    <t>Country List</t>
  </si>
  <si>
    <t>Major Region</t>
  </si>
  <si>
    <t>Total</t>
  </si>
  <si>
    <t>World</t>
  </si>
  <si>
    <t>Afghanistan</t>
  </si>
  <si>
    <t>SAARC</t>
  </si>
  <si>
    <t>Albania</t>
  </si>
  <si>
    <t>Europe</t>
  </si>
  <si>
    <t>Algeria</t>
  </si>
  <si>
    <t>MENA</t>
  </si>
  <si>
    <t>Andorra</t>
  </si>
  <si>
    <t>Angola</t>
  </si>
  <si>
    <t>Sub-Saharan Africa</t>
  </si>
  <si>
    <t>Antarctica</t>
  </si>
  <si>
    <t>Antigua and Barbuda</t>
  </si>
  <si>
    <t>Area under dispute</t>
  </si>
  <si>
    <t>Argentina</t>
  </si>
  <si>
    <t>South America</t>
  </si>
  <si>
    <t>Armenia</t>
  </si>
  <si>
    <t>Eurasia</t>
  </si>
  <si>
    <t>Australia</t>
  </si>
  <si>
    <t>Southeast Asia &amp; Oceania</t>
  </si>
  <si>
    <t>Austria</t>
  </si>
  <si>
    <t>Azerbaijan</t>
  </si>
  <si>
    <t>Bahamas, The</t>
  </si>
  <si>
    <t>Bahrain</t>
  </si>
  <si>
    <t>Bangladesh</t>
  </si>
  <si>
    <t>Barbados</t>
  </si>
  <si>
    <t>Belarus</t>
  </si>
  <si>
    <t>Belgium</t>
  </si>
  <si>
    <t>Belize</t>
  </si>
  <si>
    <t>Benin</t>
  </si>
  <si>
    <t>Bermuda</t>
  </si>
  <si>
    <t>Bhutan</t>
  </si>
  <si>
    <t>Bolivia</t>
  </si>
  <si>
    <t>Bosnia-Herzegovina</t>
  </si>
  <si>
    <t>Botswana</t>
  </si>
  <si>
    <t>Bouvet Island</t>
  </si>
  <si>
    <t>Brazil</t>
  </si>
  <si>
    <t>Brunei</t>
  </si>
  <si>
    <t>Bulgaria</t>
  </si>
  <si>
    <t>Burma</t>
  </si>
  <si>
    <t>Burundi</t>
  </si>
  <si>
    <t>Cambodia (Formerly Kampuchea)</t>
  </si>
  <si>
    <t>Cameroon</t>
  </si>
  <si>
    <t>Canada</t>
  </si>
  <si>
    <t>North America</t>
  </si>
  <si>
    <t>Cape Verde</t>
  </si>
  <si>
    <t>Central African Republic</t>
  </si>
  <si>
    <t>Chad</t>
  </si>
  <si>
    <t>Chile</t>
  </si>
  <si>
    <t>China</t>
  </si>
  <si>
    <t>Northeast Asia</t>
  </si>
  <si>
    <t>Colombia</t>
  </si>
  <si>
    <t>Comoros</t>
  </si>
  <si>
    <t>Congo, Democratic Republic of the (Formerly Zaire)</t>
  </si>
  <si>
    <t>Congo, Republic of the</t>
  </si>
  <si>
    <t>Costa Rica</t>
  </si>
  <si>
    <t>Croatia</t>
  </si>
  <si>
    <t>Crozet Islands (France)</t>
  </si>
  <si>
    <t>Cuba</t>
  </si>
  <si>
    <t>Cyprus</t>
  </si>
  <si>
    <t>Czech Republic</t>
  </si>
  <si>
    <t>Denmark</t>
  </si>
  <si>
    <t>Djibouti</t>
  </si>
  <si>
    <t>Dominica</t>
  </si>
  <si>
    <t>Dominican Republic</t>
  </si>
  <si>
    <t>Ecuador</t>
  </si>
  <si>
    <t>Egypt</t>
  </si>
  <si>
    <t>El Salvador</t>
  </si>
  <si>
    <t>Equatorial Guinea</t>
  </si>
  <si>
    <t>Eritrea</t>
  </si>
  <si>
    <t>Estonia</t>
  </si>
  <si>
    <t>Ethiopia</t>
  </si>
  <si>
    <t>Falkland Islands (Islas Malvinas)</t>
  </si>
  <si>
    <t>Federated States of Micronesia</t>
  </si>
  <si>
    <t>Fiji</t>
  </si>
  <si>
    <t>Finland</t>
  </si>
  <si>
    <t>France</t>
  </si>
  <si>
    <t>French Guiana</t>
  </si>
  <si>
    <t>Gabon</t>
  </si>
  <si>
    <t>Gambia, The</t>
  </si>
  <si>
    <t>Georgia</t>
  </si>
  <si>
    <t>Germany</t>
  </si>
  <si>
    <t>Ghana</t>
  </si>
  <si>
    <t>Greece</t>
  </si>
  <si>
    <t>Greenland</t>
  </si>
  <si>
    <t>Grenada</t>
  </si>
  <si>
    <t>Guadeloupe</t>
  </si>
  <si>
    <t>Guam</t>
  </si>
  <si>
    <t>Guatemala</t>
  </si>
  <si>
    <t>Guinea</t>
  </si>
  <si>
    <t>Guinea - Bissau</t>
  </si>
  <si>
    <t>Guyana</t>
  </si>
  <si>
    <t>Haiti</t>
  </si>
  <si>
    <t>Honduras</t>
  </si>
  <si>
    <t>Hong Kong</t>
  </si>
  <si>
    <t>Hungary</t>
  </si>
  <si>
    <t>Iceland</t>
  </si>
  <si>
    <t>Ile Amsterdam (France)</t>
  </si>
  <si>
    <t>India</t>
  </si>
  <si>
    <t>Indonesia</t>
  </si>
  <si>
    <t>Iran</t>
  </si>
  <si>
    <t>Iraq</t>
  </si>
  <si>
    <t>Ireland</t>
  </si>
  <si>
    <t>Israel</t>
  </si>
  <si>
    <t>Italy</t>
  </si>
  <si>
    <t>Ivory Coast</t>
  </si>
  <si>
    <t>Jamaica</t>
  </si>
  <si>
    <t>Japan</t>
  </si>
  <si>
    <t>Jordan</t>
  </si>
  <si>
    <t>Kazakhstan</t>
  </si>
  <si>
    <t>Kenya</t>
  </si>
  <si>
    <t>Kerguelen Islands (France)</t>
  </si>
  <si>
    <t>Kiribati</t>
  </si>
  <si>
    <t>Korea, Democratic Peoples Republic</t>
  </si>
  <si>
    <t>Korea, Republic of</t>
  </si>
  <si>
    <t>Kuwait</t>
  </si>
  <si>
    <t>Kyrgyzstan</t>
  </si>
  <si>
    <t>Laos</t>
  </si>
  <si>
    <t>Latvia</t>
  </si>
  <si>
    <t>Lebanon</t>
  </si>
  <si>
    <t>Lesotho</t>
  </si>
  <si>
    <t>Liberia</t>
  </si>
  <si>
    <t>Libya</t>
  </si>
  <si>
    <t>Lithuania</t>
  </si>
  <si>
    <t>Luxembourg</t>
  </si>
  <si>
    <t>Macedonia</t>
  </si>
  <si>
    <t>Madagascar</t>
  </si>
  <si>
    <t>Malawi</t>
  </si>
  <si>
    <t>Malaysia</t>
  </si>
  <si>
    <t>Maldives</t>
  </si>
  <si>
    <t>Mali</t>
  </si>
  <si>
    <t>Malta</t>
  </si>
  <si>
    <t>Martinique</t>
  </si>
  <si>
    <t>Mauritania</t>
  </si>
  <si>
    <t>Mauritius</t>
  </si>
  <si>
    <t>Mexico</t>
  </si>
  <si>
    <t>Moldova</t>
  </si>
  <si>
    <t>Mongolia</t>
  </si>
  <si>
    <t>Morocco</t>
  </si>
  <si>
    <t>Mozambique</t>
  </si>
  <si>
    <t>Namibia</t>
  </si>
  <si>
    <t>Nepal</t>
  </si>
  <si>
    <t>Netherlands</t>
  </si>
  <si>
    <t>New Caledonia</t>
  </si>
  <si>
    <t>New Hebrides</t>
  </si>
  <si>
    <t>New Zealand</t>
  </si>
  <si>
    <t>Nicaragua</t>
  </si>
  <si>
    <t>Niger</t>
  </si>
  <si>
    <t>Nigeria</t>
  </si>
  <si>
    <t>Norfolk Island</t>
  </si>
  <si>
    <t>Northern Mariana Islands</t>
  </si>
  <si>
    <t>Norway</t>
  </si>
  <si>
    <t>Oman</t>
  </si>
  <si>
    <t>Pakistan</t>
  </si>
  <si>
    <t>Panama</t>
  </si>
  <si>
    <t>Papua New Guinea</t>
  </si>
  <si>
    <t>Paraguay</t>
  </si>
  <si>
    <t>Peru</t>
  </si>
  <si>
    <t>Philippines</t>
  </si>
  <si>
    <t>Poland</t>
  </si>
  <si>
    <t>Portugal</t>
  </si>
  <si>
    <t>Prince Edward Islands (South Africa)</t>
  </si>
  <si>
    <t>Puerto Rico</t>
  </si>
  <si>
    <t>Qatar</t>
  </si>
  <si>
    <t>Republic of Palau</t>
  </si>
  <si>
    <t>Reunion</t>
  </si>
  <si>
    <t>Romania</t>
  </si>
  <si>
    <t>Russia</t>
  </si>
  <si>
    <t>Rwanda</t>
  </si>
  <si>
    <t>Sao Tome and Principe</t>
  </si>
  <si>
    <t>Saudi Arabia</t>
  </si>
  <si>
    <t>Senegal</t>
  </si>
  <si>
    <t>Seychelles</t>
  </si>
  <si>
    <t>Sierra Leone</t>
  </si>
  <si>
    <t>Singapore</t>
  </si>
  <si>
    <t>Slovakia</t>
  </si>
  <si>
    <t>Slovenia</t>
  </si>
  <si>
    <t>Solomon Island</t>
  </si>
  <si>
    <t>Somalia</t>
  </si>
  <si>
    <t>South Africa</t>
  </si>
  <si>
    <t>Spain</t>
  </si>
  <si>
    <t>Sri Lanka</t>
  </si>
  <si>
    <t>St. Helena</t>
  </si>
  <si>
    <t>St. Lucia</t>
  </si>
  <si>
    <t>St. Vincent and the Grenadines</t>
  </si>
  <si>
    <t>Sudan</t>
  </si>
  <si>
    <t>Suriname</t>
  </si>
  <si>
    <t>Swaziland</t>
  </si>
  <si>
    <t>Sweden</t>
  </si>
  <si>
    <t>Switzerland</t>
  </si>
  <si>
    <t>Syria</t>
  </si>
  <si>
    <t>Taiwan</t>
  </si>
  <si>
    <t>Tajikistan</t>
  </si>
  <si>
    <t>Tanzania, United Republic of</t>
  </si>
  <si>
    <t>Thailand</t>
  </si>
  <si>
    <t>Togo</t>
  </si>
  <si>
    <t>Trinidad and Tobago</t>
  </si>
  <si>
    <t>Tunisia</t>
  </si>
  <si>
    <t>Turkey</t>
  </si>
  <si>
    <t>Turkmenistan</t>
  </si>
  <si>
    <t>Uganda</t>
  </si>
  <si>
    <t>Ukraine</t>
  </si>
  <si>
    <t>United Arab Emirates</t>
  </si>
  <si>
    <t>United Kingdom</t>
  </si>
  <si>
    <t>United States</t>
  </si>
  <si>
    <t>Upper Volta - Burkina Faso</t>
  </si>
  <si>
    <t>Uruguay</t>
  </si>
  <si>
    <t>Uzbekistan</t>
  </si>
  <si>
    <t>Venezuela</t>
  </si>
  <si>
    <t>Vietnam</t>
  </si>
  <si>
    <t>Virgin Islands</t>
  </si>
  <si>
    <t>West Bank</t>
  </si>
  <si>
    <t>Western Sahara</t>
  </si>
  <si>
    <t>Yemen</t>
  </si>
  <si>
    <t>Yugoslavia</t>
  </si>
  <si>
    <t>Zambia</t>
  </si>
  <si>
    <t>Zimbabwe</t>
  </si>
  <si>
    <t>SSA</t>
  </si>
  <si>
    <t>NEA</t>
  </si>
  <si>
    <t>SEA</t>
  </si>
  <si>
    <t>NA</t>
  </si>
  <si>
    <t>SA</t>
  </si>
  <si>
    <t xml:space="preserve">Major Region </t>
  </si>
  <si>
    <t>Abbreviation used in this research</t>
  </si>
  <si>
    <t>* Countries that have not been grouped under the major regions</t>
  </si>
  <si>
    <t>The Kc values for the trees are chosen using the WUCOLS database and are as below:</t>
  </si>
  <si>
    <t>This Suppementary file consists of the following worksheets</t>
  </si>
  <si>
    <t>Notes on tree allometry</t>
  </si>
  <si>
    <t>KeyParameters</t>
  </si>
  <si>
    <t>Validation</t>
  </si>
  <si>
    <t>Regional Breakdown</t>
  </si>
  <si>
    <t>References</t>
  </si>
  <si>
    <t>Further details on the use of the tree allometry equations and water demand estimation for all the 8 trees used in this research</t>
  </si>
  <si>
    <t>List of all key parameters in this research and the financial and technical parameters of sub-surface irrigation systems</t>
  </si>
  <si>
    <t>Tree allometry and carbon sequetration equation for Coolibah tree</t>
  </si>
  <si>
    <t>Tree allometry and carbon sequetration equation for Paperbark tree</t>
  </si>
  <si>
    <t>Tree allometry and carbon sequetration equation for Date Palm</t>
  </si>
  <si>
    <t>Tree allometry and carbon sequetration equation for Turkish Pine</t>
  </si>
  <si>
    <t>Tree allometry and carbon sequetration equation for Willow Acacia</t>
  </si>
  <si>
    <t>Tree allometry and carbon sequetration equation for Casuarina</t>
  </si>
  <si>
    <t>Tree allometry and carbon sequetration equation for Kamani</t>
  </si>
  <si>
    <t>Tree allometry and carbon sequetration equation for White Mulberry</t>
  </si>
  <si>
    <t>Checking the carbon sequestration and water demand numbers derived for this research</t>
  </si>
  <si>
    <t xml:space="preserve">References in this Excel file </t>
  </si>
  <si>
    <t>The countries that comprise the 9 major regions used in this study</t>
  </si>
  <si>
    <t>Species specific water coefficient  (Kc) ( provided in WUCOLS database depending on climatic regions in California)</t>
  </si>
  <si>
    <t>Costello, L. R. and Jones, K. S. (2014) ‘WUCOLS IV: Water Use Classification of Landscape Species’. California, USA: California Center for Urban Horticulture, University of California, Davis. Available at: https://ucanr.edu/sites/WUCOLS/ (Accessed: 15 March 2022).</t>
  </si>
  <si>
    <r>
      <t>Upeksha Caldera</t>
    </r>
    <r>
      <rPr>
        <vertAlign val="superscript"/>
        <sz val="10"/>
        <color theme="1"/>
        <rFont val="Times New Roman"/>
        <family val="1"/>
      </rPr>
      <t>1</t>
    </r>
    <r>
      <rPr>
        <sz val="10"/>
        <color theme="1"/>
        <rFont val="Times New Roman"/>
        <family val="1"/>
      </rPr>
      <t>, Christian Breyer</t>
    </r>
    <r>
      <rPr>
        <vertAlign val="superscript"/>
        <sz val="10"/>
        <color theme="1"/>
        <rFont val="Times New Roman"/>
        <family val="1"/>
      </rPr>
      <t>1</t>
    </r>
  </si>
  <si>
    <r>
      <t>1</t>
    </r>
    <r>
      <rPr>
        <sz val="11"/>
        <color theme="1"/>
        <rFont val="Calibri"/>
        <family val="2"/>
        <scheme val="minor"/>
      </rPr>
      <t xml:space="preserve"> </t>
    </r>
    <r>
      <rPr>
        <sz val="10"/>
        <color theme="1"/>
        <rFont val="Times New Roman"/>
        <family val="1"/>
      </rPr>
      <t>LUT University, Yliopistonkatu 34, 53850 Lappeenranta, Finland</t>
    </r>
  </si>
  <si>
    <t>The ratio of the chosen trees below were modified to ensure that the maximum carbon sequestration rate did not exceed 11 tC/ha/year</t>
  </si>
  <si>
    <t>Rest of World</t>
  </si>
  <si>
    <t>Rest of World*</t>
  </si>
  <si>
    <t>Supplementary Information 2</t>
  </si>
  <si>
    <t>Only afforestation removing any cumulative CO2 emissions</t>
  </si>
  <si>
    <t>After 2050 it is taken that there are no fossil fuel emissions from the total energy system</t>
  </si>
  <si>
    <t xml:space="preserve">* </t>
  </si>
  <si>
    <t>From 2018 - 2050</t>
  </si>
  <si>
    <t>With Chemical Industry</t>
  </si>
  <si>
    <t>Desalination</t>
  </si>
  <si>
    <t>Transport</t>
  </si>
  <si>
    <t>Heat</t>
  </si>
  <si>
    <t>Power</t>
  </si>
  <si>
    <t>Sectors</t>
  </si>
  <si>
    <r>
      <t>Annual CO</t>
    </r>
    <r>
      <rPr>
        <b/>
        <vertAlign val="subscript"/>
        <sz val="11"/>
        <color theme="1"/>
        <rFont val="Calibri"/>
        <family val="2"/>
        <scheme val="minor"/>
      </rPr>
      <t>2</t>
    </r>
    <r>
      <rPr>
        <b/>
        <sz val="11"/>
        <color theme="1"/>
        <rFont val="Calibri"/>
        <family val="2"/>
        <scheme val="minor"/>
      </rPr>
      <t xml:space="preserve"> Emissions_ Energy Transition</t>
    </r>
  </si>
  <si>
    <t>Global</t>
  </si>
  <si>
    <r>
      <t>Impact of global afforestation potential on projected CO</t>
    </r>
    <r>
      <rPr>
        <b/>
        <vertAlign val="subscript"/>
        <sz val="11"/>
        <color theme="1"/>
        <rFont val="Calibri"/>
        <family val="2"/>
        <scheme val="minor"/>
      </rPr>
      <t>2</t>
    </r>
    <r>
      <rPr>
        <b/>
        <sz val="11"/>
        <color theme="1"/>
        <rFont val="Calibri"/>
        <family val="2"/>
        <scheme val="minor"/>
      </rPr>
      <t xml:space="preserve"> emissions based on the energy transition scenario where all energy systems are fossil free by mid-century</t>
    </r>
  </si>
  <si>
    <r>
      <t>Total (GtCO</t>
    </r>
    <r>
      <rPr>
        <b/>
        <vertAlign val="subscript"/>
        <sz val="11"/>
        <color rgb="FF000000"/>
        <rFont val="Calibri"/>
        <family val="2"/>
      </rPr>
      <t>2</t>
    </r>
    <r>
      <rPr>
        <b/>
        <sz val="11"/>
        <color indexed="8"/>
        <rFont val="Calibri"/>
        <family val="2"/>
      </rPr>
      <t>)</t>
    </r>
  </si>
  <si>
    <r>
      <t>Annual CO</t>
    </r>
    <r>
      <rPr>
        <b/>
        <vertAlign val="subscript"/>
        <sz val="11"/>
        <color rgb="FF000000"/>
        <rFont val="Calibri"/>
        <family val="2"/>
      </rPr>
      <t>2</t>
    </r>
    <r>
      <rPr>
        <b/>
        <sz val="11"/>
        <color indexed="8"/>
        <rFont val="Calibri"/>
        <family val="2"/>
      </rPr>
      <t xml:space="preserve"> Emissions_ Energy Transition_All Sectors (GtCO</t>
    </r>
    <r>
      <rPr>
        <b/>
        <vertAlign val="subscript"/>
        <sz val="11"/>
        <color rgb="FF000000"/>
        <rFont val="Calibri"/>
        <family val="2"/>
      </rPr>
      <t>2</t>
    </r>
    <r>
      <rPr>
        <b/>
        <sz val="11"/>
        <color indexed="8"/>
        <rFont val="Calibri"/>
        <family val="2"/>
      </rPr>
      <t>/yr)</t>
    </r>
  </si>
  <si>
    <r>
      <t>Cumulative Emissions_All Sectors Except Chemical (GtCO</t>
    </r>
    <r>
      <rPr>
        <b/>
        <vertAlign val="subscript"/>
        <sz val="11"/>
        <color theme="1"/>
        <rFont val="Calibri"/>
        <family val="2"/>
        <scheme val="minor"/>
      </rPr>
      <t>2</t>
    </r>
    <r>
      <rPr>
        <b/>
        <sz val="11"/>
        <color theme="1"/>
        <rFont val="Calibri"/>
        <family val="2"/>
        <scheme val="minor"/>
      </rPr>
      <t>)</t>
    </r>
  </si>
  <si>
    <r>
      <t>Cumulative Fossil Emissions_All Sectors (GtCO</t>
    </r>
    <r>
      <rPr>
        <b/>
        <vertAlign val="subscript"/>
        <sz val="11"/>
        <color theme="1"/>
        <rFont val="Calibri"/>
        <family val="2"/>
        <scheme val="minor"/>
      </rPr>
      <t>2</t>
    </r>
    <r>
      <rPr>
        <b/>
        <sz val="11"/>
        <color theme="1"/>
        <rFont val="Calibri"/>
        <family val="2"/>
        <scheme val="minor"/>
      </rPr>
      <t>)</t>
    </r>
  </si>
  <si>
    <r>
      <t>Annual CO</t>
    </r>
    <r>
      <rPr>
        <b/>
        <vertAlign val="subscript"/>
        <sz val="11"/>
        <color theme="1"/>
        <rFont val="Calibri"/>
        <family val="2"/>
        <scheme val="minor"/>
      </rPr>
      <t xml:space="preserve">2 </t>
    </r>
    <r>
      <rPr>
        <b/>
        <sz val="11"/>
        <color theme="1"/>
        <rFont val="Calibri"/>
        <family val="2"/>
        <scheme val="minor"/>
      </rPr>
      <t>Sequestration by global afforestation project (from this afforestation research)</t>
    </r>
  </si>
  <si>
    <r>
      <t>Annual Sequestration_Afforestation (GtCO</t>
    </r>
    <r>
      <rPr>
        <b/>
        <vertAlign val="subscript"/>
        <sz val="11"/>
        <color theme="1"/>
        <rFont val="Calibri"/>
        <family val="2"/>
        <scheme val="minor"/>
      </rPr>
      <t>2</t>
    </r>
    <r>
      <rPr>
        <b/>
        <sz val="11"/>
        <color theme="1"/>
        <rFont val="Calibri"/>
        <family val="2"/>
        <scheme val="minor"/>
      </rPr>
      <t>/yr)</t>
    </r>
  </si>
  <si>
    <r>
      <t>Annual Fossil Emisions_After Afforestation (GtCO</t>
    </r>
    <r>
      <rPr>
        <b/>
        <vertAlign val="subscript"/>
        <sz val="11"/>
        <color theme="1"/>
        <rFont val="Calibri"/>
        <family val="2"/>
        <scheme val="minor"/>
      </rPr>
      <t>2</t>
    </r>
    <r>
      <rPr>
        <b/>
        <sz val="11"/>
        <color theme="1"/>
        <rFont val="Calibri"/>
        <family val="2"/>
        <scheme val="minor"/>
      </rPr>
      <t>/yr)</t>
    </r>
  </si>
  <si>
    <r>
      <t>Cumulative Fossil Emissions_After Afforestation (GtCO</t>
    </r>
    <r>
      <rPr>
        <b/>
        <vertAlign val="subscript"/>
        <sz val="11"/>
        <color theme="1"/>
        <rFont val="Calibri"/>
        <family val="2"/>
        <scheme val="minor"/>
      </rPr>
      <t>2</t>
    </r>
    <r>
      <rPr>
        <b/>
        <sz val="11"/>
        <color theme="1"/>
        <rFont val="Calibri"/>
        <family val="2"/>
        <scheme val="minor"/>
      </rPr>
      <t>)</t>
    </r>
  </si>
  <si>
    <r>
      <t>Impact on cumulative  CO</t>
    </r>
    <r>
      <rPr>
        <b/>
        <vertAlign val="subscript"/>
        <sz val="11"/>
        <color theme="1"/>
        <rFont val="Calibri"/>
        <family val="2"/>
        <scheme val="minor"/>
      </rPr>
      <t xml:space="preserve">2 </t>
    </r>
    <r>
      <rPr>
        <b/>
        <sz val="11"/>
        <color theme="1"/>
        <rFont val="Calibri"/>
        <family val="2"/>
        <scheme val="minor"/>
      </rPr>
      <t>emissions from fossil fuels in energy system</t>
    </r>
  </si>
  <si>
    <r>
      <t xml:space="preserve">Hansen, J., Sato, M., Kharecha, P., Von Schuckmann, K., Beerling, D. J., Cao, J., Marcott, S., Masson-Delmotte, V., Prather, M. J., Rohling, E. J., </t>
    </r>
    <r>
      <rPr>
        <i/>
        <sz val="11"/>
        <color theme="1"/>
        <rFont val="Calibri"/>
        <family val="2"/>
        <scheme val="minor"/>
      </rPr>
      <t>et al.</t>
    </r>
    <r>
      <rPr>
        <sz val="11"/>
        <color theme="1"/>
        <rFont val="Calibri"/>
        <family val="2"/>
        <scheme val="minor"/>
      </rPr>
      <t xml:space="preserve"> (2017) ‘Young people’s burden: requirement of negative CO 2 emissions’, </t>
    </r>
    <r>
      <rPr>
        <i/>
        <sz val="11"/>
        <color theme="1"/>
        <rFont val="Calibri"/>
        <family val="2"/>
        <scheme val="minor"/>
      </rPr>
      <t>Earth Syst. Dynam</t>
    </r>
    <r>
      <rPr>
        <sz val="11"/>
        <color theme="1"/>
        <rFont val="Calibri"/>
        <family val="2"/>
        <scheme val="minor"/>
      </rPr>
      <t>, 8, pp. 577–616. doi: 10.5194/esd-8-577-2017.</t>
    </r>
  </si>
  <si>
    <r>
      <t>Future projection of CO</t>
    </r>
    <r>
      <rPr>
        <b/>
        <vertAlign val="subscript"/>
        <sz val="11"/>
        <color theme="1"/>
        <rFont val="Calibri"/>
        <family val="2"/>
        <scheme val="minor"/>
      </rPr>
      <t>2</t>
    </r>
    <r>
      <rPr>
        <b/>
        <sz val="11"/>
        <color theme="1"/>
        <rFont val="Calibri"/>
        <family val="2"/>
        <scheme val="minor"/>
      </rPr>
      <t xml:space="preserve"> emissions as the energy system transitions towards 100% RE by 2050 (Data from Bogdanov et al_2021)</t>
    </r>
  </si>
  <si>
    <r>
      <t>Cumulative CO</t>
    </r>
    <r>
      <rPr>
        <b/>
        <vertAlign val="subscript"/>
        <sz val="11"/>
        <color theme="1"/>
        <rFont val="Calibri"/>
        <family val="2"/>
        <scheme val="minor"/>
      </rPr>
      <t>2</t>
    </r>
    <r>
      <rPr>
        <b/>
        <sz val="11"/>
        <color theme="1"/>
        <rFont val="Calibri"/>
        <family val="2"/>
        <scheme val="minor"/>
      </rPr>
      <t xml:space="preserve"> emissions from power heat transport and desalination sectors GtCO</t>
    </r>
    <r>
      <rPr>
        <b/>
        <vertAlign val="subscript"/>
        <sz val="11"/>
        <color theme="1"/>
        <rFont val="Calibri"/>
        <family val="2"/>
        <scheme val="minor"/>
      </rPr>
      <t xml:space="preserve">2 </t>
    </r>
    <r>
      <rPr>
        <b/>
        <sz val="11"/>
        <color theme="1"/>
        <rFont val="Calibri"/>
        <family val="2"/>
        <scheme val="minor"/>
      </rPr>
      <t xml:space="preserve"> (Data from Bogdanov et al_2021)</t>
    </r>
  </si>
  <si>
    <t>Impact on the annual fossil fuel emissions of energy transition described in Bogdanov et al_2021 if global afforestation project implemented</t>
  </si>
  <si>
    <r>
      <t xml:space="preserve">Bogdanov, D., Ram, M., Aghahosseini, A., Gulagi, A., Oyewo, S., Child, M., Caldera, U., Sadovskaia, K., Farfan, J., Barbosa, L., </t>
    </r>
    <r>
      <rPr>
        <i/>
        <sz val="11"/>
        <color theme="1"/>
        <rFont val="Calibri"/>
        <family val="2"/>
        <scheme val="minor"/>
      </rPr>
      <t>et al.</t>
    </r>
    <r>
      <rPr>
        <sz val="11"/>
        <color theme="1"/>
        <rFont val="Calibri"/>
        <family val="2"/>
        <scheme val="minor"/>
      </rPr>
      <t xml:space="preserve"> (2021) ‘Low-cost renewable electricity as the key driver of the global energy transition towards sustainability’, </t>
    </r>
    <r>
      <rPr>
        <i/>
        <sz val="11"/>
        <color theme="1"/>
        <rFont val="Calibri"/>
        <family val="2"/>
        <scheme val="minor"/>
      </rPr>
      <t>Energy</t>
    </r>
    <r>
      <rPr>
        <sz val="11"/>
        <color theme="1"/>
        <rFont val="Calibri"/>
        <family val="2"/>
        <scheme val="minor"/>
      </rPr>
      <t>, 227(120467). doi: https://doi.org/10.1016/j.energy.2021.120467.</t>
    </r>
  </si>
  <si>
    <t>Impact On CO2 Emissions</t>
  </si>
  <si>
    <r>
      <t>Impact of global afforestation potential on projected CO</t>
    </r>
    <r>
      <rPr>
        <vertAlign val="subscript"/>
        <sz val="11"/>
        <color theme="1"/>
        <rFont val="Calibri"/>
        <family val="2"/>
        <scheme val="minor"/>
      </rPr>
      <t>2</t>
    </r>
    <r>
      <rPr>
        <sz val="11"/>
        <color theme="1"/>
        <rFont val="Calibri"/>
        <family val="2"/>
        <scheme val="minor"/>
      </rPr>
      <t xml:space="preserve"> emissions based on the energy transition scenario where all energy systems are fossil free by mid-century</t>
    </r>
  </si>
  <si>
    <r>
      <t>Cumulative CO</t>
    </r>
    <r>
      <rPr>
        <b/>
        <vertAlign val="subscript"/>
        <sz val="11"/>
        <color theme="1"/>
        <rFont val="Calibri"/>
        <family val="2"/>
        <scheme val="minor"/>
      </rPr>
      <t>2</t>
    </r>
    <r>
      <rPr>
        <b/>
        <sz val="11"/>
        <color theme="1"/>
        <rFont val="Calibri"/>
        <family val="2"/>
        <scheme val="minor"/>
      </rPr>
      <t xml:space="preserve"> emissions from all sectors  including chemical industry  where by 2050 cumulative emissions are 567 GtCO</t>
    </r>
    <r>
      <rPr>
        <b/>
        <vertAlign val="subscript"/>
        <sz val="11"/>
        <color theme="1"/>
        <rFont val="Calibri"/>
        <family val="2"/>
        <scheme val="minor"/>
      </rPr>
      <t xml:space="preserve">2  </t>
    </r>
    <r>
      <rPr>
        <b/>
        <sz val="11"/>
        <color theme="1"/>
        <rFont val="Calibri"/>
        <family val="2"/>
        <scheme val="minor"/>
      </rPr>
      <t xml:space="preserve"> (Data from Bogdanov et al_2021)</t>
    </r>
  </si>
  <si>
    <r>
      <t xml:space="preserve">Friedlingstein, P., O’Sullivan, M., Jones, M. W., Andrew, R. M., Hauck, J., Olsen, A., Peters, G. P., Peters, W., Pongratz, J., Sitch, S., </t>
    </r>
    <r>
      <rPr>
        <i/>
        <sz val="11"/>
        <color theme="1"/>
        <rFont val="Calibri"/>
        <family val="2"/>
        <scheme val="minor"/>
      </rPr>
      <t>et al.</t>
    </r>
    <r>
      <rPr>
        <sz val="11"/>
        <color theme="1"/>
        <rFont val="Calibri"/>
        <family val="2"/>
        <scheme val="minor"/>
      </rPr>
      <t xml:space="preserve"> (2020) ‘Global Carbon Budget 2020’, </t>
    </r>
    <r>
      <rPr>
        <i/>
        <sz val="11"/>
        <color theme="1"/>
        <rFont val="Calibri"/>
        <family val="2"/>
        <scheme val="minor"/>
      </rPr>
      <t>Earth System Science Data</t>
    </r>
    <r>
      <rPr>
        <sz val="11"/>
        <color theme="1"/>
        <rFont val="Calibri"/>
        <family val="2"/>
        <scheme val="minor"/>
      </rPr>
      <t>, 12(4), pp. 3269–3340. doi: 10.5194/ESSD-12-3269-2020.</t>
    </r>
  </si>
  <si>
    <r>
      <t>To understand the contribution of afforestation with RE-based SWRO to climate change mitigation efforts, the corresponding CO</t>
    </r>
    <r>
      <rPr>
        <vertAlign val="subscript"/>
        <sz val="11"/>
        <color theme="1"/>
        <rFont val="Times New Roman"/>
        <family val="1"/>
      </rPr>
      <t>2</t>
    </r>
    <r>
      <rPr>
        <sz val="11"/>
        <color theme="1"/>
        <rFont val="Times New Roman"/>
        <family val="1"/>
      </rPr>
      <t xml:space="preserve"> sequestration potential was projected onto a future scenario where the global energy system achieves zero emissions by 2050. Bogdanov et al. (2021) have modelled the transition pathway such that by 2050 the global energy systems, comprising power, heat including industrial process heat, transport and desalination, are powered by renewables. The cumulative CO</t>
    </r>
    <r>
      <rPr>
        <vertAlign val="subscript"/>
        <sz val="11"/>
        <color theme="1"/>
        <rFont val="Times New Roman"/>
        <family val="1"/>
      </rPr>
      <t>2</t>
    </r>
    <r>
      <rPr>
        <sz val="11"/>
        <color theme="1"/>
        <rFont val="Times New Roman"/>
        <family val="1"/>
      </rPr>
      <t xml:space="preserve"> emissions from fossil fuels for the transition period of 2015 to 2050 was estimated to be 567 Gt CO</t>
    </r>
    <r>
      <rPr>
        <vertAlign val="subscript"/>
        <sz val="11"/>
        <color theme="1"/>
        <rFont val="Times New Roman"/>
        <family val="1"/>
      </rPr>
      <t>2</t>
    </r>
    <r>
      <rPr>
        <sz val="11"/>
        <color theme="1"/>
        <rFont val="Times New Roman"/>
        <family val="1"/>
      </rPr>
      <t>. The global afforestation potential from 2030 to 2100 enables the cumulative CO</t>
    </r>
    <r>
      <rPr>
        <vertAlign val="subscript"/>
        <sz val="11"/>
        <color theme="1"/>
        <rFont val="Times New Roman"/>
        <family val="1"/>
      </rPr>
      <t>2</t>
    </r>
    <r>
      <rPr>
        <sz val="11"/>
        <color theme="1"/>
        <rFont val="Times New Roman"/>
        <family val="1"/>
      </rPr>
      <t xml:space="preserve"> emissions of the energy system to fall to 563 Gt CO</t>
    </r>
    <r>
      <rPr>
        <vertAlign val="subscript"/>
        <sz val="11"/>
        <color theme="1"/>
        <rFont val="Times New Roman"/>
        <family val="1"/>
      </rPr>
      <t>2</t>
    </r>
    <r>
      <rPr>
        <sz val="11"/>
        <color theme="1"/>
        <rFont val="Times New Roman"/>
        <family val="1"/>
      </rPr>
      <t xml:space="preserve"> by 2050 and to -5 Gt CO</t>
    </r>
    <r>
      <rPr>
        <vertAlign val="subscript"/>
        <sz val="11"/>
        <color theme="1"/>
        <rFont val="Times New Roman"/>
        <family val="1"/>
      </rPr>
      <t>2</t>
    </r>
    <r>
      <rPr>
        <sz val="11"/>
        <color theme="1"/>
        <rFont val="Times New Roman"/>
        <family val="1"/>
      </rPr>
      <t xml:space="preserve"> by 2100. The impacts are therefore not significant by mid-century, but accelerate in the later half of the century as the sequestration rate of the trees increase and there are no more emissions from the energy system. Details of the assumptions, calculations and limitations are provided below. To evaluate the corresponding impacts on atmospheric CO</t>
    </r>
    <r>
      <rPr>
        <vertAlign val="subscript"/>
        <sz val="11"/>
        <color theme="1"/>
        <rFont val="Times New Roman"/>
        <family val="1"/>
      </rPr>
      <t>2</t>
    </r>
    <r>
      <rPr>
        <sz val="11"/>
        <color theme="1"/>
        <rFont val="Times New Roman"/>
        <family val="1"/>
      </rPr>
      <t>, the Earth’s carbon cycle needs to be modelled and other greenhouse gases accounted for</t>
    </r>
    <r>
      <rPr>
        <sz val="11"/>
        <color indexed="8"/>
        <rFont val="Times New Roman"/>
        <family val="1"/>
      </rPr>
      <t xml:space="preserve"> (Hansen et al_2017; Friedlingstein et al_2020)</t>
    </r>
  </si>
  <si>
    <t>Afforesting arid land with renewable electricity and desalination to mitigate climate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</si>
</sst>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0.0\ %"/>
    <numFmt numFmtId="167" formatCode="#,##0.0000"/>
    <numFmt numFmtId="168" formatCode="0.000\ %"/>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vertAlign val="superscript"/>
      <sz val="11"/>
      <color theme="1"/>
      <name val="Calibri"/>
      <family val="2"/>
      <scheme val="minor"/>
    </font>
    <font>
      <u/>
      <sz val="11"/>
      <color theme="10"/>
      <name val="Calibri"/>
      <family val="2"/>
      <scheme val="minor"/>
    </font>
    <font>
      <sz val="11"/>
      <color rgb="FFFF0000"/>
      <name val="Calibri"/>
      <family val="2"/>
      <scheme val="minor"/>
    </font>
    <font>
      <b/>
      <i/>
      <sz val="11"/>
      <color theme="1"/>
      <name val="Calibri"/>
      <family val="2"/>
      <scheme val="minor"/>
    </font>
    <font>
      <vertAlign val="superscript"/>
      <sz val="11"/>
      <color theme="1"/>
      <name val="Calibri"/>
      <family val="2"/>
      <scheme val="minor"/>
    </font>
    <font>
      <i/>
      <sz val="11"/>
      <color theme="1"/>
      <name val="Calibri"/>
      <family val="2"/>
      <scheme val="minor"/>
    </font>
    <font>
      <i/>
      <sz val="12"/>
      <color theme="1"/>
      <name val="Calibri"/>
      <family val="2"/>
      <scheme val="minor"/>
    </font>
    <font>
      <sz val="12"/>
      <color theme="1"/>
      <name val="Calibri"/>
      <family val="2"/>
      <scheme val="minor"/>
    </font>
    <font>
      <sz val="11"/>
      <color theme="1"/>
      <name val="Calibri"/>
      <family val="2"/>
    </font>
    <font>
      <sz val="11"/>
      <color indexed="8"/>
      <name val="Calibri"/>
      <family val="2"/>
    </font>
    <font>
      <b/>
      <sz val="11"/>
      <color rgb="FFFF0000"/>
      <name val="Calibri"/>
      <family val="2"/>
      <scheme val="minor"/>
    </font>
    <font>
      <b/>
      <sz val="11"/>
      <color indexed="8"/>
      <name val="Calibri"/>
      <family val="2"/>
    </font>
    <font>
      <b/>
      <sz val="14"/>
      <color theme="1"/>
      <name val="Times New Roman"/>
      <family val="1"/>
    </font>
    <font>
      <sz val="10"/>
      <color theme="1"/>
      <name val="Times New Roman"/>
      <family val="1"/>
    </font>
    <font>
      <vertAlign val="superscript"/>
      <sz val="10"/>
      <color theme="1"/>
      <name val="Times New Roman"/>
      <family val="1"/>
    </font>
    <font>
      <b/>
      <sz val="11"/>
      <color indexed="8"/>
      <name val="Calibri"/>
      <family val="2"/>
      <scheme val="minor"/>
    </font>
    <font>
      <b/>
      <sz val="12"/>
      <color theme="1"/>
      <name val="Calibri"/>
      <family val="2"/>
      <scheme val="minor"/>
    </font>
    <font>
      <b/>
      <vertAlign val="subscript"/>
      <sz val="11"/>
      <color theme="1"/>
      <name val="Calibri"/>
      <family val="2"/>
      <scheme val="minor"/>
    </font>
    <font>
      <b/>
      <vertAlign val="subscript"/>
      <sz val="11"/>
      <color rgb="FF000000"/>
      <name val="Calibri"/>
      <family val="2"/>
    </font>
    <font>
      <vertAlign val="subscript"/>
      <sz val="11"/>
      <color theme="1"/>
      <name val="Calibri"/>
      <family val="2"/>
      <scheme val="minor"/>
    </font>
    <font>
      <sz val="11"/>
      <color theme="1"/>
      <name val="Times New Roman"/>
      <family val="1"/>
    </font>
    <font>
      <vertAlign val="subscript"/>
      <sz val="11"/>
      <color theme="1"/>
      <name val="Times New Roman"/>
      <family val="1"/>
    </font>
    <font>
      <sz val="11"/>
      <color indexed="8"/>
      <name val="Times New Roman"/>
      <family val="1"/>
    </font>
  </fonts>
  <fills count="6">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5"/>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s>
  <cellStyleXfs count="4">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13" fillId="0" borderId="0"/>
  </cellStyleXfs>
  <cellXfs count="162">
    <xf numFmtId="0" fontId="0" fillId="0" borderId="0" xfId="0"/>
    <xf numFmtId="0" fontId="0" fillId="0" borderId="0" xfId="0" applyAlignment="1">
      <alignment horizontal="center"/>
    </xf>
    <xf numFmtId="164" fontId="0" fillId="0" borderId="0" xfId="0" applyNumberFormat="1" applyAlignment="1">
      <alignment horizontal="center"/>
    </xf>
    <xf numFmtId="9" fontId="0" fillId="0" borderId="0" xfId="1" applyFont="1" applyAlignment="1">
      <alignment horizontal="center"/>
    </xf>
    <xf numFmtId="2" fontId="0" fillId="0" borderId="0" xfId="0" applyNumberFormat="1"/>
    <xf numFmtId="0" fontId="3" fillId="0" borderId="0" xfId="0" applyFont="1"/>
    <xf numFmtId="11" fontId="0" fillId="0" borderId="0" xfId="0" applyNumberFormat="1"/>
    <xf numFmtId="0" fontId="2" fillId="2" borderId="0" xfId="0" applyFont="1" applyFill="1" applyAlignment="1">
      <alignment horizontal="center"/>
    </xf>
    <xf numFmtId="0" fontId="2" fillId="0" borderId="0" xfId="0" applyFont="1"/>
    <xf numFmtId="0" fontId="5" fillId="0" borderId="0" xfId="2"/>
    <xf numFmtId="2" fontId="0" fillId="0" borderId="0" xfId="0" applyNumberFormat="1" applyAlignment="1">
      <alignment horizontal="center"/>
    </xf>
    <xf numFmtId="0" fontId="0" fillId="0" borderId="0" xfId="0" applyAlignment="1">
      <alignment horizontal="center" wrapText="1"/>
    </xf>
    <xf numFmtId="0" fontId="0" fillId="2" borderId="0" xfId="0" applyFill="1"/>
    <xf numFmtId="0" fontId="0" fillId="0" borderId="0" xfId="0" applyAlignment="1">
      <alignment wrapText="1"/>
    </xf>
    <xf numFmtId="11" fontId="0" fillId="0" borderId="0" xfId="0" applyNumberFormat="1" applyAlignment="1">
      <alignment horizontal="center"/>
    </xf>
    <xf numFmtId="0" fontId="0" fillId="0" borderId="0" xfId="0" applyFill="1" applyAlignment="1">
      <alignment horizontal="center"/>
    </xf>
    <xf numFmtId="0" fontId="6" fillId="0" borderId="0" xfId="0" applyFont="1"/>
    <xf numFmtId="3" fontId="0" fillId="0" borderId="0" xfId="0" applyNumberFormat="1" applyAlignment="1">
      <alignment horizontal="center"/>
    </xf>
    <xf numFmtId="165" fontId="0" fillId="0" borderId="0" xfId="0" applyNumberFormat="1" applyAlignment="1">
      <alignment horizontal="center"/>
    </xf>
    <xf numFmtId="0" fontId="0" fillId="0" borderId="0" xfId="0" applyFill="1"/>
    <xf numFmtId="0" fontId="3" fillId="0" borderId="0" xfId="0" applyFont="1" applyFill="1"/>
    <xf numFmtId="0" fontId="7" fillId="0" borderId="0" xfId="0" applyFont="1"/>
    <xf numFmtId="9" fontId="0" fillId="0" borderId="0" xfId="0" applyNumberFormat="1" applyAlignment="1">
      <alignment horizontal="center"/>
    </xf>
    <xf numFmtId="0" fontId="2" fillId="0" borderId="0" xfId="0" applyFont="1" applyAlignment="1">
      <alignment horizontal="center" vertical="center" wrapText="1"/>
    </xf>
    <xf numFmtId="0" fontId="2" fillId="0" borderId="0" xfId="0" applyFont="1" applyFill="1"/>
    <xf numFmtId="0" fontId="2" fillId="0" borderId="0" xfId="0" applyFont="1" applyAlignment="1">
      <alignment horizontal="center"/>
    </xf>
    <xf numFmtId="0" fontId="0" fillId="0" borderId="0" xfId="0" applyAlignment="1"/>
    <xf numFmtId="10" fontId="0" fillId="0" borderId="0" xfId="0" applyNumberFormat="1" applyAlignment="1">
      <alignment horizontal="center"/>
    </xf>
    <xf numFmtId="0" fontId="0" fillId="0" borderId="0" xfId="0" applyAlignment="1">
      <alignment vertical="top" wrapText="1"/>
    </xf>
    <xf numFmtId="0" fontId="7" fillId="2" borderId="0" xfId="0" applyFont="1" applyFill="1"/>
    <xf numFmtId="0" fontId="2" fillId="0" borderId="0" xfId="0" applyFont="1" applyAlignment="1">
      <alignment wrapText="1"/>
    </xf>
    <xf numFmtId="0" fontId="0" fillId="0" borderId="0" xfId="0" applyFill="1" applyAlignment="1">
      <alignment horizontal="center" wrapText="1"/>
    </xf>
    <xf numFmtId="164" fontId="0" fillId="0" borderId="0" xfId="0" applyNumberFormat="1" applyFill="1" applyAlignment="1">
      <alignment horizontal="center"/>
    </xf>
    <xf numFmtId="0" fontId="2"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horizontal="left"/>
    </xf>
    <xf numFmtId="0" fontId="0" fillId="0" borderId="0" xfId="0" applyAlignment="1">
      <alignment horizontal="center"/>
    </xf>
    <xf numFmtId="0" fontId="7" fillId="3" borderId="0" xfId="0" applyFont="1" applyFill="1"/>
    <xf numFmtId="0" fontId="0" fillId="0" borderId="0" xfId="0" applyFont="1" applyAlignment="1">
      <alignment horizontal="left"/>
    </xf>
    <xf numFmtId="0" fontId="2" fillId="0" borderId="0" xfId="0" applyFont="1" applyAlignment="1">
      <alignment horizontal="left" vertical="center"/>
    </xf>
    <xf numFmtId="4" fontId="0" fillId="0" borderId="0" xfId="0" applyNumberFormat="1" applyAlignment="1">
      <alignment horizontal="center"/>
    </xf>
    <xf numFmtId="0" fontId="2" fillId="0" borderId="0" xfId="0" applyFont="1" applyAlignment="1">
      <alignment horizontal="center"/>
    </xf>
    <xf numFmtId="0" fontId="2" fillId="0" borderId="0" xfId="0" applyFont="1" applyAlignment="1">
      <alignment horizontal="left"/>
    </xf>
    <xf numFmtId="0" fontId="0" fillId="0" borderId="0" xfId="0" applyFont="1"/>
    <xf numFmtId="2" fontId="0" fillId="0" borderId="0" xfId="0" applyNumberFormat="1" applyFill="1" applyAlignment="1">
      <alignment horizontal="center"/>
    </xf>
    <xf numFmtId="2" fontId="0" fillId="0" borderId="0" xfId="0" applyNumberFormat="1" applyFill="1"/>
    <xf numFmtId="0" fontId="2" fillId="0" borderId="0" xfId="0" applyFont="1" applyAlignment="1">
      <alignment horizontal="center"/>
    </xf>
    <xf numFmtId="0" fontId="2" fillId="0" borderId="0" xfId="0" applyFont="1" applyAlignment="1">
      <alignment horizontal="center"/>
    </xf>
    <xf numFmtId="9" fontId="0" fillId="0" borderId="0" xfId="0" applyNumberFormat="1"/>
    <xf numFmtId="9" fontId="0" fillId="2" borderId="0" xfId="0" applyNumberFormat="1" applyFill="1"/>
    <xf numFmtId="0" fontId="9" fillId="0" borderId="0" xfId="0" applyFont="1"/>
    <xf numFmtId="4" fontId="0" fillId="0" borderId="0" xfId="0" applyNumberFormat="1"/>
    <xf numFmtId="10" fontId="0" fillId="0" borderId="0" xfId="1" applyNumberFormat="1" applyFont="1"/>
    <xf numFmtId="166" fontId="0" fillId="0" borderId="0" xfId="1" applyNumberFormat="1" applyFont="1" applyAlignment="1">
      <alignment horizontal="center"/>
    </xf>
    <xf numFmtId="9" fontId="2" fillId="0" borderId="0" xfId="0" applyNumberFormat="1" applyFont="1" applyFill="1" applyAlignment="1">
      <alignment horizontal="center" wrapText="1"/>
    </xf>
    <xf numFmtId="9" fontId="2" fillId="0" borderId="0" xfId="0" applyNumberFormat="1" applyFont="1" applyFill="1" applyAlignment="1">
      <alignment horizontal="center"/>
    </xf>
    <xf numFmtId="11" fontId="0" fillId="0" borderId="0" xfId="0" applyNumberFormat="1" applyFill="1" applyAlignment="1">
      <alignment horizontal="center"/>
    </xf>
    <xf numFmtId="2" fontId="3" fillId="0" borderId="0" xfId="0" applyNumberFormat="1" applyFont="1" applyFill="1"/>
    <xf numFmtId="4" fontId="0" fillId="0" borderId="0" xfId="0" applyNumberFormat="1" applyAlignment="1">
      <alignment horizontal="left"/>
    </xf>
    <xf numFmtId="0" fontId="0" fillId="0" borderId="0" xfId="0" applyAlignment="1">
      <alignment horizontal="center" vertical="center"/>
    </xf>
    <xf numFmtId="0" fontId="2" fillId="0" borderId="0" xfId="0" applyFont="1" applyFill="1" applyAlignment="1">
      <alignment horizontal="center" wrapText="1"/>
    </xf>
    <xf numFmtId="0" fontId="0" fillId="0" borderId="1" xfId="0" applyBorder="1"/>
    <xf numFmtId="0" fontId="0" fillId="0" borderId="1" xfId="0" applyFill="1" applyBorder="1" applyAlignment="1">
      <alignment horizontal="center"/>
    </xf>
    <xf numFmtId="164" fontId="0" fillId="0" borderId="1" xfId="0" applyNumberFormat="1" applyBorder="1" applyAlignment="1">
      <alignment horizontal="center"/>
    </xf>
    <xf numFmtId="164" fontId="0" fillId="0" borderId="1" xfId="0" applyNumberFormat="1" applyFill="1" applyBorder="1" applyAlignment="1">
      <alignment horizontal="center"/>
    </xf>
    <xf numFmtId="0" fontId="3" fillId="0" borderId="1" xfId="0" applyFont="1" applyFill="1" applyBorder="1"/>
    <xf numFmtId="0" fontId="0" fillId="0" borderId="1" xfId="0" applyFill="1" applyBorder="1"/>
    <xf numFmtId="0" fontId="0" fillId="2" borderId="1" xfId="0" applyFill="1" applyBorder="1"/>
    <xf numFmtId="164" fontId="0" fillId="2" borderId="1" xfId="0" applyNumberFormat="1" applyFill="1" applyBorder="1" applyAlignment="1">
      <alignment horizontal="center"/>
    </xf>
    <xf numFmtId="0" fontId="2" fillId="0" borderId="2" xfId="0" applyFont="1" applyBorder="1" applyAlignment="1">
      <alignment horizontal="center"/>
    </xf>
    <xf numFmtId="0" fontId="2" fillId="0" borderId="2" xfId="0" applyFont="1" applyBorder="1" applyAlignment="1">
      <alignment horizontal="center" wrapText="1"/>
    </xf>
    <xf numFmtId="0" fontId="0" fillId="0" borderId="2" xfId="0" applyBorder="1" applyAlignment="1">
      <alignment horizontal="center"/>
    </xf>
    <xf numFmtId="0" fontId="2" fillId="0" borderId="3" xfId="0" applyFont="1" applyFill="1" applyBorder="1" applyAlignment="1">
      <alignment horizontal="center"/>
    </xf>
    <xf numFmtId="0" fontId="2" fillId="0" borderId="4" xfId="0" applyFont="1" applyFill="1" applyBorder="1" applyAlignment="1">
      <alignment horizontal="center"/>
    </xf>
    <xf numFmtId="0" fontId="2" fillId="0" borderId="4" xfId="0" applyFont="1" applyFill="1" applyBorder="1" applyAlignment="1">
      <alignment horizontal="center" wrapText="1"/>
    </xf>
    <xf numFmtId="164" fontId="3" fillId="0" borderId="1" xfId="0" applyNumberFormat="1" applyFont="1" applyFill="1" applyBorder="1" applyAlignment="1">
      <alignment horizontal="center"/>
    </xf>
    <xf numFmtId="0" fontId="0" fillId="0" borderId="0" xfId="0" applyFont="1" applyAlignment="1">
      <alignment vertical="top" wrapText="1"/>
    </xf>
    <xf numFmtId="0" fontId="0" fillId="0" borderId="0" xfId="0" applyBorder="1"/>
    <xf numFmtId="0" fontId="2" fillId="0" borderId="0" xfId="0" applyFont="1" applyFill="1" applyAlignment="1">
      <alignment horizontal="center" vertical="center" wrapText="1"/>
    </xf>
    <xf numFmtId="0" fontId="0" fillId="0" borderId="0" xfId="0" applyFill="1" applyBorder="1"/>
    <xf numFmtId="0" fontId="2" fillId="0" borderId="0" xfId="0" applyFont="1" applyAlignment="1">
      <alignment horizontal="center"/>
    </xf>
    <xf numFmtId="0" fontId="10" fillId="0" borderId="0" xfId="0" applyFont="1"/>
    <xf numFmtId="0" fontId="11" fillId="0" borderId="0" xfId="0" applyFont="1"/>
    <xf numFmtId="9" fontId="0" fillId="0" borderId="0" xfId="0" applyNumberFormat="1" applyFill="1" applyAlignment="1">
      <alignment horizontal="center"/>
    </xf>
    <xf numFmtId="0" fontId="7" fillId="0" borderId="0" xfId="0" applyFont="1" applyFill="1"/>
    <xf numFmtId="0" fontId="2" fillId="0" borderId="0" xfId="0" applyFont="1" applyFill="1" applyAlignment="1">
      <alignment horizontal="center"/>
    </xf>
    <xf numFmtId="0" fontId="0" fillId="0" borderId="0" xfId="0" applyFont="1" applyAlignment="1">
      <alignment horizontal="center"/>
    </xf>
    <xf numFmtId="0" fontId="0" fillId="0" borderId="0" xfId="0" applyFont="1" applyAlignment="1">
      <alignment horizontal="left" wrapText="1"/>
    </xf>
    <xf numFmtId="0" fontId="0" fillId="0" borderId="0" xfId="0" applyFont="1" applyAlignment="1">
      <alignment horizontal="center" wrapText="1"/>
    </xf>
    <xf numFmtId="164" fontId="0" fillId="0" borderId="0" xfId="0" applyNumberFormat="1" applyFont="1" applyAlignment="1">
      <alignment horizontal="center"/>
    </xf>
    <xf numFmtId="1" fontId="0" fillId="0" borderId="0" xfId="0" applyNumberFormat="1" applyFont="1" applyAlignment="1">
      <alignment horizontal="center"/>
    </xf>
    <xf numFmtId="0" fontId="0" fillId="4" borderId="0" xfId="0" applyFill="1"/>
    <xf numFmtId="0" fontId="9" fillId="4" borderId="0" xfId="0" applyFont="1" applyFill="1"/>
    <xf numFmtId="0" fontId="7" fillId="4" borderId="0" xfId="0" applyFont="1" applyFill="1"/>
    <xf numFmtId="0" fontId="13" fillId="0" borderId="0" xfId="0" applyNumberFormat="1" applyFont="1" applyFill="1" applyBorder="1" applyAlignment="1" applyProtection="1"/>
    <xf numFmtId="2" fontId="13" fillId="0" borderId="0" xfId="0" applyNumberFormat="1" applyFont="1" applyFill="1" applyBorder="1" applyAlignment="1" applyProtection="1">
      <alignment horizontal="center"/>
    </xf>
    <xf numFmtId="0" fontId="14" fillId="0" borderId="0" xfId="0" applyFont="1"/>
    <xf numFmtId="0" fontId="2" fillId="0" borderId="0" xfId="0" applyFont="1" applyFill="1" applyBorder="1" applyAlignment="1">
      <alignment horizontal="center" wrapText="1"/>
    </xf>
    <xf numFmtId="0" fontId="0" fillId="0" borderId="0" xfId="0" applyBorder="1" applyAlignment="1">
      <alignment horizontal="center"/>
    </xf>
    <xf numFmtId="164" fontId="0" fillId="0" borderId="0" xfId="0" applyNumberFormat="1" applyBorder="1" applyAlignment="1">
      <alignment horizontal="center"/>
    </xf>
    <xf numFmtId="164" fontId="0" fillId="0" borderId="0" xfId="0" applyNumberFormat="1" applyFill="1" applyBorder="1" applyAlignment="1">
      <alignment horizontal="center"/>
    </xf>
    <xf numFmtId="0" fontId="2" fillId="0" borderId="0" xfId="0" applyFont="1" applyBorder="1" applyAlignment="1"/>
    <xf numFmtId="11" fontId="2" fillId="0" borderId="0" xfId="0" applyNumberFormat="1" applyFont="1" applyAlignment="1"/>
    <xf numFmtId="0" fontId="2" fillId="0" borderId="0" xfId="0" applyFont="1" applyAlignment="1">
      <alignment horizontal="center" vertical="center"/>
    </xf>
    <xf numFmtId="0" fontId="2" fillId="0" borderId="0" xfId="0" applyFont="1" applyFill="1" applyAlignment="1"/>
    <xf numFmtId="0" fontId="0" fillId="0" borderId="0" xfId="0" applyFill="1" applyAlignment="1"/>
    <xf numFmtId="0" fontId="2" fillId="0" borderId="5" xfId="0" applyFont="1" applyFill="1" applyBorder="1" applyAlignment="1">
      <alignment horizontal="center"/>
    </xf>
    <xf numFmtId="0" fontId="2" fillId="0" borderId="6" xfId="0" applyFont="1" applyFill="1" applyBorder="1" applyAlignment="1">
      <alignment horizontal="center"/>
    </xf>
    <xf numFmtId="0" fontId="2" fillId="0" borderId="6" xfId="0" applyFont="1" applyFill="1" applyBorder="1" applyAlignment="1">
      <alignment horizontal="center" wrapText="1"/>
    </xf>
    <xf numFmtId="0" fontId="2" fillId="0" borderId="1" xfId="0" applyFont="1" applyBorder="1" applyAlignment="1">
      <alignment horizontal="center"/>
    </xf>
    <xf numFmtId="0" fontId="2" fillId="0" borderId="1" xfId="0" applyFont="1" applyBorder="1" applyAlignment="1">
      <alignment horizontal="center" wrapText="1"/>
    </xf>
    <xf numFmtId="0" fontId="0" fillId="0" borderId="1" xfId="0" applyBorder="1" applyAlignment="1">
      <alignment horizontal="center"/>
    </xf>
    <xf numFmtId="0" fontId="0" fillId="2" borderId="1" xfId="0" applyFill="1" applyBorder="1" applyAlignment="1">
      <alignment horizontal="center"/>
    </xf>
    <xf numFmtId="0" fontId="3" fillId="2" borderId="1" xfId="0" applyFont="1" applyFill="1" applyBorder="1" applyAlignment="1">
      <alignment horizontal="center"/>
    </xf>
    <xf numFmtId="0" fontId="3" fillId="0" borderId="1" xfId="0" applyFont="1" applyBorder="1" applyAlignment="1">
      <alignment horizontal="center"/>
    </xf>
    <xf numFmtId="0" fontId="3" fillId="0" borderId="1" xfId="0" applyFont="1" applyFill="1" applyBorder="1" applyAlignment="1">
      <alignment horizontal="center"/>
    </xf>
    <xf numFmtId="0" fontId="6" fillId="2" borderId="1" xfId="0" applyFont="1" applyFill="1" applyBorder="1"/>
    <xf numFmtId="2" fontId="0" fillId="0" borderId="1" xfId="0" applyNumberFormat="1" applyFill="1" applyBorder="1" applyAlignment="1">
      <alignment horizontal="center"/>
    </xf>
    <xf numFmtId="2" fontId="0" fillId="0" borderId="1" xfId="0" applyNumberFormat="1" applyBorder="1" applyAlignment="1">
      <alignment horizontal="center"/>
    </xf>
    <xf numFmtId="0" fontId="0" fillId="0" borderId="1" xfId="0" applyBorder="1" applyAlignment="1">
      <alignment horizontal="center" wrapText="1"/>
    </xf>
    <xf numFmtId="2" fontId="0" fillId="2" borderId="1" xfId="0" applyNumberFormat="1" applyFill="1" applyBorder="1" applyAlignment="1">
      <alignment horizontal="center"/>
    </xf>
    <xf numFmtId="0" fontId="0" fillId="0" borderId="1" xfId="0" applyFill="1" applyBorder="1" applyAlignment="1">
      <alignment horizontal="center" wrapText="1"/>
    </xf>
    <xf numFmtId="0" fontId="0" fillId="2" borderId="1" xfId="0" applyFill="1" applyBorder="1" applyAlignment="1">
      <alignment horizontal="center" wrapText="1"/>
    </xf>
    <xf numFmtId="0" fontId="0" fillId="0" borderId="1" xfId="0" applyBorder="1" applyAlignment="1">
      <alignment wrapText="1"/>
    </xf>
    <xf numFmtId="0" fontId="0" fillId="2" borderId="1" xfId="0" applyFill="1" applyBorder="1" applyAlignment="1">
      <alignment wrapText="1"/>
    </xf>
    <xf numFmtId="0" fontId="0" fillId="0" borderId="1" xfId="0" applyFill="1" applyBorder="1" applyAlignment="1">
      <alignment wrapText="1"/>
    </xf>
    <xf numFmtId="2" fontId="0" fillId="0" borderId="1" xfId="0" applyNumberFormat="1" applyFill="1" applyBorder="1"/>
    <xf numFmtId="164" fontId="0" fillId="0" borderId="1" xfId="0" applyNumberFormat="1" applyBorder="1" applyAlignment="1">
      <alignment horizontal="center" wrapText="1"/>
    </xf>
    <xf numFmtId="164" fontId="0" fillId="0" borderId="1" xfId="0" applyNumberFormat="1" applyFill="1" applyBorder="1" applyAlignment="1">
      <alignment horizontal="center" wrapText="1"/>
    </xf>
    <xf numFmtId="164" fontId="0" fillId="2" borderId="1" xfId="0" applyNumberFormat="1" applyFill="1" applyBorder="1" applyAlignment="1">
      <alignment horizontal="center" wrapText="1"/>
    </xf>
    <xf numFmtId="4" fontId="13" fillId="0" borderId="0" xfId="0" applyNumberFormat="1" applyFont="1" applyFill="1" applyBorder="1" applyAlignment="1" applyProtection="1">
      <alignment horizontal="center"/>
    </xf>
    <xf numFmtId="167" fontId="13" fillId="0" borderId="0" xfId="0" applyNumberFormat="1" applyFont="1" applyFill="1" applyBorder="1" applyAlignment="1" applyProtection="1">
      <alignment horizontal="center"/>
    </xf>
    <xf numFmtId="0" fontId="15" fillId="0" borderId="0" xfId="0" applyNumberFormat="1" applyFont="1" applyFill="1" applyBorder="1" applyAlignment="1" applyProtection="1"/>
    <xf numFmtId="0" fontId="5" fillId="0" borderId="0" xfId="2" quotePrefix="1"/>
    <xf numFmtId="0" fontId="16" fillId="0" borderId="0" xfId="0" applyFont="1" applyAlignment="1">
      <alignment horizontal="left" vertical="center"/>
    </xf>
    <xf numFmtId="0" fontId="17" fillId="0" borderId="0" xfId="0" applyFont="1" applyAlignment="1">
      <alignment horizontal="left" vertical="center"/>
    </xf>
    <xf numFmtId="0" fontId="8" fillId="0" borderId="0" xfId="0" applyFont="1" applyAlignment="1">
      <alignment horizontal="left" vertical="center"/>
    </xf>
    <xf numFmtId="0" fontId="19" fillId="0" borderId="0" xfId="0" applyNumberFormat="1" applyFont="1" applyFill="1" applyBorder="1" applyAlignment="1" applyProtection="1"/>
    <xf numFmtId="164" fontId="2" fillId="0" borderId="0" xfId="0" applyNumberFormat="1" applyFont="1" applyAlignment="1">
      <alignment horizontal="center"/>
    </xf>
    <xf numFmtId="1" fontId="0" fillId="0" borderId="0" xfId="0" applyNumberFormat="1" applyAlignment="1">
      <alignment horizontal="center"/>
    </xf>
    <xf numFmtId="0" fontId="11" fillId="5" borderId="0" xfId="0" applyFont="1" applyFill="1"/>
    <xf numFmtId="0" fontId="20" fillId="0" borderId="0" xfId="0" applyFont="1" applyAlignment="1">
      <alignment horizontal="center"/>
    </xf>
    <xf numFmtId="0" fontId="0" fillId="5" borderId="0" xfId="0" applyFill="1"/>
    <xf numFmtId="0" fontId="20" fillId="5" borderId="0" xfId="0" applyFont="1" applyFill="1" applyAlignment="1">
      <alignment horizontal="center"/>
    </xf>
    <xf numFmtId="0" fontId="20" fillId="5" borderId="0" xfId="0" applyFont="1" applyFill="1" applyAlignment="1">
      <alignment horizontal="left"/>
    </xf>
    <xf numFmtId="9" fontId="0" fillId="0" borderId="0" xfId="1" applyFont="1"/>
    <xf numFmtId="1" fontId="0" fillId="0" borderId="0" xfId="0" applyNumberFormat="1"/>
    <xf numFmtId="0" fontId="15" fillId="0" borderId="0" xfId="3" applyFont="1" applyAlignment="1">
      <alignment wrapText="1"/>
    </xf>
    <xf numFmtId="0" fontId="15" fillId="0" borderId="0" xfId="3" applyFont="1"/>
    <xf numFmtId="168" fontId="0" fillId="0" borderId="0" xfId="1" applyNumberFormat="1" applyFont="1"/>
    <xf numFmtId="0" fontId="13" fillId="0" borderId="0" xfId="3"/>
    <xf numFmtId="1" fontId="0" fillId="0" borderId="0" xfId="0" applyNumberFormat="1" applyFont="1" applyFill="1" applyAlignment="1">
      <alignment horizontal="center"/>
    </xf>
    <xf numFmtId="0" fontId="26" fillId="0" borderId="0" xfId="3" applyFont="1" applyAlignment="1">
      <alignment horizontal="left" vertical="top" wrapText="1"/>
    </xf>
    <xf numFmtId="0" fontId="2" fillId="0" borderId="0" xfId="0" applyFont="1" applyFill="1" applyAlignment="1">
      <alignment horizontal="center"/>
    </xf>
    <xf numFmtId="1" fontId="0" fillId="0" borderId="0" xfId="0" applyNumberFormat="1" applyFill="1" applyAlignment="1">
      <alignment horizontal="center"/>
    </xf>
    <xf numFmtId="0" fontId="0" fillId="0" borderId="0" xfId="0" applyAlignment="1">
      <alignment horizontal="center" vertical="center"/>
    </xf>
    <xf numFmtId="3" fontId="0" fillId="0" borderId="0" xfId="0" applyNumberFormat="1" applyAlignment="1">
      <alignment horizontal="center" vertical="center"/>
    </xf>
    <xf numFmtId="0" fontId="2" fillId="0" borderId="0" xfId="0" applyFont="1" applyFill="1" applyAlignment="1">
      <alignment horizontal="center" wrapText="1"/>
    </xf>
    <xf numFmtId="0" fontId="2" fillId="0" borderId="0" xfId="0" applyFont="1" applyFill="1" applyAlignment="1">
      <alignment horizontal="center"/>
    </xf>
    <xf numFmtId="11" fontId="2" fillId="0" borderId="0" xfId="0" applyNumberFormat="1" applyFont="1" applyFill="1" applyAlignment="1">
      <alignment horizontal="center"/>
    </xf>
    <xf numFmtId="0" fontId="2" fillId="0" borderId="0" xfId="0" applyFont="1" applyFill="1" applyAlignment="1">
      <alignment horizontal="left" vertical="top" wrapText="1"/>
    </xf>
    <xf numFmtId="0" fontId="2" fillId="0" borderId="0" xfId="0" applyFont="1" applyAlignment="1">
      <alignment horizontal="center"/>
    </xf>
  </cellXfs>
  <cellStyles count="4">
    <cellStyle name="Hyperlink" xfId="2" builtinId="8"/>
    <cellStyle name="Normal" xfId="0" builtinId="0"/>
    <cellStyle name="Normal 137" xfId="3" xr:uid="{09E9E748-C7CE-4C3A-85CB-1FF7048BE86C}"/>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1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a:solidFill>
                  <a:sysClr val="windowText" lastClr="000000"/>
                </a:solidFill>
              </a:rPr>
              <a:t>CO2</a:t>
            </a:r>
            <a:r>
              <a:rPr lang="en-US" sz="1400" b="1" baseline="0">
                <a:solidFill>
                  <a:sysClr val="windowText" lastClr="000000"/>
                </a:solidFill>
              </a:rPr>
              <a:t> sequestration vs Age</a:t>
            </a:r>
          </a:p>
        </c:rich>
      </c:tx>
      <c:overlay val="0"/>
      <c:spPr>
        <a:noFill/>
        <a:ln>
          <a:noFill/>
        </a:ln>
        <a:effectLst/>
      </c:spPr>
    </c:title>
    <c:autoTitleDeleted val="0"/>
    <c:plotArea>
      <c:layout/>
      <c:scatterChart>
        <c:scatterStyle val="smoothMarker"/>
        <c:varyColors val="0"/>
        <c:ser>
          <c:idx val="0"/>
          <c:order val="0"/>
          <c:tx>
            <c:strRef>
              <c:f>Tree1!$F$5</c:f>
              <c:strCache>
                <c:ptCount val="1"/>
                <c:pt idx="0">
                  <c:v>CO2 Sequestration Rate</c:v>
                </c:pt>
              </c:strCache>
            </c:strRef>
          </c:tx>
          <c:marker>
            <c:symbol val="none"/>
          </c:marker>
          <c:xVal>
            <c:numRef>
              <c:f>Tree1!$A$7:$A$106</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Tree1!$F$7:$F$86</c:f>
              <c:numCache>
                <c:formatCode>0.0</c:formatCode>
                <c:ptCount val="80"/>
                <c:pt idx="0">
                  <c:v>2.311761646144852</c:v>
                </c:pt>
                <c:pt idx="1">
                  <c:v>0.77058721538161734</c:v>
                </c:pt>
                <c:pt idx="2">
                  <c:v>1.5411744307632347</c:v>
                </c:pt>
                <c:pt idx="3">
                  <c:v>9.2470465845794081</c:v>
                </c:pt>
                <c:pt idx="4">
                  <c:v>21.243202425446242</c:v>
                </c:pt>
                <c:pt idx="5">
                  <c:v>32.322931805189455</c:v>
                </c:pt>
                <c:pt idx="6">
                  <c:v>42.558808619038672</c:v>
                </c:pt>
                <c:pt idx="7">
                  <c:v>52.018723002787681</c:v>
                </c:pt>
                <c:pt idx="8">
                  <c:v>60.766256056892729</c:v>
                </c:pt>
                <c:pt idx="9">
                  <c:v>68.861033986811691</c:v>
                </c:pt>
                <c:pt idx="10">
                  <c:v>76.359061659585308</c:v>
                </c:pt>
                <c:pt idx="11">
                  <c:v>83.313035576659473</c:v>
                </c:pt>
                <c:pt idx="12">
                  <c:v>89.772636262949902</c:v>
                </c:pt>
                <c:pt idx="13">
                  <c:v>95.784800072147647</c:v>
                </c:pt>
                <c:pt idx="14">
                  <c:v>101.39397040826617</c:v>
                </c:pt>
                <c:pt idx="15">
                  <c:v>106.64232836343083</c:v>
                </c:pt>
                <c:pt idx="16">
                  <c:v>111.57000277190897</c:v>
                </c:pt>
                <c:pt idx="17">
                  <c:v>116.21525968038213</c:v>
                </c:pt>
                <c:pt idx="18">
                  <c:v>120.61467123445965</c:v>
                </c:pt>
                <c:pt idx="19">
                  <c:v>124.80326398143387</c:v>
                </c:pt>
                <c:pt idx="20">
                  <c:v>128.81464658927692</c:v>
                </c:pt>
                <c:pt idx="21">
                  <c:v>132.68111698187931</c:v>
                </c:pt>
                <c:pt idx="22">
                  <c:v>136.43374889052959</c:v>
                </c:pt>
                <c:pt idx="23">
                  <c:v>140.10245782163597</c:v>
                </c:pt>
                <c:pt idx="24">
                  <c:v>143.71604644068952</c:v>
                </c:pt>
                <c:pt idx="25">
                  <c:v>147.3022293724687</c:v>
                </c:pt>
                <c:pt idx="26">
                  <c:v>150.88763741748576</c:v>
                </c:pt>
                <c:pt idx="27">
                  <c:v>154.49780118467433</c:v>
                </c:pt>
                <c:pt idx="28">
                  <c:v>158.15711414031918</c:v>
                </c:pt>
                <c:pt idx="29">
                  <c:v>161.88877507322692</c:v>
                </c:pt>
                <c:pt idx="30">
                  <c:v>165.71470997613855</c:v>
                </c:pt>
                <c:pt idx="31">
                  <c:v>169.65547334338393</c:v>
                </c:pt>
                <c:pt idx="32">
                  <c:v>173.73012888477686</c:v>
                </c:pt>
                <c:pt idx="33">
                  <c:v>177.9561096557529</c:v>
                </c:pt>
                <c:pt idx="34">
                  <c:v>182.34905760374849</c:v>
                </c:pt>
                <c:pt idx="35">
                  <c:v>186.9226425308203</c:v>
                </c:pt>
                <c:pt idx="36">
                  <c:v>191.68836047250815</c:v>
                </c:pt>
                <c:pt idx="37">
                  <c:v>196.65531149293841</c:v>
                </c:pt>
                <c:pt idx="38">
                  <c:v>201.82995689616914</c:v>
                </c:pt>
                <c:pt idx="39">
                  <c:v>207.21585585377673</c:v>
                </c:pt>
                <c:pt idx="40">
                  <c:v>212.81338144868411</c:v>
                </c:pt>
                <c:pt idx="41">
                  <c:v>218.61941613523121</c:v>
                </c:pt>
                <c:pt idx="42">
                  <c:v>224.62702661548539</c:v>
                </c:pt>
                <c:pt idx="43">
                  <c:v>230.8251181317959</c:v>
                </c:pt>
                <c:pt idx="44">
                  <c:v>127.1909930837337</c:v>
                </c:pt>
                <c:pt idx="45">
                  <c:v>105.76340308030922</c:v>
                </c:pt>
                <c:pt idx="46">
                  <c:v>105.76340308030922</c:v>
                </c:pt>
                <c:pt idx="47">
                  <c:v>105.76340308030922</c:v>
                </c:pt>
                <c:pt idx="48">
                  <c:v>105.76340308030922</c:v>
                </c:pt>
                <c:pt idx="49">
                  <c:v>105.76340308030922</c:v>
                </c:pt>
                <c:pt idx="50">
                  <c:v>105.76340308030922</c:v>
                </c:pt>
                <c:pt idx="51">
                  <c:v>105.76340308030922</c:v>
                </c:pt>
                <c:pt idx="52">
                  <c:v>105.76340308030922</c:v>
                </c:pt>
                <c:pt idx="53">
                  <c:v>105.76340308030922</c:v>
                </c:pt>
                <c:pt idx="54">
                  <c:v>105.76340308030922</c:v>
                </c:pt>
                <c:pt idx="55">
                  <c:v>105.76340308030922</c:v>
                </c:pt>
                <c:pt idx="56">
                  <c:v>105.76340308030922</c:v>
                </c:pt>
                <c:pt idx="57">
                  <c:v>105.76340308030922</c:v>
                </c:pt>
                <c:pt idx="58">
                  <c:v>105.76340308030922</c:v>
                </c:pt>
                <c:pt idx="59">
                  <c:v>105.76340308030922</c:v>
                </c:pt>
                <c:pt idx="60">
                  <c:v>105.76340308030922</c:v>
                </c:pt>
                <c:pt idx="61">
                  <c:v>105.76340308030922</c:v>
                </c:pt>
                <c:pt idx="62">
                  <c:v>105.76340308030922</c:v>
                </c:pt>
                <c:pt idx="63">
                  <c:v>105.76340308030922</c:v>
                </c:pt>
                <c:pt idx="64">
                  <c:v>105.76340308030922</c:v>
                </c:pt>
                <c:pt idx="65">
                  <c:v>105.76340308030922</c:v>
                </c:pt>
                <c:pt idx="66">
                  <c:v>105.76340308030922</c:v>
                </c:pt>
                <c:pt idx="67">
                  <c:v>105.76340308030922</c:v>
                </c:pt>
                <c:pt idx="68">
                  <c:v>105.76340308030922</c:v>
                </c:pt>
                <c:pt idx="69">
                  <c:v>105.76340308031013</c:v>
                </c:pt>
                <c:pt idx="70">
                  <c:v>105.76340308030922</c:v>
                </c:pt>
                <c:pt idx="71">
                  <c:v>105.76340308030922</c:v>
                </c:pt>
                <c:pt idx="72">
                  <c:v>105.76340308030922</c:v>
                </c:pt>
                <c:pt idx="73">
                  <c:v>105.76340308030922</c:v>
                </c:pt>
                <c:pt idx="74">
                  <c:v>105.76340308030922</c:v>
                </c:pt>
                <c:pt idx="75">
                  <c:v>105.76340308030922</c:v>
                </c:pt>
                <c:pt idx="76">
                  <c:v>105.76340308030922</c:v>
                </c:pt>
                <c:pt idx="77">
                  <c:v>105.76340308030922</c:v>
                </c:pt>
                <c:pt idx="78">
                  <c:v>105.76340308030922</c:v>
                </c:pt>
                <c:pt idx="79">
                  <c:v>105.76340308030922</c:v>
                </c:pt>
              </c:numCache>
            </c:numRef>
          </c:yVal>
          <c:smooth val="1"/>
          <c:extLst>
            <c:ext xmlns:c16="http://schemas.microsoft.com/office/drawing/2014/chart" uri="{C3380CC4-5D6E-409C-BE32-E72D297353CC}">
              <c16:uniqueId val="{00000000-C57A-4936-B3DB-D4625B7AAC2D}"/>
            </c:ext>
          </c:extLst>
        </c:ser>
        <c:ser>
          <c:idx val="1"/>
          <c:order val="1"/>
          <c:tx>
            <c:strRef>
              <c:f>Tree1!$G$5</c:f>
              <c:strCache>
                <c:ptCount val="1"/>
                <c:pt idx="0">
                  <c:v>New CO2 Sequestration Rate
(modified to smoothen curve)</c:v>
                </c:pt>
              </c:strCache>
            </c:strRef>
          </c:tx>
          <c:marker>
            <c:symbol val="none"/>
          </c:marker>
          <c:xVal>
            <c:numRef>
              <c:f>Tree1!$A$7:$A$86</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Tree1!$G$7:$G$86</c:f>
              <c:numCache>
                <c:formatCode>0.0</c:formatCode>
                <c:ptCount val="80"/>
                <c:pt idx="0">
                  <c:v>2.311761646144852</c:v>
                </c:pt>
                <c:pt idx="1">
                  <c:v>0.77058721538161734</c:v>
                </c:pt>
                <c:pt idx="2">
                  <c:v>1.5411744307632347</c:v>
                </c:pt>
                <c:pt idx="3">
                  <c:v>4.623523292289704</c:v>
                </c:pt>
                <c:pt idx="4">
                  <c:v>21.243202425446242</c:v>
                </c:pt>
                <c:pt idx="5">
                  <c:v>32.322931805189455</c:v>
                </c:pt>
                <c:pt idx="6">
                  <c:v>42.558808619038672</c:v>
                </c:pt>
                <c:pt idx="7">
                  <c:v>52.018723002787681</c:v>
                </c:pt>
                <c:pt idx="8">
                  <c:v>60.766256056892729</c:v>
                </c:pt>
                <c:pt idx="9">
                  <c:v>68.861033986811663</c:v>
                </c:pt>
                <c:pt idx="10">
                  <c:v>76.359061659585336</c:v>
                </c:pt>
                <c:pt idx="11">
                  <c:v>83.313035576659445</c:v>
                </c:pt>
                <c:pt idx="12">
                  <c:v>89.772636262949959</c:v>
                </c:pt>
                <c:pt idx="13">
                  <c:v>95.784800072147618</c:v>
                </c:pt>
                <c:pt idx="14">
                  <c:v>101.39397040826611</c:v>
                </c:pt>
                <c:pt idx="15">
                  <c:v>106.64232836343081</c:v>
                </c:pt>
                <c:pt idx="16">
                  <c:v>111.570002771909</c:v>
                </c:pt>
                <c:pt idx="17">
                  <c:v>116.21525968038213</c:v>
                </c:pt>
                <c:pt idx="18">
                  <c:v>120.61467123445959</c:v>
                </c:pt>
                <c:pt idx="19">
                  <c:v>124.80326398143393</c:v>
                </c:pt>
                <c:pt idx="20">
                  <c:v>128.81464658927689</c:v>
                </c:pt>
                <c:pt idx="21">
                  <c:v>132.68111698187931</c:v>
                </c:pt>
                <c:pt idx="22">
                  <c:v>136.43374889052961</c:v>
                </c:pt>
                <c:pt idx="23">
                  <c:v>140.10245782163588</c:v>
                </c:pt>
                <c:pt idx="24">
                  <c:v>143.71604644068952</c:v>
                </c:pt>
                <c:pt idx="25">
                  <c:v>147.30222937246867</c:v>
                </c:pt>
                <c:pt idx="26">
                  <c:v>150.88763741748562</c:v>
                </c:pt>
                <c:pt idx="27">
                  <c:v>154.49780118467424</c:v>
                </c:pt>
                <c:pt idx="28">
                  <c:v>158.15711414031921</c:v>
                </c:pt>
                <c:pt idx="29">
                  <c:v>161.88877507322695</c:v>
                </c:pt>
                <c:pt idx="30">
                  <c:v>165.71470997613869</c:v>
                </c:pt>
                <c:pt idx="31">
                  <c:v>169.65547334338407</c:v>
                </c:pt>
                <c:pt idx="32">
                  <c:v>173.73012888477706</c:v>
                </c:pt>
                <c:pt idx="33">
                  <c:v>177.9561096557527</c:v>
                </c:pt>
                <c:pt idx="34">
                  <c:v>182.34905760374841</c:v>
                </c:pt>
                <c:pt idx="35">
                  <c:v>186.92264253082021</c:v>
                </c:pt>
                <c:pt idx="36">
                  <c:v>191.68836047250807</c:v>
                </c:pt>
                <c:pt idx="37">
                  <c:v>196.65531149293884</c:v>
                </c:pt>
                <c:pt idx="38">
                  <c:v>201.82995689616928</c:v>
                </c:pt>
                <c:pt idx="39">
                  <c:v>207.2158558537767</c:v>
                </c:pt>
                <c:pt idx="40">
                  <c:v>212.81338144868369</c:v>
                </c:pt>
                <c:pt idx="41">
                  <c:v>218.6194161352314</c:v>
                </c:pt>
                <c:pt idx="42">
                  <c:v>224.62702661548519</c:v>
                </c:pt>
                <c:pt idx="43">
                  <c:v>230.82511813179553</c:v>
                </c:pt>
                <c:pt idx="44">
                  <c:v>230.82511813179599</c:v>
                </c:pt>
                <c:pt idx="45">
                  <c:v>230</c:v>
                </c:pt>
                <c:pt idx="46">
                  <c:v>230</c:v>
                </c:pt>
                <c:pt idx="47">
                  <c:v>225.05773438298476</c:v>
                </c:pt>
                <c:pt idx="48">
                  <c:v>220.11546876596952</c:v>
                </c:pt>
                <c:pt idx="49">
                  <c:v>215.17320314895429</c:v>
                </c:pt>
                <c:pt idx="50">
                  <c:v>210.23093753193905</c:v>
                </c:pt>
                <c:pt idx="51">
                  <c:v>205.28867191492381</c:v>
                </c:pt>
                <c:pt idx="52">
                  <c:v>200.34640629790857</c:v>
                </c:pt>
                <c:pt idx="53">
                  <c:v>195.40414068089333</c:v>
                </c:pt>
                <c:pt idx="54">
                  <c:v>190.4618750638781</c:v>
                </c:pt>
                <c:pt idx="55">
                  <c:v>185.51960944686286</c:v>
                </c:pt>
                <c:pt idx="56">
                  <c:v>180.57734382984762</c:v>
                </c:pt>
                <c:pt idx="57">
                  <c:v>175.63507821283238</c:v>
                </c:pt>
                <c:pt idx="58">
                  <c:v>170.69281259581714</c:v>
                </c:pt>
                <c:pt idx="59">
                  <c:v>165.75054697880191</c:v>
                </c:pt>
                <c:pt idx="60">
                  <c:v>160.80828136178667</c:v>
                </c:pt>
                <c:pt idx="61">
                  <c:v>155.86601574477143</c:v>
                </c:pt>
                <c:pt idx="62">
                  <c:v>150.92375012775619</c:v>
                </c:pt>
                <c:pt idx="63">
                  <c:v>145.98148451074096</c:v>
                </c:pt>
                <c:pt idx="64">
                  <c:v>141.03921889372572</c:v>
                </c:pt>
                <c:pt idx="65">
                  <c:v>136.09695327671048</c:v>
                </c:pt>
                <c:pt idx="66">
                  <c:v>131.15468765969524</c:v>
                </c:pt>
                <c:pt idx="67">
                  <c:v>126.21242204268</c:v>
                </c:pt>
                <c:pt idx="68">
                  <c:v>121.27015642566477</c:v>
                </c:pt>
                <c:pt idx="69">
                  <c:v>116.32789080864953</c:v>
                </c:pt>
                <c:pt idx="70">
                  <c:v>111.38562519163429</c:v>
                </c:pt>
                <c:pt idx="71">
                  <c:v>106.44335957461905</c:v>
                </c:pt>
                <c:pt idx="72">
                  <c:v>105.76340308031013</c:v>
                </c:pt>
                <c:pt idx="73">
                  <c:v>105.76340308031013</c:v>
                </c:pt>
                <c:pt idx="74">
                  <c:v>105.76340308031013</c:v>
                </c:pt>
                <c:pt idx="75">
                  <c:v>105.76340308031013</c:v>
                </c:pt>
                <c:pt idx="76">
                  <c:v>105.76340308031013</c:v>
                </c:pt>
                <c:pt idx="77">
                  <c:v>105.76340308031013</c:v>
                </c:pt>
                <c:pt idx="78">
                  <c:v>105.76340308031013</c:v>
                </c:pt>
                <c:pt idx="79">
                  <c:v>105.76340308031013</c:v>
                </c:pt>
              </c:numCache>
            </c:numRef>
          </c:yVal>
          <c:smooth val="1"/>
          <c:extLst>
            <c:ext xmlns:c16="http://schemas.microsoft.com/office/drawing/2014/chart" uri="{C3380CC4-5D6E-409C-BE32-E72D297353CC}">
              <c16:uniqueId val="{00000002-D2C9-4863-9B2C-95F04301004C}"/>
            </c:ext>
          </c:extLst>
        </c:ser>
        <c:dLbls>
          <c:showLegendKey val="0"/>
          <c:showVal val="0"/>
          <c:showCatName val="0"/>
          <c:showSerName val="0"/>
          <c:showPercent val="0"/>
          <c:showBubbleSize val="0"/>
        </c:dLbls>
        <c:axId val="327121272"/>
        <c:axId val="327124552"/>
      </c:scatterChart>
      <c:valAx>
        <c:axId val="327121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200">
                    <a:solidFill>
                      <a:sysClr val="windowText" lastClr="000000"/>
                    </a:solidFill>
                  </a:defRPr>
                </a:pPr>
                <a:r>
                  <a:rPr lang="fi-FI" sz="1200">
                    <a:solidFill>
                      <a:sysClr val="windowText" lastClr="000000"/>
                    </a:solidFill>
                  </a:rPr>
                  <a:t>Years</a:t>
                </a:r>
              </a:p>
              <a:p>
                <a:pPr>
                  <a:defRPr sz="1200">
                    <a:solidFill>
                      <a:sysClr val="windowText" lastClr="000000"/>
                    </a:solidFill>
                  </a:defRPr>
                </a:pPr>
                <a:endParaRPr lang="fi-FI" sz="1200">
                  <a:solidFill>
                    <a:sysClr val="windowText" lastClr="000000"/>
                  </a:solidFill>
                </a:endParaRP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i-FI"/>
          </a:p>
        </c:txPr>
        <c:crossAx val="327124552"/>
        <c:crosses val="autoZero"/>
        <c:crossBetween val="midCat"/>
      </c:valAx>
      <c:valAx>
        <c:axId val="327124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200"/>
                </a:pPr>
                <a:r>
                  <a:rPr lang="fi-FI" sz="1200"/>
                  <a:t>C0</a:t>
                </a:r>
                <a:r>
                  <a:rPr lang="fi-FI" sz="1200" baseline="-25000"/>
                  <a:t>2</a:t>
                </a:r>
                <a:r>
                  <a:rPr lang="fi-FI" sz="1200" baseline="0"/>
                  <a:t> </a:t>
                </a:r>
                <a:r>
                  <a:rPr lang="fi-FI" sz="1200"/>
                  <a:t> kg / year</a:t>
                </a:r>
              </a:p>
            </c:rich>
          </c:tx>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i-FI"/>
          </a:p>
        </c:txPr>
        <c:crossAx val="327121272"/>
        <c:crosses val="autoZero"/>
        <c:crossBetween val="midCat"/>
      </c:valAx>
    </c:plotArea>
    <c:legend>
      <c:legendPos val="r"/>
      <c:layout>
        <c:manualLayout>
          <c:xMode val="edge"/>
          <c:yMode val="edge"/>
          <c:x val="0.73006268148153075"/>
          <c:y val="0.39712143509887493"/>
          <c:w val="0.24352045403967448"/>
          <c:h val="0.22643057640634751"/>
        </c:manualLayout>
      </c:layout>
      <c:overlay val="0"/>
      <c:txPr>
        <a:bodyPr/>
        <a:lstStyle/>
        <a:p>
          <a:pPr>
            <a:defRPr b="1">
              <a:solidFill>
                <a:sysClr val="windowText" lastClr="000000"/>
              </a:solidFill>
            </a:defRPr>
          </a:pPr>
          <a:endParaRPr lang="fi-FI"/>
        </a:p>
      </c:txPr>
    </c:legend>
    <c:plotVisOnly val="1"/>
    <c:dispBlanksAs val="gap"/>
    <c:showDLblsOverMax val="0"/>
    <c:extLst/>
  </c:chart>
  <c:txPr>
    <a:bodyPr/>
    <a:lstStyle/>
    <a:p>
      <a:pPr>
        <a:defRPr/>
      </a:pPr>
      <a:endParaRPr lang="fi-FI"/>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Cumulative CO2 Stored - Willow Acacia</a:t>
            </a:r>
          </a:p>
        </c:rich>
      </c:tx>
      <c:overlay val="0"/>
      <c:spPr>
        <a:noFill/>
        <a:ln>
          <a:noFill/>
        </a:ln>
        <a:effectLst/>
      </c:spPr>
    </c:title>
    <c:autoTitleDeleted val="0"/>
    <c:plotArea>
      <c:layout>
        <c:manualLayout>
          <c:layoutTarget val="inner"/>
          <c:xMode val="edge"/>
          <c:yMode val="edge"/>
          <c:x val="0.10821022378861794"/>
          <c:y val="0.11047617678250837"/>
          <c:w val="0.68668707683205854"/>
          <c:h val="0.70500352269972166"/>
        </c:manualLayout>
      </c:layout>
      <c:scatterChart>
        <c:scatterStyle val="smoothMarker"/>
        <c:varyColors val="0"/>
        <c:ser>
          <c:idx val="0"/>
          <c:order val="0"/>
          <c:tx>
            <c:strRef>
              <c:f>Tree5!$G$8</c:f>
              <c:strCache>
                <c:ptCount val="1"/>
                <c:pt idx="0">
                  <c:v>Cumulative CO2
 Stored</c:v>
                </c:pt>
              </c:strCache>
            </c:strRef>
          </c:tx>
          <c:marker>
            <c:symbol val="none"/>
          </c:marker>
          <c:xVal>
            <c:numRef>
              <c:f>Tree5!$A$10:$A$108</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Tree5!$G$10:$G$108</c:f>
              <c:numCache>
                <c:formatCode>General</c:formatCode>
                <c:ptCount val="99"/>
                <c:pt idx="0">
                  <c:v>9.2478874784592797</c:v>
                </c:pt>
                <c:pt idx="1">
                  <c:v>24.429481673044851</c:v>
                </c:pt>
                <c:pt idx="2">
                  <c:v>45.305866444149743</c:v>
                </c:pt>
                <c:pt idx="3">
                  <c:v>71.646240412980205</c:v>
                </c:pt>
                <c:pt idx="4">
                  <c:v>103.23981095087817</c:v>
                </c:pt>
                <c:pt idx="5">
                  <c:v>139.89638953767593</c:v>
                </c:pt>
                <c:pt idx="6">
                  <c:v>181.44439256216324</c:v>
                </c:pt>
                <c:pt idx="7">
                  <c:v>227.72843932433631</c:v>
                </c:pt>
                <c:pt idx="8">
                  <c:v>278.60713077417853</c:v>
                </c:pt>
                <c:pt idx="9">
                  <c:v>333.95113801529908</c:v>
                </c:pt>
                <c:pt idx="10">
                  <c:v>393.64159584837302</c:v>
                </c:pt>
                <c:pt idx="11">
                  <c:v>457.56876104603742</c:v>
                </c:pt>
                <c:pt idx="12">
                  <c:v>525.63089052844259</c:v>
                </c:pt>
                <c:pt idx="13">
                  <c:v>597.73329936006928</c:v>
                </c:pt>
                <c:pt idx="14">
                  <c:v>673.78756523113566</c:v>
                </c:pt>
                <c:pt idx="15">
                  <c:v>753.71085246721111</c:v>
                </c:pt>
                <c:pt idx="16">
                  <c:v>837.42533399491117</c:v>
                </c:pt>
                <c:pt idx="17">
                  <c:v>924.85769403522363</c:v>
                </c:pt>
                <c:pt idx="18">
                  <c:v>1015.9386977350314</c:v>
                </c:pt>
                <c:pt idx="19">
                  <c:v>1110.6028166518199</c:v>
                </c:pt>
                <c:pt idx="20">
                  <c:v>1208.7879011318719</c:v>
                </c:pt>
                <c:pt idx="21">
                  <c:v>1310.4348922968006</c:v>
                </c:pt>
                <c:pt idx="22">
                  <c:v>1415.4875676783977</c:v>
                </c:pt>
                <c:pt idx="23">
                  <c:v>1523.8923155959737</c:v>
                </c:pt>
                <c:pt idx="24">
                  <c:v>1635.5979342138801</c:v>
                </c:pt>
                <c:pt idx="25">
                  <c:v>1750.5554518958543</c:v>
                </c:pt>
                <c:pt idx="26">
                  <c:v>1868.7179660226043</c:v>
                </c:pt>
                <c:pt idx="27">
                  <c:v>1990.040497886826</c:v>
                </c:pt>
                <c:pt idx="28">
                  <c:v>2114.4798616466624</c:v>
                </c:pt>
                <c:pt idx="29">
                  <c:v>2241.9945456207461</c:v>
                </c:pt>
                <c:pt idx="30">
                  <c:v>2372.5446044581695</c:v>
                </c:pt>
                <c:pt idx="31">
                  <c:v>2506.0915609249751</c:v>
                </c:pt>
                <c:pt idx="32">
                  <c:v>2642.5983162229386</c:v>
                </c:pt>
                <c:pt idx="33">
                  <c:v>2782.0290679027862</c:v>
                </c:pt>
                <c:pt idx="34">
                  <c:v>2924.3492345575319</c:v>
                </c:pt>
                <c:pt idx="35" formatCode="0.00">
                  <c:v>2998.2060556430538</c:v>
                </c:pt>
                <c:pt idx="36" formatCode="0.00">
                  <c:v>3053.1894566562555</c:v>
                </c:pt>
                <c:pt idx="37" formatCode="0.00">
                  <c:v>3108.1728576694572</c:v>
                </c:pt>
                <c:pt idx="38" formatCode="0.00">
                  <c:v>3163.156258682659</c:v>
                </c:pt>
                <c:pt idx="39" formatCode="0.00">
                  <c:v>3218.1396596958607</c:v>
                </c:pt>
                <c:pt idx="40" formatCode="0.00">
                  <c:v>3273.1230607090624</c:v>
                </c:pt>
                <c:pt idx="41" formatCode="0.00">
                  <c:v>3328.1064617222642</c:v>
                </c:pt>
                <c:pt idx="42" formatCode="0.00">
                  <c:v>3383.0898627354659</c:v>
                </c:pt>
                <c:pt idx="43" formatCode="0.00">
                  <c:v>3438.0732637486676</c:v>
                </c:pt>
                <c:pt idx="44" formatCode="0.00">
                  <c:v>3493.0566647618693</c:v>
                </c:pt>
                <c:pt idx="45" formatCode="0.00">
                  <c:v>3548.0400657750711</c:v>
                </c:pt>
                <c:pt idx="46" formatCode="0.00">
                  <c:v>3603.0234667882728</c:v>
                </c:pt>
                <c:pt idx="47" formatCode="0.00">
                  <c:v>3658.0068678014745</c:v>
                </c:pt>
                <c:pt idx="48" formatCode="0.00">
                  <c:v>3712.9902688146763</c:v>
                </c:pt>
                <c:pt idx="49" formatCode="0.00">
                  <c:v>3767.973669827878</c:v>
                </c:pt>
                <c:pt idx="50" formatCode="0.00">
                  <c:v>3822.9570708410797</c:v>
                </c:pt>
                <c:pt idx="51" formatCode="0.00">
                  <c:v>3877.9404718542814</c:v>
                </c:pt>
                <c:pt idx="52" formatCode="0.00">
                  <c:v>3932.9238728674832</c:v>
                </c:pt>
                <c:pt idx="53" formatCode="0.00">
                  <c:v>3987.9072738806849</c:v>
                </c:pt>
                <c:pt idx="54" formatCode="0.00">
                  <c:v>4042.8906748938866</c:v>
                </c:pt>
                <c:pt idx="55" formatCode="0.00">
                  <c:v>4097.8740759070888</c:v>
                </c:pt>
                <c:pt idx="56" formatCode="0.00">
                  <c:v>4152.8574769202905</c:v>
                </c:pt>
                <c:pt idx="57" formatCode="0.00">
                  <c:v>4207.8408779334923</c:v>
                </c:pt>
                <c:pt idx="58" formatCode="0.00">
                  <c:v>4262.824278946694</c:v>
                </c:pt>
                <c:pt idx="59" formatCode="0.00">
                  <c:v>4317.8076799598957</c:v>
                </c:pt>
                <c:pt idx="60" formatCode="0.00">
                  <c:v>4372.7910809730975</c:v>
                </c:pt>
                <c:pt idx="61" formatCode="0.00">
                  <c:v>4427.7744819862992</c:v>
                </c:pt>
                <c:pt idx="62" formatCode="0.00">
                  <c:v>4482.7578829995009</c:v>
                </c:pt>
                <c:pt idx="63" formatCode="0.00">
                  <c:v>4537.7412840127026</c:v>
                </c:pt>
                <c:pt idx="64" formatCode="0.00">
                  <c:v>4592.7246850259044</c:v>
                </c:pt>
                <c:pt idx="65" formatCode="0.00">
                  <c:v>4647.7080860391061</c:v>
                </c:pt>
                <c:pt idx="66" formatCode="0.00">
                  <c:v>4702.6914870523078</c:v>
                </c:pt>
                <c:pt idx="67" formatCode="0.00">
                  <c:v>4757.6748880655095</c:v>
                </c:pt>
                <c:pt idx="68" formatCode="0.00">
                  <c:v>4812.6582890787113</c:v>
                </c:pt>
                <c:pt idx="69" formatCode="0.00">
                  <c:v>4867.641690091913</c:v>
                </c:pt>
                <c:pt idx="70" formatCode="0.00">
                  <c:v>4922.6250911051147</c:v>
                </c:pt>
                <c:pt idx="71" formatCode="0.00">
                  <c:v>4977.6084921183165</c:v>
                </c:pt>
                <c:pt idx="72" formatCode="0.00">
                  <c:v>5032.5918931315182</c:v>
                </c:pt>
                <c:pt idx="73" formatCode="0.00">
                  <c:v>5087.5752941447199</c:v>
                </c:pt>
                <c:pt idx="74" formatCode="0.00">
                  <c:v>5142.5586951579216</c:v>
                </c:pt>
                <c:pt idx="75" formatCode="0.00">
                  <c:v>5197.5420961711234</c:v>
                </c:pt>
                <c:pt idx="76" formatCode="0.00">
                  <c:v>5252.5254971843251</c:v>
                </c:pt>
                <c:pt idx="77" formatCode="0.00">
                  <c:v>5307.5088981975268</c:v>
                </c:pt>
                <c:pt idx="78" formatCode="0.00">
                  <c:v>5362.4922992107286</c:v>
                </c:pt>
                <c:pt idx="79" formatCode="0.00">
                  <c:v>5417.4757002239303</c:v>
                </c:pt>
              </c:numCache>
            </c:numRef>
          </c:yVal>
          <c:smooth val="1"/>
          <c:extLst>
            <c:ext xmlns:c16="http://schemas.microsoft.com/office/drawing/2014/chart" uri="{C3380CC4-5D6E-409C-BE32-E72D297353CC}">
              <c16:uniqueId val="{00000000-E9C5-439C-9982-074D0BE1C45E}"/>
            </c:ext>
          </c:extLst>
        </c:ser>
        <c:ser>
          <c:idx val="1"/>
          <c:order val="1"/>
          <c:tx>
            <c:strRef>
              <c:f>Tree5!$I$8</c:f>
              <c:strCache>
                <c:ptCount val="1"/>
                <c:pt idx="0">
                  <c:v>New Cumulative CO2
 Stored</c:v>
                </c:pt>
              </c:strCache>
            </c:strRef>
          </c:tx>
          <c:marker>
            <c:symbol val="none"/>
          </c:marker>
          <c:xVal>
            <c:numRef>
              <c:f>Tree5!$A$10:$A$89</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Tree5!$I$10:$I$89</c:f>
              <c:numCache>
                <c:formatCode>General</c:formatCode>
                <c:ptCount val="80"/>
                <c:pt idx="0">
                  <c:v>9.2478874784592797</c:v>
                </c:pt>
                <c:pt idx="1">
                  <c:v>24.429481673044851</c:v>
                </c:pt>
                <c:pt idx="2">
                  <c:v>45.305866444149743</c:v>
                </c:pt>
                <c:pt idx="3">
                  <c:v>71.646240412980205</c:v>
                </c:pt>
                <c:pt idx="4">
                  <c:v>103.23981095087817</c:v>
                </c:pt>
                <c:pt idx="5">
                  <c:v>139.89638953767593</c:v>
                </c:pt>
                <c:pt idx="6">
                  <c:v>181.44439256216324</c:v>
                </c:pt>
                <c:pt idx="7">
                  <c:v>227.72843932433631</c:v>
                </c:pt>
                <c:pt idx="8">
                  <c:v>278.60713077417853</c:v>
                </c:pt>
                <c:pt idx="9">
                  <c:v>333.95113801529908</c:v>
                </c:pt>
                <c:pt idx="10">
                  <c:v>393.64159584837302</c:v>
                </c:pt>
                <c:pt idx="11">
                  <c:v>457.56876104603742</c:v>
                </c:pt>
                <c:pt idx="12">
                  <c:v>525.63089052844259</c:v>
                </c:pt>
                <c:pt idx="13">
                  <c:v>597.73329936006928</c:v>
                </c:pt>
                <c:pt idx="14">
                  <c:v>673.78756523113566</c:v>
                </c:pt>
                <c:pt idx="15">
                  <c:v>753.71085246721111</c:v>
                </c:pt>
                <c:pt idx="16">
                  <c:v>837.42533399491117</c:v>
                </c:pt>
                <c:pt idx="17">
                  <c:v>924.85769403522363</c:v>
                </c:pt>
                <c:pt idx="18">
                  <c:v>1015.9386977350314</c:v>
                </c:pt>
                <c:pt idx="19">
                  <c:v>1110.6028166518199</c:v>
                </c:pt>
                <c:pt idx="20">
                  <c:v>1208.7879011318719</c:v>
                </c:pt>
                <c:pt idx="21">
                  <c:v>1310.4348922968006</c:v>
                </c:pt>
                <c:pt idx="22">
                  <c:v>1415.4875676783977</c:v>
                </c:pt>
                <c:pt idx="23">
                  <c:v>1523.8923155959737</c:v>
                </c:pt>
                <c:pt idx="24">
                  <c:v>1635.5979342138801</c:v>
                </c:pt>
                <c:pt idx="25">
                  <c:v>1750.5554518958543</c:v>
                </c:pt>
                <c:pt idx="26">
                  <c:v>1868.7179660226043</c:v>
                </c:pt>
                <c:pt idx="27">
                  <c:v>1990.040497886826</c:v>
                </c:pt>
                <c:pt idx="28">
                  <c:v>2114.4798616466624</c:v>
                </c:pt>
                <c:pt idx="29">
                  <c:v>2241.9945456207461</c:v>
                </c:pt>
                <c:pt idx="30">
                  <c:v>2372.5446044581695</c:v>
                </c:pt>
                <c:pt idx="31">
                  <c:v>2506.0915609249751</c:v>
                </c:pt>
                <c:pt idx="32">
                  <c:v>2642.5983162229386</c:v>
                </c:pt>
                <c:pt idx="33">
                  <c:v>2782.0290679027862</c:v>
                </c:pt>
                <c:pt idx="34">
                  <c:v>2924.3492345575319</c:v>
                </c:pt>
                <c:pt idx="35">
                  <c:v>3066.6694012122775</c:v>
                </c:pt>
                <c:pt idx="36">
                  <c:v>3208.9895678670232</c:v>
                </c:pt>
                <c:pt idx="37">
                  <c:v>3347.6698162972411</c:v>
                </c:pt>
                <c:pt idx="38">
                  <c:v>3482.7101465029309</c:v>
                </c:pt>
                <c:pt idx="39">
                  <c:v>3614.110558484093</c:v>
                </c:pt>
                <c:pt idx="40">
                  <c:v>3741.8710522407273</c:v>
                </c:pt>
                <c:pt idx="41">
                  <c:v>3865.9916277728339</c:v>
                </c:pt>
                <c:pt idx="42">
                  <c:v>3986.4722850804128</c:v>
                </c:pt>
                <c:pt idx="43">
                  <c:v>4103.3130241634635</c:v>
                </c:pt>
                <c:pt idx="44">
                  <c:v>4216.5138450219865</c:v>
                </c:pt>
                <c:pt idx="45">
                  <c:v>4326.0747476559818</c:v>
                </c:pt>
                <c:pt idx="46">
                  <c:v>4431.9957320654494</c:v>
                </c:pt>
                <c:pt idx="47">
                  <c:v>4534.2767982503892</c:v>
                </c:pt>
                <c:pt idx="48">
                  <c:v>4632.9179462108004</c:v>
                </c:pt>
                <c:pt idx="49">
                  <c:v>4727.9191759466839</c:v>
                </c:pt>
                <c:pt idx="50">
                  <c:v>4819.2804874580397</c:v>
                </c:pt>
                <c:pt idx="51">
                  <c:v>4907.0018807448678</c:v>
                </c:pt>
                <c:pt idx="52">
                  <c:v>4991.0833558071681</c:v>
                </c:pt>
                <c:pt idx="53">
                  <c:v>5071.5249126449407</c:v>
                </c:pt>
                <c:pt idx="54">
                  <c:v>5148.3265512581856</c:v>
                </c:pt>
                <c:pt idx="55">
                  <c:v>5221.4882716469028</c:v>
                </c:pt>
                <c:pt idx="56">
                  <c:v>5291.0100738110923</c:v>
                </c:pt>
                <c:pt idx="57">
                  <c:v>5356.8919577507531</c:v>
                </c:pt>
                <c:pt idx="58">
                  <c:v>5419.1339234658863</c:v>
                </c:pt>
                <c:pt idx="59">
                  <c:v>5474.117324479088</c:v>
                </c:pt>
                <c:pt idx="60">
                  <c:v>5529.1007254922897</c:v>
                </c:pt>
                <c:pt idx="61">
                  <c:v>5584.0841265054914</c:v>
                </c:pt>
                <c:pt idx="62">
                  <c:v>5639.0675275186932</c:v>
                </c:pt>
                <c:pt idx="63">
                  <c:v>5694.0509285318949</c:v>
                </c:pt>
                <c:pt idx="64">
                  <c:v>5749.0343295450966</c:v>
                </c:pt>
                <c:pt idx="65">
                  <c:v>5804.0177305582984</c:v>
                </c:pt>
                <c:pt idx="66">
                  <c:v>5859.0011315715001</c:v>
                </c:pt>
                <c:pt idx="67">
                  <c:v>5913.9845325847018</c:v>
                </c:pt>
                <c:pt idx="68">
                  <c:v>5968.9679335979035</c:v>
                </c:pt>
                <c:pt idx="69">
                  <c:v>6023.9513346111053</c:v>
                </c:pt>
                <c:pt idx="70">
                  <c:v>6078.934735624307</c:v>
                </c:pt>
                <c:pt idx="71">
                  <c:v>6133.9181366375087</c:v>
                </c:pt>
                <c:pt idx="72">
                  <c:v>6188.9015376507105</c:v>
                </c:pt>
                <c:pt idx="73">
                  <c:v>6243.8849386639122</c:v>
                </c:pt>
                <c:pt idx="74">
                  <c:v>6298.8683396771139</c:v>
                </c:pt>
                <c:pt idx="75">
                  <c:v>6353.8517406903156</c:v>
                </c:pt>
                <c:pt idx="76">
                  <c:v>6408.8351417035174</c:v>
                </c:pt>
                <c:pt idx="77">
                  <c:v>6463.8185427167191</c:v>
                </c:pt>
                <c:pt idx="78">
                  <c:v>6518.8019437299208</c:v>
                </c:pt>
                <c:pt idx="79">
                  <c:v>6573.7853447431226</c:v>
                </c:pt>
              </c:numCache>
            </c:numRef>
          </c:yVal>
          <c:smooth val="1"/>
          <c:extLst>
            <c:ext xmlns:c16="http://schemas.microsoft.com/office/drawing/2014/chart" uri="{C3380CC4-5D6E-409C-BE32-E72D297353CC}">
              <c16:uniqueId val="{00000001-22E9-4900-AED7-B669A794B1BB}"/>
            </c:ext>
          </c:extLst>
        </c:ser>
        <c:dLbls>
          <c:showLegendKey val="0"/>
          <c:showVal val="0"/>
          <c:showCatName val="0"/>
          <c:showSerName val="0"/>
          <c:showPercent val="0"/>
          <c:showBubbleSize val="0"/>
        </c:dLbls>
        <c:axId val="327121272"/>
        <c:axId val="327124552"/>
      </c:scatterChart>
      <c:valAx>
        <c:axId val="327121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a:pPr>
                <a:r>
                  <a:rPr lang="fi-FI"/>
                  <a:t>Age</a:t>
                </a:r>
              </a:p>
              <a:p>
                <a:pPr>
                  <a:defRPr/>
                </a:pPr>
                <a:endParaRPr lang="fi-FI"/>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vert="horz"/>
          <a:lstStyle/>
          <a:p>
            <a:pPr>
              <a:defRPr sz="1000"/>
            </a:pPr>
            <a:endParaRPr lang="fi-FI"/>
          </a:p>
        </c:txPr>
        <c:crossAx val="327124552"/>
        <c:crosses val="autoZero"/>
        <c:crossBetween val="midCat"/>
      </c:valAx>
      <c:valAx>
        <c:axId val="327124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fi-FI"/>
                  <a:t>CO2  kg /age</a:t>
                </a: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vert="horz"/>
          <a:lstStyle/>
          <a:p>
            <a:pPr>
              <a:defRPr sz="1000"/>
            </a:pPr>
            <a:endParaRPr lang="fi-FI"/>
          </a:p>
        </c:txPr>
        <c:crossAx val="327121272"/>
        <c:crosses val="autoZero"/>
        <c:crossBetween val="midCat"/>
      </c:valAx>
    </c:plotArea>
    <c:legend>
      <c:legendPos val="r"/>
      <c:overlay val="0"/>
    </c:legend>
    <c:plotVisOnly val="1"/>
    <c:dispBlanksAs val="gap"/>
    <c:showDLblsOverMax val="0"/>
    <c:extLst/>
  </c:chart>
  <c:txPr>
    <a:bodyPr/>
    <a:lstStyle/>
    <a:p>
      <a:pPr marL="0" marR="0" lvl="0" indent="0" algn="ctr" defTabSz="914400" rtl="0" eaLnBrk="1" fontAlgn="auto" latinLnBrk="0" hangingPunct="1">
        <a:lnSpc>
          <a:spcPct val="100000"/>
        </a:lnSpc>
        <a:spcBef>
          <a:spcPts val="0"/>
        </a:spcBef>
        <a:spcAft>
          <a:spcPts val="0"/>
        </a:spcAft>
        <a:buClrTx/>
        <a:buSzTx/>
        <a:buFontTx/>
        <a:buNone/>
        <a:tabLst/>
        <a:defRPr lang="en-US" sz="1200" b="1" i="0" u="none" strike="noStrike" kern="1200" baseline="0">
          <a:solidFill>
            <a:sysClr val="windowText" lastClr="000000"/>
          </a:solidFill>
          <a:effectLst/>
          <a:latin typeface="+mn-lt"/>
          <a:ea typeface="+mn-ea"/>
          <a:cs typeface="+mn-cs"/>
        </a:defRPr>
      </a:pPr>
      <a:endParaRPr lang="fi-FI"/>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solidFill>
                  <a:sysClr val="windowText" lastClr="000000"/>
                </a:solidFill>
              </a:rPr>
              <a:t>CO2</a:t>
            </a:r>
            <a:r>
              <a:rPr lang="en-US" b="1" baseline="0">
                <a:solidFill>
                  <a:sysClr val="windowText" lastClr="000000"/>
                </a:solidFill>
              </a:rPr>
              <a:t> sequestration vs Age</a:t>
            </a:r>
          </a:p>
        </c:rich>
      </c:tx>
      <c:overlay val="0"/>
      <c:spPr>
        <a:noFill/>
        <a:ln>
          <a:noFill/>
        </a:ln>
        <a:effectLst/>
      </c:spPr>
    </c:title>
    <c:autoTitleDeleted val="0"/>
    <c:plotArea>
      <c:layout/>
      <c:scatterChart>
        <c:scatterStyle val="smoothMarker"/>
        <c:varyColors val="0"/>
        <c:ser>
          <c:idx val="0"/>
          <c:order val="0"/>
          <c:tx>
            <c:strRef>
              <c:f>Tree6!$B$1</c:f>
              <c:strCache>
                <c:ptCount val="1"/>
                <c:pt idx="0">
                  <c:v>Casuarina</c:v>
                </c:pt>
              </c:strCache>
            </c:strRef>
          </c:tx>
          <c:spPr>
            <a:ln w="19050" cap="rnd">
              <a:solidFill>
                <a:schemeClr val="accent1"/>
              </a:solidFill>
              <a:round/>
            </a:ln>
            <a:effectLst/>
          </c:spPr>
          <c:marker>
            <c:symbol val="none"/>
          </c:marker>
          <c:xVal>
            <c:numRef>
              <c:f>Tree6!$A$6:$A$85</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Tree6!$F$6:$F$85</c:f>
              <c:numCache>
                <c:formatCode>General</c:formatCode>
                <c:ptCount val="80"/>
                <c:pt idx="0">
                  <c:v>4.6948995152696629</c:v>
                </c:pt>
                <c:pt idx="1">
                  <c:v>5.0462564921785642</c:v>
                </c:pt>
                <c:pt idx="2">
                  <c:v>5.6034080751897939</c:v>
                </c:pt>
                <c:pt idx="3">
                  <c:v>6.3611130693750102</c:v>
                </c:pt>
                <c:pt idx="4">
                  <c:v>7.3141743342616952</c:v>
                </c:pt>
                <c:pt idx="5">
                  <c:v>8.4574387838331564</c:v>
                </c:pt>
                <c:pt idx="6">
                  <c:v>9.7857973865285413</c:v>
                </c:pt>
                <c:pt idx="7">
                  <c:v>11.294185165242824</c:v>
                </c:pt>
                <c:pt idx="8">
                  <c:v>12.977581197326819</c:v>
                </c:pt>
                <c:pt idx="9">
                  <c:v>14.831008614587153</c:v>
                </c:pt>
                <c:pt idx="10">
                  <c:v>16.849534603286322</c:v>
                </c:pt>
                <c:pt idx="11">
                  <c:v>19.028270404142603</c:v>
                </c:pt>
                <c:pt idx="12">
                  <c:v>21.362371312330119</c:v>
                </c:pt>
                <c:pt idx="13">
                  <c:v>23.847036677478862</c:v>
                </c:pt>
                <c:pt idx="14">
                  <c:v>26.477509903674616</c:v>
                </c:pt>
                <c:pt idx="15">
                  <c:v>29.249078449458978</c:v>
                </c:pt>
                <c:pt idx="16">
                  <c:v>32.157073827829464</c:v>
                </c:pt>
                <c:pt idx="17">
                  <c:v>35.196871606239306</c:v>
                </c:pt>
                <c:pt idx="18">
                  <c:v>38.363891406597617</c:v>
                </c:pt>
                <c:pt idx="19">
                  <c:v>41.65359690526946</c:v>
                </c:pt>
                <c:pt idx="20">
                  <c:v>45.06149583307544</c:v>
                </c:pt>
                <c:pt idx="21">
                  <c:v>48.583139975292312</c:v>
                </c:pt>
                <c:pt idx="22">
                  <c:v>52.214125171652526</c:v>
                </c:pt>
                <c:pt idx="23">
                  <c:v>55.950091316344199</c:v>
                </c:pt>
                <c:pt idx="24">
                  <c:v>59.78672235801163</c:v>
                </c:pt>
                <c:pt idx="25">
                  <c:v>63.719746299754583</c:v>
                </c:pt>
                <c:pt idx="26">
                  <c:v>67.744935199128989</c:v>
                </c:pt>
                <c:pt idx="27">
                  <c:v>71.85810516814638</c:v>
                </c:pt>
                <c:pt idx="28">
                  <c:v>76.055116373274117</c:v>
                </c:pt>
                <c:pt idx="29">
                  <c:v>80.331873035435521</c:v>
                </c:pt>
                <c:pt idx="30">
                  <c:v>84.684323430009741</c:v>
                </c:pt>
                <c:pt idx="31">
                  <c:v>89.108459886831653</c:v>
                </c:pt>
                <c:pt idx="32">
                  <c:v>93.600318790192006</c:v>
                </c:pt>
                <c:pt idx="33">
                  <c:v>98.155980578837358</c:v>
                </c:pt>
                <c:pt idx="34">
                  <c:v>102.77156974597023</c:v>
                </c:pt>
                <c:pt idx="35">
                  <c:v>107.44325483924874</c:v>
                </c:pt>
                <c:pt idx="36">
                  <c:v>112.16724846078708</c:v>
                </c:pt>
                <c:pt idx="37">
                  <c:v>116.9398072671551</c:v>
                </c:pt>
                <c:pt idx="38">
                  <c:v>121.75723196937857</c:v>
                </c:pt>
                <c:pt idx="39">
                  <c:v>126.61586733293905</c:v>
                </c:pt>
                <c:pt idx="40">
                  <c:v>131.51210217777395</c:v>
                </c:pt>
                <c:pt idx="41">
                  <c:v>136.44236937827648</c:v>
                </c:pt>
                <c:pt idx="42">
                  <c:v>141.4031458632958</c:v>
                </c:pt>
                <c:pt idx="43">
                  <c:v>146.39095261613667</c:v>
                </c:pt>
                <c:pt idx="44">
                  <c:v>151.40235467456003</c:v>
                </c:pt>
                <c:pt idx="45">
                  <c:v>156.43396113078214</c:v>
                </c:pt>
                <c:pt idx="46">
                  <c:v>161.48242513147576</c:v>
                </c:pt>
                <c:pt idx="47">
                  <c:v>166.5444438777688</c:v>
                </c:pt>
                <c:pt idx="48">
                  <c:v>171.61675862524541</c:v>
                </c:pt>
                <c:pt idx="49">
                  <c:v>176.69615468394557</c:v>
                </c:pt>
                <c:pt idx="50">
                  <c:v>181.77946141836483</c:v>
                </c:pt>
                <c:pt idx="51">
                  <c:v>186.86355224745492</c:v>
                </c:pt>
                <c:pt idx="52">
                  <c:v>191.94534464462319</c:v>
                </c:pt>
                <c:pt idx="53">
                  <c:v>197.0218001377327</c:v>
                </c:pt>
                <c:pt idx="54">
                  <c:v>202.0899243091026</c:v>
                </c:pt>
                <c:pt idx="55">
                  <c:v>207.1467667955078</c:v>
                </c:pt>
                <c:pt idx="56">
                  <c:v>212.18942128817889</c:v>
                </c:pt>
                <c:pt idx="57">
                  <c:v>217.21502553280268</c:v>
                </c:pt>
                <c:pt idx="58">
                  <c:v>222.22076132952114</c:v>
                </c:pt>
                <c:pt idx="59">
                  <c:v>227.20385453293272</c:v>
                </c:pt>
                <c:pt idx="60">
                  <c:v>232.16157505209142</c:v>
                </c:pt>
                <c:pt idx="61">
                  <c:v>237.0912368505071</c:v>
                </c:pt>
                <c:pt idx="62">
                  <c:v>241.99019794614546</c:v>
                </c:pt>
                <c:pt idx="63">
                  <c:v>246.85586041142793</c:v>
                </c:pt>
                <c:pt idx="64">
                  <c:v>251.68567037323194</c:v>
                </c:pt>
                <c:pt idx="65">
                  <c:v>256.47711801289057</c:v>
                </c:pt>
                <c:pt idx="66">
                  <c:v>261.22773756619318</c:v>
                </c:pt>
                <c:pt idx="67">
                  <c:v>265.93510732338422</c:v>
                </c:pt>
                <c:pt idx="68">
                  <c:v>270.59684962916452</c:v>
                </c:pt>
                <c:pt idx="69">
                  <c:v>275.21063088269057</c:v>
                </c:pt>
                <c:pt idx="70">
                  <c:v>279.77416153757474</c:v>
                </c:pt>
                <c:pt idx="71">
                  <c:v>284.28519610188539</c:v>
                </c:pt>
                <c:pt idx="72">
                  <c:v>288.74153313814617</c:v>
                </c:pt>
                <c:pt idx="73">
                  <c:v>293.14101526333701</c:v>
                </c:pt>
                <c:pt idx="74">
                  <c:v>297.48152914889369</c:v>
                </c:pt>
                <c:pt idx="75">
                  <c:v>301.76100552070767</c:v>
                </c:pt>
                <c:pt idx="76">
                  <c:v>305.97741915912638</c:v>
                </c:pt>
                <c:pt idx="77">
                  <c:v>310.12878889895285</c:v>
                </c:pt>
                <c:pt idx="78">
                  <c:v>314.21317762944597</c:v>
                </c:pt>
                <c:pt idx="79">
                  <c:v>318.22869229432087</c:v>
                </c:pt>
              </c:numCache>
            </c:numRef>
          </c:yVal>
          <c:smooth val="1"/>
          <c:extLst>
            <c:ext xmlns:c16="http://schemas.microsoft.com/office/drawing/2014/chart" uri="{C3380CC4-5D6E-409C-BE32-E72D297353CC}">
              <c16:uniqueId val="{00000000-60F6-46C4-AA45-08B64864629F}"/>
            </c:ext>
          </c:extLst>
        </c:ser>
        <c:dLbls>
          <c:showLegendKey val="0"/>
          <c:showVal val="0"/>
          <c:showCatName val="0"/>
          <c:showSerName val="0"/>
          <c:showPercent val="0"/>
          <c:showBubbleSize val="0"/>
        </c:dLbls>
        <c:axId val="327121272"/>
        <c:axId val="327124552"/>
      </c:scatterChart>
      <c:valAx>
        <c:axId val="327121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a:pPr>
                <a:r>
                  <a:rPr lang="fi-FI"/>
                  <a:t>Years</a:t>
                </a:r>
              </a:p>
              <a:p>
                <a:pPr>
                  <a:defRPr/>
                </a:pPr>
                <a:endParaRPr lang="fi-FI"/>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27124552"/>
        <c:crosses val="autoZero"/>
        <c:crossBetween val="midCat"/>
      </c:valAx>
      <c:valAx>
        <c:axId val="327124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fi-FI"/>
                  <a:t>C02</a:t>
                </a:r>
                <a:r>
                  <a:rPr lang="fi-FI" baseline="0"/>
                  <a:t> </a:t>
                </a:r>
                <a:r>
                  <a:rPr lang="fi-FI"/>
                  <a:t> kg / year</a:t>
                </a: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27121272"/>
        <c:crosses val="autoZero"/>
        <c:crossBetween val="midCat"/>
      </c:valAx>
    </c:plotArea>
    <c:legend>
      <c:legendPos val="r"/>
      <c:overlay val="0"/>
    </c:legend>
    <c:plotVisOnly val="1"/>
    <c:dispBlanksAs val="gap"/>
    <c:showDLblsOverMax val="0"/>
    <c:extLst/>
  </c:chart>
  <c:txPr>
    <a:bodyPr/>
    <a:lstStyle/>
    <a:p>
      <a:pPr>
        <a:defRPr/>
      </a:pPr>
      <a:endParaRPr lang="fi-FI"/>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solidFill>
                  <a:sysClr val="windowText" lastClr="000000"/>
                </a:solidFill>
              </a:rPr>
              <a:t>Cumulative Carbon Stored </a:t>
            </a:r>
            <a:endParaRPr lang="en-US" b="1" baseline="0">
              <a:solidFill>
                <a:sysClr val="windowText" lastClr="000000"/>
              </a:solidFill>
            </a:endParaRPr>
          </a:p>
        </c:rich>
      </c:tx>
      <c:overlay val="0"/>
      <c:spPr>
        <a:noFill/>
        <a:ln>
          <a:noFill/>
        </a:ln>
        <a:effectLst/>
      </c:spPr>
    </c:title>
    <c:autoTitleDeleted val="0"/>
    <c:plotArea>
      <c:layout>
        <c:manualLayout>
          <c:layoutTarget val="inner"/>
          <c:xMode val="edge"/>
          <c:yMode val="edge"/>
          <c:x val="8.127419517230014E-2"/>
          <c:y val="0.10103107759905085"/>
          <c:w val="0.68668707683205854"/>
          <c:h val="0.70500352269972166"/>
        </c:manualLayout>
      </c:layout>
      <c:scatterChart>
        <c:scatterStyle val="smoothMarker"/>
        <c:varyColors val="0"/>
        <c:ser>
          <c:idx val="0"/>
          <c:order val="0"/>
          <c:tx>
            <c:strRef>
              <c:f>Tree6!$G$4</c:f>
              <c:strCache>
                <c:ptCount val="1"/>
                <c:pt idx="0">
                  <c:v>Cumulative CO2 Stored</c:v>
                </c:pt>
              </c:strCache>
            </c:strRef>
          </c:tx>
          <c:marker>
            <c:symbol val="none"/>
          </c:marker>
          <c:xVal>
            <c:numRef>
              <c:f>Tree6!$A$6:$A$114</c:f>
              <c:numCache>
                <c:formatCode>General</c:formatCode>
                <c:ptCount val="10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xVal>
          <c:yVal>
            <c:numRef>
              <c:f>Tree6!$G$6:$G$114</c:f>
              <c:numCache>
                <c:formatCode>General</c:formatCode>
                <c:ptCount val="109"/>
                <c:pt idx="0">
                  <c:v>4.6948995152696629</c:v>
                </c:pt>
                <c:pt idx="1">
                  <c:v>9.7411560074482271</c:v>
                </c:pt>
                <c:pt idx="2">
                  <c:v>15.344564082638021</c:v>
                </c:pt>
                <c:pt idx="3">
                  <c:v>21.705677152013031</c:v>
                </c:pt>
                <c:pt idx="4">
                  <c:v>29.019851486274725</c:v>
                </c:pt>
                <c:pt idx="5">
                  <c:v>37.477290270107879</c:v>
                </c:pt>
                <c:pt idx="6">
                  <c:v>47.263087656636422</c:v>
                </c:pt>
                <c:pt idx="7">
                  <c:v>58.557272821879245</c:v>
                </c:pt>
                <c:pt idx="8">
                  <c:v>71.534854019206065</c:v>
                </c:pt>
                <c:pt idx="9">
                  <c:v>86.365862633793213</c:v>
                </c:pt>
                <c:pt idx="10">
                  <c:v>103.21539723707954</c:v>
                </c:pt>
                <c:pt idx="11">
                  <c:v>122.24366764122215</c:v>
                </c:pt>
                <c:pt idx="12">
                  <c:v>143.60603895355226</c:v>
                </c:pt>
                <c:pt idx="13">
                  <c:v>167.45307563103111</c:v>
                </c:pt>
                <c:pt idx="14">
                  <c:v>193.93058553470573</c:v>
                </c:pt>
                <c:pt idx="15">
                  <c:v>223.1796639841647</c:v>
                </c:pt>
                <c:pt idx="16">
                  <c:v>255.33673781199417</c:v>
                </c:pt>
                <c:pt idx="17">
                  <c:v>290.53360941823348</c:v>
                </c:pt>
                <c:pt idx="18">
                  <c:v>328.89750082483113</c:v>
                </c:pt>
                <c:pt idx="19">
                  <c:v>370.55109773010059</c:v>
                </c:pt>
                <c:pt idx="20">
                  <c:v>415.61259356317601</c:v>
                </c:pt>
                <c:pt idx="21">
                  <c:v>464.19573353846829</c:v>
                </c:pt>
                <c:pt idx="22">
                  <c:v>516.40985871012083</c:v>
                </c:pt>
                <c:pt idx="23">
                  <c:v>572.35995002646507</c:v>
                </c:pt>
                <c:pt idx="24">
                  <c:v>632.14667238447669</c:v>
                </c:pt>
                <c:pt idx="25">
                  <c:v>695.86641868423123</c:v>
                </c:pt>
                <c:pt idx="26">
                  <c:v>763.61135388336027</c:v>
                </c:pt>
                <c:pt idx="27">
                  <c:v>835.46945905150665</c:v>
                </c:pt>
                <c:pt idx="28">
                  <c:v>911.52457542478078</c:v>
                </c:pt>
                <c:pt idx="29">
                  <c:v>991.85644846021626</c:v>
                </c:pt>
                <c:pt idx="30">
                  <c:v>1076.5407718902261</c:v>
                </c:pt>
                <c:pt idx="31">
                  <c:v>1165.6492317770578</c:v>
                </c:pt>
                <c:pt idx="32">
                  <c:v>1259.2495505672498</c:v>
                </c:pt>
                <c:pt idx="33">
                  <c:v>1357.4055311460872</c:v>
                </c:pt>
                <c:pt idx="34">
                  <c:v>1460.1771008920575</c:v>
                </c:pt>
                <c:pt idx="35">
                  <c:v>1567.6203557313063</c:v>
                </c:pt>
                <c:pt idx="36">
                  <c:v>1679.7876041920933</c:v>
                </c:pt>
                <c:pt idx="37">
                  <c:v>1796.7274114592485</c:v>
                </c:pt>
                <c:pt idx="38">
                  <c:v>1918.4846434286271</c:v>
                </c:pt>
                <c:pt idx="39">
                  <c:v>2045.1005107615661</c:v>
                </c:pt>
                <c:pt idx="40">
                  <c:v>2176.6126129393401</c:v>
                </c:pt>
                <c:pt idx="41">
                  <c:v>2313.0549823176166</c:v>
                </c:pt>
                <c:pt idx="42">
                  <c:v>2454.4581281809124</c:v>
                </c:pt>
                <c:pt idx="43">
                  <c:v>2600.8490807970488</c:v>
                </c:pt>
                <c:pt idx="44">
                  <c:v>2752.2514354716091</c:v>
                </c:pt>
                <c:pt idx="45">
                  <c:v>2908.6853966023914</c:v>
                </c:pt>
                <c:pt idx="46">
                  <c:v>3070.1678217338672</c:v>
                </c:pt>
                <c:pt idx="47">
                  <c:v>3236.7122656116362</c:v>
                </c:pt>
                <c:pt idx="48">
                  <c:v>3408.3290242368817</c:v>
                </c:pt>
                <c:pt idx="49">
                  <c:v>3585.0251789208273</c:v>
                </c:pt>
                <c:pt idx="50">
                  <c:v>3766.8046403391922</c:v>
                </c:pt>
                <c:pt idx="51">
                  <c:v>3953.6681925866474</c:v>
                </c:pt>
                <c:pt idx="52">
                  <c:v>4145.6135372312701</c:v>
                </c:pt>
                <c:pt idx="53">
                  <c:v>4342.6353373690026</c:v>
                </c:pt>
                <c:pt idx="54">
                  <c:v>4544.7252616781052</c:v>
                </c:pt>
                <c:pt idx="55">
                  <c:v>4751.8720284736128</c:v>
                </c:pt>
                <c:pt idx="56">
                  <c:v>4964.0614497617917</c:v>
                </c:pt>
                <c:pt idx="57">
                  <c:v>5181.2764752945941</c:v>
                </c:pt>
                <c:pt idx="58">
                  <c:v>5403.4972366241154</c:v>
                </c:pt>
                <c:pt idx="59">
                  <c:v>5630.7010911570478</c:v>
                </c:pt>
                <c:pt idx="60">
                  <c:v>5862.8626662091392</c:v>
                </c:pt>
                <c:pt idx="61">
                  <c:v>6099.9539030596461</c:v>
                </c:pt>
                <c:pt idx="62">
                  <c:v>6341.9441010057917</c:v>
                </c:pt>
                <c:pt idx="63">
                  <c:v>6588.7999614172195</c:v>
                </c:pt>
                <c:pt idx="64">
                  <c:v>6840.4856317904514</c:v>
                </c:pt>
                <c:pt idx="65">
                  <c:v>7096.9627498033424</c:v>
                </c:pt>
                <c:pt idx="66">
                  <c:v>7358.1904873695357</c:v>
                </c:pt>
                <c:pt idx="67">
                  <c:v>7624.1255946929195</c:v>
                </c:pt>
                <c:pt idx="68">
                  <c:v>7894.7224443220839</c:v>
                </c:pt>
                <c:pt idx="69">
                  <c:v>8169.9330752047745</c:v>
                </c:pt>
                <c:pt idx="70">
                  <c:v>8449.7072367423498</c:v>
                </c:pt>
                <c:pt idx="71">
                  <c:v>8733.9924328442357</c:v>
                </c:pt>
                <c:pt idx="72">
                  <c:v>9022.7339659823811</c:v>
                </c:pt>
                <c:pt idx="73">
                  <c:v>9315.8749812457172</c:v>
                </c:pt>
                <c:pt idx="74">
                  <c:v>9613.3565103946112</c:v>
                </c:pt>
                <c:pt idx="75">
                  <c:v>9915.117515915319</c:v>
                </c:pt>
                <c:pt idx="76">
                  <c:v>10221.094935074445</c:v>
                </c:pt>
                <c:pt idx="77">
                  <c:v>10531.223723973399</c:v>
                </c:pt>
                <c:pt idx="78">
                  <c:v>10845.436901602845</c:v>
                </c:pt>
                <c:pt idx="79">
                  <c:v>11163.665593897165</c:v>
                </c:pt>
                <c:pt idx="80">
                  <c:v>11485.839077788913</c:v>
                </c:pt>
                <c:pt idx="81">
                  <c:v>11811.884825263267</c:v>
                </c:pt>
                <c:pt idx="82">
                  <c:v>12141.728547412487</c:v>
                </c:pt>
                <c:pt idx="83">
                  <c:v>12475.294238490374</c:v>
                </c:pt>
                <c:pt idx="84">
                  <c:v>12812.50421996672</c:v>
                </c:pt>
                <c:pt idx="85">
                  <c:v>13153.279184581768</c:v>
                </c:pt>
                <c:pt idx="86">
                  <c:v>13497.538240400667</c:v>
                </c:pt>
                <c:pt idx="87">
                  <c:v>13845.198954867927</c:v>
                </c:pt>
                <c:pt idx="88">
                  <c:v>14196.177398861875</c:v>
                </c:pt>
                <c:pt idx="89">
                  <c:v>14550.388190749112</c:v>
                </c:pt>
                <c:pt idx="90">
                  <c:v>14907.744540438969</c:v>
                </c:pt>
                <c:pt idx="91">
                  <c:v>15268.158293437958</c:v>
                </c:pt>
                <c:pt idx="92">
                  <c:v>15631.539974904235</c:v>
                </c:pt>
                <c:pt idx="93">
                  <c:v>15997.798833702051</c:v>
                </c:pt>
                <c:pt idx="94">
                  <c:v>16366.84288645621</c:v>
                </c:pt>
                <c:pt idx="95">
                  <c:v>16738.578961606523</c:v>
                </c:pt>
                <c:pt idx="96">
                  <c:v>17112.912743462268</c:v>
                </c:pt>
                <c:pt idx="97">
                  <c:v>17489.748816256637</c:v>
                </c:pt>
                <c:pt idx="98">
                  <c:v>17868.990708201203</c:v>
                </c:pt>
                <c:pt idx="99">
                  <c:v>18250.540935540372</c:v>
                </c:pt>
              </c:numCache>
            </c:numRef>
          </c:yVal>
          <c:smooth val="1"/>
          <c:extLst>
            <c:ext xmlns:c16="http://schemas.microsoft.com/office/drawing/2014/chart" uri="{C3380CC4-5D6E-409C-BE32-E72D297353CC}">
              <c16:uniqueId val="{00000000-5B82-4052-90CA-5C87D0F68FDB}"/>
            </c:ext>
          </c:extLst>
        </c:ser>
        <c:dLbls>
          <c:showLegendKey val="0"/>
          <c:showVal val="0"/>
          <c:showCatName val="0"/>
          <c:showSerName val="0"/>
          <c:showPercent val="0"/>
          <c:showBubbleSize val="0"/>
        </c:dLbls>
        <c:axId val="327121272"/>
        <c:axId val="327124552"/>
      </c:scatterChart>
      <c:valAx>
        <c:axId val="327121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a:pPr>
                <a:r>
                  <a:rPr lang="fi-FI"/>
                  <a:t>Age</a:t>
                </a:r>
              </a:p>
              <a:p>
                <a:pPr>
                  <a:defRPr/>
                </a:pPr>
                <a:endParaRPr lang="fi-FI"/>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27124552"/>
        <c:crosses val="autoZero"/>
        <c:crossBetween val="midCat"/>
      </c:valAx>
      <c:valAx>
        <c:axId val="327124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fi-FI"/>
                  <a:t>CO2</a:t>
                </a:r>
                <a:r>
                  <a:rPr lang="fi-FI" baseline="0"/>
                  <a:t> </a:t>
                </a:r>
                <a:r>
                  <a:rPr lang="fi-FI"/>
                  <a:t> kg /age</a:t>
                </a: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27121272"/>
        <c:crosses val="autoZero"/>
        <c:crossBetween val="midCat"/>
      </c:valAx>
    </c:plotArea>
    <c:legend>
      <c:legendPos val="r"/>
      <c:overlay val="0"/>
    </c:legend>
    <c:plotVisOnly val="1"/>
    <c:dispBlanksAs val="gap"/>
    <c:showDLblsOverMax val="0"/>
    <c:extLst/>
  </c:chart>
  <c:txPr>
    <a:bodyPr/>
    <a:lstStyle/>
    <a:p>
      <a:pPr>
        <a:defRPr/>
      </a:pPr>
      <a:endParaRPr lang="fi-FI"/>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solidFill>
                  <a:sysClr val="windowText" lastClr="000000"/>
                </a:solidFill>
              </a:rPr>
              <a:t>CO2</a:t>
            </a:r>
            <a:r>
              <a:rPr lang="en-US" b="1" baseline="0">
                <a:solidFill>
                  <a:sysClr val="windowText" lastClr="000000"/>
                </a:solidFill>
              </a:rPr>
              <a:t> sequestration vs Age</a:t>
            </a:r>
          </a:p>
        </c:rich>
      </c:tx>
      <c:overlay val="0"/>
      <c:spPr>
        <a:noFill/>
        <a:ln>
          <a:noFill/>
        </a:ln>
        <a:effectLst/>
      </c:spPr>
    </c:title>
    <c:autoTitleDeleted val="0"/>
    <c:plotArea>
      <c:layout>
        <c:manualLayout>
          <c:layoutTarget val="inner"/>
          <c:xMode val="edge"/>
          <c:yMode val="edge"/>
          <c:x val="8.0959085171463704E-2"/>
          <c:y val="9.6652725530424491E-2"/>
          <c:w val="0.67374164420167326"/>
          <c:h val="0.76832455993137549"/>
        </c:manualLayout>
      </c:layout>
      <c:scatterChart>
        <c:scatterStyle val="smoothMarker"/>
        <c:varyColors val="0"/>
        <c:ser>
          <c:idx val="0"/>
          <c:order val="0"/>
          <c:tx>
            <c:strRef>
              <c:f>Tree1!$F$5</c:f>
              <c:strCache>
                <c:ptCount val="1"/>
                <c:pt idx="0">
                  <c:v>CO2 Sequestration Rate</c:v>
                </c:pt>
              </c:strCache>
            </c:strRef>
          </c:tx>
          <c:spPr>
            <a:ln w="19050" cap="rnd">
              <a:solidFill>
                <a:schemeClr val="accent1"/>
              </a:solidFill>
              <a:round/>
            </a:ln>
            <a:effectLst/>
          </c:spPr>
          <c:marker>
            <c:symbol val="none"/>
          </c:marker>
          <c:xVal>
            <c:numRef>
              <c:f>Tree7!$A$6:$A$114</c:f>
              <c:numCache>
                <c:formatCode>General</c:formatCode>
                <c:ptCount val="10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xVal>
          <c:yVal>
            <c:numRef>
              <c:f>Tree7!$F$6:$F$114</c:f>
              <c:numCache>
                <c:formatCode>General</c:formatCode>
                <c:ptCount val="109"/>
                <c:pt idx="0">
                  <c:v>5.9799379725147723</c:v>
                </c:pt>
                <c:pt idx="1">
                  <c:v>6.7303005202317037</c:v>
                </c:pt>
                <c:pt idx="2">
                  <c:v>7.5209622947524934</c:v>
                </c:pt>
                <c:pt idx="3">
                  <c:v>8.3509246978651941</c:v>
                </c:pt>
                <c:pt idx="4">
                  <c:v>9.219161809704131</c:v>
                </c:pt>
                <c:pt idx="5">
                  <c:v>10.124625285885246</c:v>
                </c:pt>
                <c:pt idx="6">
                  <c:v>11.06624864488939</c:v>
                </c:pt>
                <c:pt idx="7">
                  <c:v>12.042951041314337</c:v>
                </c:pt>
                <c:pt idx="8">
                  <c:v>13.053640601848182</c:v>
                </c:pt>
                <c:pt idx="9">
                  <c:v>14.097217386402518</c:v>
                </c:pt>
                <c:pt idx="10">
                  <c:v>15.172576025634827</c:v>
                </c:pt>
                <c:pt idx="11">
                  <c:v>16.278608077272231</c:v>
                </c:pt>
                <c:pt idx="12">
                  <c:v>17.41420413664018</c:v>
                </c:pt>
                <c:pt idx="13">
                  <c:v>18.578255731175034</c:v>
                </c:pt>
                <c:pt idx="14">
                  <c:v>19.769657024145157</c:v>
                </c:pt>
                <c:pt idx="15">
                  <c:v>20.987306349086619</c:v>
                </c:pt>
                <c:pt idx="16">
                  <c:v>22.230107593401616</c:v>
                </c:pt>
                <c:pt idx="17">
                  <c:v>23.49697144703277</c:v>
                </c:pt>
                <c:pt idx="18">
                  <c:v>24.786816530013638</c:v>
                </c:pt>
                <c:pt idx="19">
                  <c:v>26.098570410921688</c:v>
                </c:pt>
                <c:pt idx="20">
                  <c:v>27.431170526763111</c:v>
                </c:pt>
                <c:pt idx="21">
                  <c:v>28.783565013547808</c:v>
                </c:pt>
                <c:pt idx="22">
                  <c:v>30.154713455729578</c:v>
                </c:pt>
                <c:pt idx="23">
                  <c:v>31.543587561756389</c:v>
                </c:pt>
                <c:pt idx="24">
                  <c:v>32.94917177217615</c:v>
                </c:pt>
                <c:pt idx="25">
                  <c:v>34.370463806050545</c:v>
                </c:pt>
                <c:pt idx="26">
                  <c:v>35.806475150829023</c:v>
                </c:pt>
                <c:pt idx="27">
                  <c:v>37.256231500310193</c:v>
                </c:pt>
                <c:pt idx="28">
                  <c:v>38.718773144859519</c:v>
                </c:pt>
                <c:pt idx="29">
                  <c:v>40.193155317649456</c:v>
                </c:pt>
                <c:pt idx="30">
                  <c:v>41.678448500332927</c:v>
                </c:pt>
                <c:pt idx="31">
                  <c:v>43.173738691247436</c:v>
                </c:pt>
                <c:pt idx="32">
                  <c:v>44.678127638968697</c:v>
                </c:pt>
                <c:pt idx="33">
                  <c:v>46.190733043784874</c:v>
                </c:pt>
                <c:pt idx="34">
                  <c:v>47.71068872944263</c:v>
                </c:pt>
                <c:pt idx="35">
                  <c:v>49.237144787318535</c:v>
                </c:pt>
                <c:pt idx="36">
                  <c:v>50.769267694990894</c:v>
                </c:pt>
                <c:pt idx="37">
                  <c:v>52.306240411031439</c:v>
                </c:pt>
                <c:pt idx="38">
                  <c:v>53.847262447688564</c:v>
                </c:pt>
                <c:pt idx="39">
                  <c:v>55.391549923008967</c:v>
                </c:pt>
                <c:pt idx="40">
                  <c:v>56.938335593824213</c:v>
                </c:pt>
                <c:pt idx="41">
                  <c:v>58.48686887092358</c:v>
                </c:pt>
                <c:pt idx="42">
                  <c:v>60.03641581763889</c:v>
                </c:pt>
                <c:pt idx="43">
                  <c:v>61.586259132977631</c:v>
                </c:pt>
                <c:pt idx="44">
                  <c:v>63.135698120362726</c:v>
                </c:pt>
                <c:pt idx="45">
                  <c:v>64.68404864296113</c:v>
                </c:pt>
                <c:pt idx="46">
                  <c:v>66.230643066519434</c:v>
                </c:pt>
                <c:pt idx="47">
                  <c:v>67.774830190561104</c:v>
                </c:pt>
                <c:pt idx="48">
                  <c:v>69.315975168744743</c:v>
                </c:pt>
                <c:pt idx="49">
                  <c:v>70.85345941912972</c:v>
                </c:pt>
                <c:pt idx="50">
                  <c:v>72.38668052504903</c:v>
                </c:pt>
                <c:pt idx="51">
                  <c:v>73.915052127243726</c:v>
                </c:pt>
                <c:pt idx="52">
                  <c:v>75.438003807873812</c:v>
                </c:pt>
                <c:pt idx="53">
                  <c:v>76.954980966980457</c:v>
                </c:pt>
                <c:pt idx="54">
                  <c:v>78.465444691943873</c:v>
                </c:pt>
                <c:pt idx="55">
                  <c:v>79.968871620442144</c:v>
                </c:pt>
                <c:pt idx="56">
                  <c:v>81.464753797393215</c:v>
                </c:pt>
                <c:pt idx="57">
                  <c:v>82.952598526328316</c:v>
                </c:pt>
                <c:pt idx="58">
                  <c:v>84.431928215623174</c:v>
                </c:pt>
                <c:pt idx="59">
                  <c:v>85.90228021998648</c:v>
                </c:pt>
                <c:pt idx="60">
                  <c:v>87.363206677583634</c:v>
                </c:pt>
                <c:pt idx="61">
                  <c:v>88.814274343151226</c:v>
                </c:pt>
                <c:pt idx="62">
                  <c:v>90.255064417440678</c:v>
                </c:pt>
                <c:pt idx="63">
                  <c:v>91.685172373306756</c:v>
                </c:pt>
                <c:pt idx="64">
                  <c:v>93.104207778743643</c:v>
                </c:pt>
                <c:pt idx="65">
                  <c:v>94.51179411715016</c:v>
                </c:pt>
                <c:pt idx="66">
                  <c:v>95.907568605096117</c:v>
                </c:pt>
                <c:pt idx="67">
                  <c:v>97.291182007841101</c:v>
                </c:pt>
                <c:pt idx="68">
                  <c:v>98.66229845284937</c:v>
                </c:pt>
                <c:pt idx="69">
                  <c:v>100.02059524152607</c:v>
                </c:pt>
                <c:pt idx="70">
                  <c:v>101.36576265939361</c:v>
                </c:pt>
                <c:pt idx="71">
                  <c:v>102.69750378491088</c:v>
                </c:pt>
                <c:pt idx="72">
                  <c:v>104.01553429713012</c:v>
                </c:pt>
                <c:pt idx="73">
                  <c:v>105.31958228237598</c:v>
                </c:pt>
                <c:pt idx="74">
                  <c:v>106.60938804011865</c:v>
                </c:pt>
                <c:pt idx="75">
                  <c:v>107.88470388821045</c:v>
                </c:pt>
                <c:pt idx="76">
                  <c:v>109.14529396763797</c:v>
                </c:pt>
                <c:pt idx="77">
                  <c:v>110.39093404694223</c:v>
                </c:pt>
                <c:pt idx="78">
                  <c:v>111.6214113264457</c:v>
                </c:pt>
                <c:pt idx="79">
                  <c:v>112.8365242424204</c:v>
                </c:pt>
                <c:pt idx="80">
                  <c:v>114.03608227132445</c:v>
                </c:pt>
                <c:pt idx="81">
                  <c:v>115.21990573422593</c:v>
                </c:pt>
                <c:pt idx="82">
                  <c:v>116.38782560152937</c:v>
                </c:pt>
                <c:pt idx="83">
                  <c:v>117.53968329811309</c:v>
                </c:pt>
                <c:pt idx="84">
                  <c:v>118.67533050897791</c:v>
                </c:pt>
                <c:pt idx="85">
                  <c:v>119.79462898550713</c:v>
                </c:pt>
                <c:pt idx="86">
                  <c:v>120.89745035242645</c:v>
                </c:pt>
                <c:pt idx="87">
                  <c:v>121.98367591555535</c:v>
                </c:pt>
                <c:pt idx="88">
                  <c:v>123.053196470427</c:v>
                </c:pt>
                <c:pt idx="89">
                  <c:v>124.10591211186056</c:v>
                </c:pt>
                <c:pt idx="90">
                  <c:v>125.14173204455422</c:v>
                </c:pt>
                <c:pt idx="91">
                  <c:v>126.1605743947741</c:v>
                </c:pt>
                <c:pt idx="92">
                  <c:v>127.16236602320029</c:v>
                </c:pt>
                <c:pt idx="93">
                  <c:v>128.14704233899616</c:v>
                </c:pt>
                <c:pt idx="94">
                  <c:v>129.11454711515765</c:v>
                </c:pt>
                <c:pt idx="95">
                  <c:v>130.06483230519862</c:v>
                </c:pt>
                <c:pt idx="96">
                  <c:v>130.99785786122538</c:v>
                </c:pt>
                <c:pt idx="97">
                  <c:v>131.91359155344819</c:v>
                </c:pt>
                <c:pt idx="98">
                  <c:v>132.81200879117762</c:v>
                </c:pt>
                <c:pt idx="99">
                  <c:v>133.69309244534881</c:v>
                </c:pt>
              </c:numCache>
            </c:numRef>
          </c:yVal>
          <c:smooth val="1"/>
          <c:extLst>
            <c:ext xmlns:c16="http://schemas.microsoft.com/office/drawing/2014/chart" uri="{C3380CC4-5D6E-409C-BE32-E72D297353CC}">
              <c16:uniqueId val="{00000000-4A56-4B6C-B9B7-66FE7A44E933}"/>
            </c:ext>
          </c:extLst>
        </c:ser>
        <c:dLbls>
          <c:showLegendKey val="0"/>
          <c:showVal val="0"/>
          <c:showCatName val="0"/>
          <c:showSerName val="0"/>
          <c:showPercent val="0"/>
          <c:showBubbleSize val="0"/>
        </c:dLbls>
        <c:axId val="327121272"/>
        <c:axId val="327124552"/>
      </c:scatterChart>
      <c:valAx>
        <c:axId val="327121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a:pPr>
                <a:r>
                  <a:rPr lang="fi-FI"/>
                  <a:t>Years</a:t>
                </a:r>
              </a:p>
              <a:p>
                <a:pPr>
                  <a:defRPr/>
                </a:pPr>
                <a:endParaRPr lang="fi-FI"/>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27124552"/>
        <c:crosses val="autoZero"/>
        <c:crossBetween val="midCat"/>
      </c:valAx>
      <c:valAx>
        <c:axId val="327124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fi-FI"/>
                  <a:t>C02</a:t>
                </a:r>
                <a:r>
                  <a:rPr lang="fi-FI" baseline="0"/>
                  <a:t> </a:t>
                </a:r>
                <a:r>
                  <a:rPr lang="fi-FI"/>
                  <a:t> kg / year</a:t>
                </a: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27121272"/>
        <c:crosses val="autoZero"/>
        <c:crossBetween val="midCat"/>
      </c:valAx>
    </c:plotArea>
    <c:legend>
      <c:legendPos val="r"/>
      <c:overlay val="0"/>
    </c:legend>
    <c:plotVisOnly val="1"/>
    <c:dispBlanksAs val="gap"/>
    <c:showDLblsOverMax val="0"/>
    <c:extLst/>
  </c:chart>
  <c:txPr>
    <a:bodyPr/>
    <a:lstStyle/>
    <a:p>
      <a:pPr>
        <a:defRPr/>
      </a:pPr>
      <a:endParaRPr lang="fi-FI"/>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solidFill>
                  <a:sysClr val="windowText" lastClr="000000"/>
                </a:solidFill>
              </a:rPr>
              <a:t>Cumulative Carbon Stored </a:t>
            </a:r>
            <a:endParaRPr lang="en-US" b="1" baseline="0">
              <a:solidFill>
                <a:sysClr val="windowText" lastClr="000000"/>
              </a:solidFill>
            </a:endParaRPr>
          </a:p>
        </c:rich>
      </c:tx>
      <c:overlay val="0"/>
      <c:spPr>
        <a:noFill/>
        <a:ln>
          <a:noFill/>
        </a:ln>
        <a:effectLst/>
      </c:spPr>
    </c:title>
    <c:autoTitleDeleted val="0"/>
    <c:plotArea>
      <c:layout>
        <c:manualLayout>
          <c:layoutTarget val="inner"/>
          <c:xMode val="edge"/>
          <c:yMode val="edge"/>
          <c:x val="8.127419517230014E-2"/>
          <c:y val="0.10103107759905085"/>
          <c:w val="0.68668707683205854"/>
          <c:h val="0.70500352269972166"/>
        </c:manualLayout>
      </c:layout>
      <c:scatterChart>
        <c:scatterStyle val="smoothMarker"/>
        <c:varyColors val="0"/>
        <c:ser>
          <c:idx val="0"/>
          <c:order val="0"/>
          <c:tx>
            <c:strRef>
              <c:f>Tree7!$F$4</c:f>
              <c:strCache>
                <c:ptCount val="1"/>
                <c:pt idx="0">
                  <c:v>CO2 Sequestration Rate</c:v>
                </c:pt>
              </c:strCache>
            </c:strRef>
          </c:tx>
          <c:marker>
            <c:symbol val="none"/>
          </c:marker>
          <c:xVal>
            <c:numRef>
              <c:f>Tree7!$A$6:$A$114</c:f>
              <c:numCache>
                <c:formatCode>General</c:formatCode>
                <c:ptCount val="10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xVal>
          <c:yVal>
            <c:numRef>
              <c:f>Tree7!$G$6:$G$114</c:f>
              <c:numCache>
                <c:formatCode>General</c:formatCode>
                <c:ptCount val="109"/>
                <c:pt idx="0">
                  <c:v>5.9799379725147723</c:v>
                </c:pt>
                <c:pt idx="1">
                  <c:v>12.710238492746477</c:v>
                </c:pt>
                <c:pt idx="2">
                  <c:v>20.23120078749897</c:v>
                </c:pt>
                <c:pt idx="3">
                  <c:v>28.582125485364166</c:v>
                </c:pt>
                <c:pt idx="4">
                  <c:v>37.801287295068299</c:v>
                </c:pt>
                <c:pt idx="5">
                  <c:v>47.925912580953543</c:v>
                </c:pt>
                <c:pt idx="6">
                  <c:v>58.992161225842935</c:v>
                </c:pt>
                <c:pt idx="7">
                  <c:v>71.035112267157274</c:v>
                </c:pt>
                <c:pt idx="8">
                  <c:v>84.088752869005461</c:v>
                </c:pt>
                <c:pt idx="9">
                  <c:v>98.18597025540798</c:v>
                </c:pt>
                <c:pt idx="10">
                  <c:v>113.35854628104281</c:v>
                </c:pt>
                <c:pt idx="11">
                  <c:v>129.63715435831503</c:v>
                </c:pt>
                <c:pt idx="12">
                  <c:v>147.0513584949552</c:v>
                </c:pt>
                <c:pt idx="13">
                  <c:v>165.62961422613023</c:v>
                </c:pt>
                <c:pt idx="14">
                  <c:v>185.39927125027538</c:v>
                </c:pt>
                <c:pt idx="15">
                  <c:v>206.386577599362</c:v>
                </c:pt>
                <c:pt idx="16">
                  <c:v>228.61668519276361</c:v>
                </c:pt>
                <c:pt idx="17">
                  <c:v>252.11365663979637</c:v>
                </c:pt>
                <c:pt idx="18">
                  <c:v>276.90047316981003</c:v>
                </c:pt>
                <c:pt idx="19">
                  <c:v>302.99904358073172</c:v>
                </c:pt>
                <c:pt idx="20">
                  <c:v>330.43021410749486</c:v>
                </c:pt>
                <c:pt idx="21">
                  <c:v>359.21377912104265</c:v>
                </c:pt>
                <c:pt idx="22">
                  <c:v>389.36849257677221</c:v>
                </c:pt>
                <c:pt idx="23">
                  <c:v>420.91208013852861</c:v>
                </c:pt>
                <c:pt idx="24">
                  <c:v>453.86125191070477</c:v>
                </c:pt>
                <c:pt idx="25">
                  <c:v>488.23171571675533</c:v>
                </c:pt>
                <c:pt idx="26">
                  <c:v>524.03819086758438</c:v>
                </c:pt>
                <c:pt idx="27">
                  <c:v>561.29442236789453</c:v>
                </c:pt>
                <c:pt idx="28">
                  <c:v>600.01319551275401</c:v>
                </c:pt>
                <c:pt idx="29">
                  <c:v>640.20635083040349</c:v>
                </c:pt>
                <c:pt idx="30">
                  <c:v>681.88479933073643</c:v>
                </c:pt>
                <c:pt idx="31">
                  <c:v>725.05853802198385</c:v>
                </c:pt>
                <c:pt idx="32">
                  <c:v>769.73666566095255</c:v>
                </c:pt>
                <c:pt idx="33">
                  <c:v>815.92739870473747</c:v>
                </c:pt>
                <c:pt idx="34">
                  <c:v>863.63808743418008</c:v>
                </c:pt>
                <c:pt idx="35">
                  <c:v>912.87523222149866</c:v>
                </c:pt>
                <c:pt idx="36">
                  <c:v>963.64449991648951</c:v>
                </c:pt>
                <c:pt idx="37">
                  <c:v>1015.950740327521</c:v>
                </c:pt>
                <c:pt idx="38">
                  <c:v>1069.7980027752096</c:v>
                </c:pt>
                <c:pt idx="39">
                  <c:v>1125.1895526982187</c:v>
                </c:pt>
                <c:pt idx="40">
                  <c:v>1182.1278882920428</c:v>
                </c:pt>
                <c:pt idx="41">
                  <c:v>1240.6147571629665</c:v>
                </c:pt>
                <c:pt idx="42">
                  <c:v>1300.6511729806055</c:v>
                </c:pt>
                <c:pt idx="43">
                  <c:v>1362.2374321135831</c:v>
                </c:pt>
                <c:pt idx="44">
                  <c:v>1425.3731302339459</c:v>
                </c:pt>
                <c:pt idx="45">
                  <c:v>1490.0571788769071</c:v>
                </c:pt>
                <c:pt idx="46">
                  <c:v>1556.2878219434265</c:v>
                </c:pt>
                <c:pt idx="47">
                  <c:v>1624.0626521339875</c:v>
                </c:pt>
                <c:pt idx="48">
                  <c:v>1693.3786273027322</c:v>
                </c:pt>
                <c:pt idx="49">
                  <c:v>1764.2320867218618</c:v>
                </c:pt>
                <c:pt idx="50">
                  <c:v>1836.6187672469109</c:v>
                </c:pt>
                <c:pt idx="51">
                  <c:v>1910.5338193741547</c:v>
                </c:pt>
                <c:pt idx="52">
                  <c:v>1985.9718231820286</c:v>
                </c:pt>
                <c:pt idx="53">
                  <c:v>2062.9268041490091</c:v>
                </c:pt>
                <c:pt idx="54">
                  <c:v>2141.392248840953</c:v>
                </c:pt>
                <c:pt idx="55">
                  <c:v>2221.3611204613953</c:v>
                </c:pt>
                <c:pt idx="56">
                  <c:v>2302.8258742587886</c:v>
                </c:pt>
                <c:pt idx="57">
                  <c:v>2385.7784727851172</c:v>
                </c:pt>
                <c:pt idx="58">
                  <c:v>2470.2104010007401</c:v>
                </c:pt>
                <c:pt idx="59">
                  <c:v>2556.1126812207267</c:v>
                </c:pt>
                <c:pt idx="60">
                  <c:v>2643.4758878983102</c:v>
                </c:pt>
                <c:pt idx="61">
                  <c:v>2732.2901622414615</c:v>
                </c:pt>
                <c:pt idx="62">
                  <c:v>2822.5452266589023</c:v>
                </c:pt>
                <c:pt idx="63">
                  <c:v>2914.2303990322089</c:v>
                </c:pt>
                <c:pt idx="64">
                  <c:v>3007.3346068109527</c:v>
                </c:pt>
                <c:pt idx="65">
                  <c:v>3101.8464009281029</c:v>
                </c:pt>
                <c:pt idx="66">
                  <c:v>3197.7539695331989</c:v>
                </c:pt>
                <c:pt idx="67">
                  <c:v>3295.04515154104</c:v>
                </c:pt>
                <c:pt idx="68">
                  <c:v>3393.7074499938894</c:v>
                </c:pt>
                <c:pt idx="69">
                  <c:v>3493.7280452354157</c:v>
                </c:pt>
                <c:pt idx="70">
                  <c:v>3595.0938078948093</c:v>
                </c:pt>
                <c:pt idx="71">
                  <c:v>3697.7913116797204</c:v>
                </c:pt>
                <c:pt idx="72">
                  <c:v>3801.8068459768506</c:v>
                </c:pt>
                <c:pt idx="73">
                  <c:v>3907.1264282592265</c:v>
                </c:pt>
                <c:pt idx="74">
                  <c:v>4013.7358162993451</c:v>
                </c:pt>
                <c:pt idx="75">
                  <c:v>4121.6205201875555</c:v>
                </c:pt>
                <c:pt idx="76">
                  <c:v>4230.7658141551938</c:v>
                </c:pt>
                <c:pt idx="77">
                  <c:v>4341.1567482021364</c:v>
                </c:pt>
                <c:pt idx="78">
                  <c:v>4452.7781595285824</c:v>
                </c:pt>
                <c:pt idx="79">
                  <c:v>4565.614683771003</c:v>
                </c:pt>
                <c:pt idx="80">
                  <c:v>4679.6507660423276</c:v>
                </c:pt>
                <c:pt idx="81">
                  <c:v>4794.8706717765535</c:v>
                </c:pt>
                <c:pt idx="82">
                  <c:v>4911.2584973780831</c:v>
                </c:pt>
                <c:pt idx="83">
                  <c:v>5028.7981806761964</c:v>
                </c:pt>
                <c:pt idx="84">
                  <c:v>5147.4735111851742</c:v>
                </c:pt>
                <c:pt idx="85">
                  <c:v>5267.2681401706814</c:v>
                </c:pt>
                <c:pt idx="86">
                  <c:v>5388.1655905231082</c:v>
                </c:pt>
                <c:pt idx="87">
                  <c:v>5510.1492664386633</c:v>
                </c:pt>
                <c:pt idx="88">
                  <c:v>5633.2024629090902</c:v>
                </c:pt>
                <c:pt idx="89">
                  <c:v>5757.3083750209507</c:v>
                </c:pt>
                <c:pt idx="90">
                  <c:v>5882.4501070655051</c:v>
                </c:pt>
                <c:pt idx="91">
                  <c:v>6008.610681460279</c:v>
                </c:pt>
                <c:pt idx="92">
                  <c:v>6135.7730474834789</c:v>
                </c:pt>
                <c:pt idx="93">
                  <c:v>6263.9200898224753</c:v>
                </c:pt>
                <c:pt idx="94">
                  <c:v>6393.034636937633</c:v>
                </c:pt>
                <c:pt idx="95">
                  <c:v>6523.0994692428312</c:v>
                </c:pt>
                <c:pt idx="96">
                  <c:v>6654.0973271040566</c:v>
                </c:pt>
                <c:pt idx="97">
                  <c:v>6786.0109186575046</c:v>
                </c:pt>
                <c:pt idx="98">
                  <c:v>6918.8229274486821</c:v>
                </c:pt>
                <c:pt idx="99">
                  <c:v>7052.5160198940312</c:v>
                </c:pt>
              </c:numCache>
            </c:numRef>
          </c:yVal>
          <c:smooth val="1"/>
          <c:extLst>
            <c:ext xmlns:c16="http://schemas.microsoft.com/office/drawing/2014/chart" uri="{C3380CC4-5D6E-409C-BE32-E72D297353CC}">
              <c16:uniqueId val="{00000000-CDCD-455F-B2FB-FC81BA38CE0A}"/>
            </c:ext>
          </c:extLst>
        </c:ser>
        <c:dLbls>
          <c:showLegendKey val="0"/>
          <c:showVal val="0"/>
          <c:showCatName val="0"/>
          <c:showSerName val="0"/>
          <c:showPercent val="0"/>
          <c:showBubbleSize val="0"/>
        </c:dLbls>
        <c:axId val="327121272"/>
        <c:axId val="327124552"/>
      </c:scatterChart>
      <c:valAx>
        <c:axId val="327121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a:pPr>
                <a:r>
                  <a:rPr lang="fi-FI"/>
                  <a:t>Age</a:t>
                </a:r>
              </a:p>
              <a:p>
                <a:pPr>
                  <a:defRPr/>
                </a:pPr>
                <a:endParaRPr lang="fi-FI"/>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27124552"/>
        <c:crosses val="autoZero"/>
        <c:crossBetween val="midCat"/>
      </c:valAx>
      <c:valAx>
        <c:axId val="327124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fi-FI"/>
                  <a:t>CO2</a:t>
                </a:r>
                <a:r>
                  <a:rPr lang="fi-FI" baseline="0"/>
                  <a:t> </a:t>
                </a:r>
                <a:r>
                  <a:rPr lang="fi-FI"/>
                  <a:t> kg /age</a:t>
                </a: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27121272"/>
        <c:crosses val="autoZero"/>
        <c:crossBetween val="midCat"/>
      </c:valAx>
    </c:plotArea>
    <c:legend>
      <c:legendPos val="r"/>
      <c:overlay val="0"/>
    </c:legend>
    <c:plotVisOnly val="1"/>
    <c:dispBlanksAs val="gap"/>
    <c:showDLblsOverMax val="0"/>
    <c:extLst/>
  </c:chart>
  <c:txPr>
    <a:bodyPr/>
    <a:lstStyle/>
    <a:p>
      <a:pPr>
        <a:defRPr/>
      </a:pPr>
      <a:endParaRPr lang="fi-FI"/>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solidFill>
                  <a:sysClr val="windowText" lastClr="000000"/>
                </a:solidFill>
              </a:rPr>
              <a:t>CO2</a:t>
            </a:r>
            <a:r>
              <a:rPr lang="en-US" b="1" baseline="0">
                <a:solidFill>
                  <a:sysClr val="windowText" lastClr="000000"/>
                </a:solidFill>
              </a:rPr>
              <a:t> sequestration vs Age</a:t>
            </a:r>
          </a:p>
        </c:rich>
      </c:tx>
      <c:overlay val="0"/>
      <c:spPr>
        <a:noFill/>
        <a:ln>
          <a:noFill/>
        </a:ln>
        <a:effectLst/>
      </c:spPr>
    </c:title>
    <c:autoTitleDeleted val="0"/>
    <c:plotArea>
      <c:layout/>
      <c:scatterChart>
        <c:scatterStyle val="smoothMarker"/>
        <c:varyColors val="0"/>
        <c:ser>
          <c:idx val="0"/>
          <c:order val="0"/>
          <c:tx>
            <c:strRef>
              <c:f>Tree8!$F$3</c:f>
              <c:strCache>
                <c:ptCount val="1"/>
                <c:pt idx="0">
                  <c:v>CO2 Sequestration Rate</c:v>
                </c:pt>
              </c:strCache>
            </c:strRef>
          </c:tx>
          <c:spPr>
            <a:ln w="19050" cap="rnd">
              <a:solidFill>
                <a:schemeClr val="accent1"/>
              </a:solidFill>
              <a:round/>
            </a:ln>
            <a:effectLst/>
          </c:spPr>
          <c:marker>
            <c:symbol val="none"/>
          </c:marker>
          <c:xVal>
            <c:numRef>
              <c:f>Tree8!$A$5:$A$84</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Tree8!$F$5:$F$84</c:f>
              <c:numCache>
                <c:formatCode>General</c:formatCode>
                <c:ptCount val="80"/>
                <c:pt idx="0">
                  <c:v>-5.5959304715658078</c:v>
                </c:pt>
                <c:pt idx="1">
                  <c:v>-0.76965528319642829</c:v>
                </c:pt>
                <c:pt idx="2">
                  <c:v>3.9138937048243037</c:v>
                </c:pt>
                <c:pt idx="3">
                  <c:v>8.4524489995805396</c:v>
                </c:pt>
                <c:pt idx="4">
                  <c:v>12.844470704433348</c:v>
                </c:pt>
                <c:pt idx="5">
                  <c:v>17.089098753241473</c:v>
                </c:pt>
                <c:pt idx="6">
                  <c:v>21.186104647112273</c:v>
                </c:pt>
                <c:pt idx="7">
                  <c:v>25.135843138985422</c:v>
                </c:pt>
                <c:pt idx="8">
                  <c:v>28.939204271752146</c:v>
                </c:pt>
                <c:pt idx="9">
                  <c:v>32.597566134730982</c:v>
                </c:pt>
                <c:pt idx="10">
                  <c:v>36.112748661741776</c:v>
                </c:pt>
                <c:pt idx="11">
                  <c:v>39.486968752305714</c:v>
                </c:pt>
                <c:pt idx="12">
                  <c:v>42.722796956166263</c:v>
                </c:pt>
                <c:pt idx="13">
                  <c:v>45.823115920861298</c:v>
                </c:pt>
                <c:pt idx="14">
                  <c:v>48.79108076291223</c:v>
                </c:pt>
                <c:pt idx="15">
                  <c:v>51.630081485730955</c:v>
                </c:pt>
                <c:pt idx="16">
                  <c:v>54.343707531920074</c:v>
                </c:pt>
                <c:pt idx="17">
                  <c:v>56.93571452454988</c:v>
                </c:pt>
                <c:pt idx="18">
                  <c:v>59.409993221487767</c:v>
                </c:pt>
                <c:pt idx="19">
                  <c:v>61.770540679119293</c:v>
                </c:pt>
                <c:pt idx="20">
                  <c:v>64.021433596984465</c:v>
                </c:pt>
                <c:pt idx="21">
                  <c:v>66.166803793052438</c:v>
                </c:pt>
                <c:pt idx="22">
                  <c:v>68.210815740618713</c:v>
                </c:pt>
                <c:pt idx="23">
                  <c:v>70.157646082137447</c:v>
                </c:pt>
                <c:pt idx="24">
                  <c:v>72.011465022655969</c:v>
                </c:pt>
                <c:pt idx="25">
                  <c:v>73.776419495817592</c:v>
                </c:pt>
                <c:pt idx="26">
                  <c:v>75.456617988529601</c:v>
                </c:pt>
                <c:pt idx="27">
                  <c:v>77.056116906203286</c:v>
                </c:pt>
                <c:pt idx="28">
                  <c:v>78.578908358782869</c:v>
                </c:pt>
                <c:pt idx="29">
                  <c:v>80.028909248390008</c:v>
                </c:pt>
                <c:pt idx="30">
                  <c:v>81.409951542088848</c:v>
                </c:pt>
                <c:pt idx="31">
                  <c:v>82.72577361778751</c:v>
                </c:pt>
                <c:pt idx="32">
                  <c:v>83.980012577378275</c:v>
                </c:pt>
                <c:pt idx="33">
                  <c:v>85.176197428616476</c:v>
                </c:pt>
                <c:pt idx="34">
                  <c:v>86.317743045687294</c:v>
                </c:pt>
                <c:pt idx="35">
                  <c:v>87.407944827636825</c:v>
                </c:pt>
                <c:pt idx="36">
                  <c:v>88.449973983595797</c:v>
                </c:pt>
                <c:pt idx="37">
                  <c:v>89.44687338374105</c:v>
                </c:pt>
                <c:pt idx="38">
                  <c:v>90.401553924988875</c:v>
                </c:pt>
                <c:pt idx="39">
                  <c:v>91.316791370259423</c:v>
                </c:pt>
                <c:pt idx="40">
                  <c:v>92.195223629598743</c:v>
                </c:pt>
                <c:pt idx="41">
                  <c:v>93.039348460293084</c:v>
                </c:pt>
                <c:pt idx="42">
                  <c:v>93.851521571210938</c:v>
                </c:pt>
                <c:pt idx="43">
                  <c:v>94.633955123808235</c:v>
                </c:pt>
                <c:pt idx="44">
                  <c:v>95.388716628434551</c:v>
                </c:pt>
                <c:pt idx="45">
                  <c:v>96.117728239682961</c:v>
                </c:pt>
                <c:pt idx="46">
                  <c:v>96.822766458490847</c:v>
                </c:pt>
                <c:pt idx="47">
                  <c:v>97.505462251483252</c:v>
                </c:pt>
                <c:pt idx="48">
                  <c:v>98.167301599659154</c:v>
                </c:pt>
                <c:pt idx="49">
                  <c:v>98.809626488978054</c:v>
                </c:pt>
                <c:pt idx="50">
                  <c:v>99.433636354758036</c:v>
                </c:pt>
                <c:pt idx="51">
                  <c:v>100.04038999012566</c:v>
                </c:pt>
                <c:pt idx="52">
                  <c:v>100.63080792615166</c:v>
                </c:pt>
                <c:pt idx="53">
                  <c:v>101.20567528788744</c:v>
                </c:pt>
                <c:pt idx="54">
                  <c:v>101.76564512640807</c:v>
                </c:pt>
                <c:pt idx="55">
                  <c:v>102.3112422223199</c:v>
                </c:pt>
                <c:pt idx="56">
                  <c:v>102.84286735115309</c:v>
                </c:pt>
                <c:pt idx="57">
                  <c:v>103.3608019957927</c:v>
                </c:pt>
                <c:pt idx="58">
                  <c:v>103.86521348577209</c:v>
                </c:pt>
                <c:pt idx="59">
                  <c:v>104.35616053801429</c:v>
                </c:pt>
                <c:pt idx="60">
                  <c:v>104.83359916862095</c:v>
                </c:pt>
                <c:pt idx="61">
                  <c:v>105.29738894071856</c:v>
                </c:pt>
                <c:pt idx="62">
                  <c:v>105.74729950931386</c:v>
                </c:pt>
                <c:pt idx="63">
                  <c:v>106.18301742069532</c:v>
                </c:pt>
                <c:pt idx="64">
                  <c:v>106.60415312125296</c:v>
                </c:pt>
                <c:pt idx="65">
                  <c:v>107.0102481287379</c:v>
                </c:pt>
                <c:pt idx="66">
                  <c:v>107.40078231800105</c:v>
                </c:pt>
                <c:pt idx="67">
                  <c:v>107.77518127315678</c:v>
                </c:pt>
                <c:pt idx="68">
                  <c:v>108.13282365890053</c:v>
                </c:pt>
                <c:pt idx="69">
                  <c:v>108.47304856533451</c:v>
                </c:pt>
                <c:pt idx="70">
                  <c:v>108.79516278304216</c:v>
                </c:pt>
                <c:pt idx="71">
                  <c:v>109.09844796821024</c:v>
                </c:pt>
                <c:pt idx="72">
                  <c:v>109.38216766117897</c:v>
                </c:pt>
                <c:pt idx="73">
                  <c:v>109.64557412575307</c:v>
                </c:pt>
                <c:pt idx="74">
                  <c:v>109.88791498073631</c:v>
                </c:pt>
                <c:pt idx="75">
                  <c:v>110.10843959924019</c:v>
                </c:pt>
                <c:pt idx="76">
                  <c:v>110.30640525514021</c:v>
                </c:pt>
                <c:pt idx="77">
                  <c:v>110.48108299934502</c:v>
                </c:pt>
                <c:pt idx="78">
                  <c:v>110.63176325105714</c:v>
                </c:pt>
                <c:pt idx="79">
                  <c:v>110.75776109066449</c:v>
                </c:pt>
              </c:numCache>
            </c:numRef>
          </c:yVal>
          <c:smooth val="1"/>
          <c:extLst>
            <c:ext xmlns:c16="http://schemas.microsoft.com/office/drawing/2014/chart" uri="{C3380CC4-5D6E-409C-BE32-E72D297353CC}">
              <c16:uniqueId val="{00000000-FB3C-4D42-A2DB-89242799A84A}"/>
            </c:ext>
          </c:extLst>
        </c:ser>
        <c:dLbls>
          <c:showLegendKey val="0"/>
          <c:showVal val="0"/>
          <c:showCatName val="0"/>
          <c:showSerName val="0"/>
          <c:showPercent val="0"/>
          <c:showBubbleSize val="0"/>
        </c:dLbls>
        <c:axId val="327121272"/>
        <c:axId val="327124552"/>
      </c:scatterChart>
      <c:valAx>
        <c:axId val="327121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a:pPr>
                <a:r>
                  <a:rPr lang="fi-FI"/>
                  <a:t>Years</a:t>
                </a:r>
              </a:p>
              <a:p>
                <a:pPr>
                  <a:defRPr/>
                </a:pPr>
                <a:endParaRPr lang="fi-FI"/>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27124552"/>
        <c:crosses val="autoZero"/>
        <c:crossBetween val="midCat"/>
      </c:valAx>
      <c:valAx>
        <c:axId val="327124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fi-FI"/>
                  <a:t>C02</a:t>
                </a:r>
                <a:r>
                  <a:rPr lang="fi-FI" baseline="0"/>
                  <a:t> </a:t>
                </a:r>
                <a:r>
                  <a:rPr lang="fi-FI"/>
                  <a:t> kg / year</a:t>
                </a: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27121272"/>
        <c:crosses val="autoZero"/>
        <c:crossBetween val="midCat"/>
      </c:valAx>
    </c:plotArea>
    <c:legend>
      <c:legendPos val="r"/>
      <c:overlay val="0"/>
    </c:legend>
    <c:plotVisOnly val="1"/>
    <c:dispBlanksAs val="gap"/>
    <c:showDLblsOverMax val="0"/>
    <c:extLst/>
  </c:chart>
  <c:txPr>
    <a:bodyPr/>
    <a:lstStyle/>
    <a:p>
      <a:pPr>
        <a:defRPr/>
      </a:pPr>
      <a:endParaRPr lang="fi-FI"/>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solidFill>
                  <a:sysClr val="windowText" lastClr="000000"/>
                </a:solidFill>
              </a:rPr>
              <a:t>Cumulative Carbon Stored </a:t>
            </a:r>
            <a:endParaRPr lang="en-US" b="1" baseline="0">
              <a:solidFill>
                <a:sysClr val="windowText" lastClr="000000"/>
              </a:solidFill>
            </a:endParaRPr>
          </a:p>
        </c:rich>
      </c:tx>
      <c:overlay val="0"/>
      <c:spPr>
        <a:noFill/>
        <a:ln>
          <a:noFill/>
        </a:ln>
        <a:effectLst/>
      </c:spPr>
    </c:title>
    <c:autoTitleDeleted val="0"/>
    <c:plotArea>
      <c:layout>
        <c:manualLayout>
          <c:layoutTarget val="inner"/>
          <c:xMode val="edge"/>
          <c:yMode val="edge"/>
          <c:x val="8.127419517230014E-2"/>
          <c:y val="0.10103107759905085"/>
          <c:w val="0.68668707683205854"/>
          <c:h val="0.70500352269972166"/>
        </c:manualLayout>
      </c:layout>
      <c:scatterChart>
        <c:scatterStyle val="smoothMarker"/>
        <c:varyColors val="0"/>
        <c:ser>
          <c:idx val="0"/>
          <c:order val="0"/>
          <c:tx>
            <c:strRef>
              <c:f>Tree8!$G$3</c:f>
              <c:strCache>
                <c:ptCount val="1"/>
                <c:pt idx="0">
                  <c:v>Cumulative CO2 Stored</c:v>
                </c:pt>
              </c:strCache>
            </c:strRef>
          </c:tx>
          <c:marker>
            <c:symbol val="none"/>
          </c:marker>
          <c:xVal>
            <c:numRef>
              <c:f>Tree8!$A$5:$A$114</c:f>
              <c:numCache>
                <c:formatCode>General</c:formatCode>
                <c:ptCount val="11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Tree8!$G$5:$G$114</c:f>
              <c:numCache>
                <c:formatCode>General</c:formatCode>
                <c:ptCount val="110"/>
                <c:pt idx="0">
                  <c:v>2.1131122498951349</c:v>
                </c:pt>
                <c:pt idx="1">
                  <c:v>2.81748299986018</c:v>
                </c:pt>
                <c:pt idx="2">
                  <c:v>4.2262244997902698</c:v>
                </c:pt>
                <c:pt idx="3">
                  <c:v>8.4524489995805396</c:v>
                </c:pt>
                <c:pt idx="4">
                  <c:v>21.296919704013888</c:v>
                </c:pt>
                <c:pt idx="5">
                  <c:v>38.386018457255361</c:v>
                </c:pt>
                <c:pt idx="6">
                  <c:v>59.572123104367634</c:v>
                </c:pt>
                <c:pt idx="7">
                  <c:v>84.707966243353056</c:v>
                </c:pt>
                <c:pt idx="8">
                  <c:v>113.6471705151052</c:v>
                </c:pt>
                <c:pt idx="9">
                  <c:v>146.24473664983617</c:v>
                </c:pt>
                <c:pt idx="10">
                  <c:v>182.35748531157793</c:v>
                </c:pt>
                <c:pt idx="11">
                  <c:v>221.84445406388363</c:v>
                </c:pt>
                <c:pt idx="12">
                  <c:v>264.56725102004987</c:v>
                </c:pt>
                <c:pt idx="13">
                  <c:v>310.39036694091118</c:v>
                </c:pt>
                <c:pt idx="14">
                  <c:v>359.18144770382344</c:v>
                </c:pt>
                <c:pt idx="15">
                  <c:v>410.81152918955439</c:v>
                </c:pt>
                <c:pt idx="16">
                  <c:v>465.15523672147447</c:v>
                </c:pt>
                <c:pt idx="17">
                  <c:v>522.09095124602436</c:v>
                </c:pt>
                <c:pt idx="18">
                  <c:v>581.50094446751211</c:v>
                </c:pt>
                <c:pt idx="19">
                  <c:v>643.27148514663145</c:v>
                </c:pt>
                <c:pt idx="20">
                  <c:v>707.29291874361593</c:v>
                </c:pt>
                <c:pt idx="21">
                  <c:v>773.45972253666832</c:v>
                </c:pt>
                <c:pt idx="22">
                  <c:v>841.67053827728705</c:v>
                </c:pt>
                <c:pt idx="23">
                  <c:v>911.82818435942454</c:v>
                </c:pt>
                <c:pt idx="24">
                  <c:v>983.83964938208055</c:v>
                </c:pt>
                <c:pt idx="25">
                  <c:v>1057.6160688778982</c:v>
                </c:pt>
                <c:pt idx="26">
                  <c:v>1133.0726868664278</c:v>
                </c:pt>
                <c:pt idx="27">
                  <c:v>1210.128803772631</c:v>
                </c:pt>
                <c:pt idx="28">
                  <c:v>1288.7077121314139</c:v>
                </c:pt>
                <c:pt idx="29">
                  <c:v>1368.7366213798039</c:v>
                </c:pt>
                <c:pt idx="30">
                  <c:v>1450.1465729218928</c:v>
                </c:pt>
                <c:pt idx="31">
                  <c:v>1532.8723465396804</c:v>
                </c:pt>
                <c:pt idx="32">
                  <c:v>1616.8523591170588</c:v>
                </c:pt>
                <c:pt idx="33">
                  <c:v>1702.0285565456752</c:v>
                </c:pt>
                <c:pt idx="34">
                  <c:v>1788.3462995913626</c:v>
                </c:pt>
                <c:pt idx="35">
                  <c:v>1875.7542444189994</c:v>
                </c:pt>
                <c:pt idx="36">
                  <c:v>1964.2042184025952</c:v>
                </c:pt>
                <c:pt idx="37">
                  <c:v>2053.6510917863361</c:v>
                </c:pt>
                <c:pt idx="38">
                  <c:v>2144.0526457113251</c:v>
                </c:pt>
                <c:pt idx="39">
                  <c:v>2235.3694370815847</c:v>
                </c:pt>
                <c:pt idx="40">
                  <c:v>2327.5646607111835</c:v>
                </c:pt>
                <c:pt idx="41">
                  <c:v>2420.6040091714767</c:v>
                </c:pt>
                <c:pt idx="42">
                  <c:v>2514.4555307426876</c:v>
                </c:pt>
                <c:pt idx="43">
                  <c:v>2609.089485866496</c:v>
                </c:pt>
                <c:pt idx="44">
                  <c:v>2704.4782024949304</c:v>
                </c:pt>
                <c:pt idx="45">
                  <c:v>2800.5959307346134</c:v>
                </c:pt>
                <c:pt idx="46">
                  <c:v>2897.4186971931044</c:v>
                </c:pt>
                <c:pt idx="47">
                  <c:v>2994.9241594445875</c:v>
                </c:pt>
                <c:pt idx="48">
                  <c:v>3093.0914610442469</c:v>
                </c:pt>
                <c:pt idx="49">
                  <c:v>3191.9010875332251</c:v>
                </c:pt>
                <c:pt idx="50">
                  <c:v>3291.3347238879833</c:v>
                </c:pt>
                <c:pt idx="51">
                  <c:v>3391.375113878109</c:v>
                </c:pt>
                <c:pt idx="52">
                  <c:v>3492.0059218042607</c:v>
                </c:pt>
                <c:pt idx="53">
                  <c:v>3593.2115970921482</c:v>
                </c:pt>
                <c:pt idx="54">
                  <c:v>3694.9772422185561</c:v>
                </c:pt>
                <c:pt idx="55">
                  <c:v>3797.2884844408759</c:v>
                </c:pt>
                <c:pt idx="56">
                  <c:v>3900.1313517920289</c:v>
                </c:pt>
                <c:pt idx="57">
                  <c:v>4003.4921537878217</c:v>
                </c:pt>
                <c:pt idx="58">
                  <c:v>4107.3573672735938</c:v>
                </c:pt>
                <c:pt idx="59">
                  <c:v>4211.7135278116084</c:v>
                </c:pt>
                <c:pt idx="60">
                  <c:v>4316.5471269802292</c:v>
                </c:pt>
                <c:pt idx="61">
                  <c:v>4421.8445159209477</c:v>
                </c:pt>
                <c:pt idx="62">
                  <c:v>4527.5918154302617</c:v>
                </c:pt>
                <c:pt idx="63">
                  <c:v>4633.774832850957</c:v>
                </c:pt>
                <c:pt idx="64">
                  <c:v>4740.3789859722101</c:v>
                </c:pt>
                <c:pt idx="65">
                  <c:v>4847.3892341009478</c:v>
                </c:pt>
                <c:pt idx="66">
                  <c:v>4954.7900164189487</c:v>
                </c:pt>
                <c:pt idx="67">
                  <c:v>5062.5651976921054</c:v>
                </c:pt>
                <c:pt idx="68">
                  <c:v>5170.698021351006</c:v>
                </c:pt>
                <c:pt idx="69">
                  <c:v>5279.1710699163405</c:v>
                </c:pt>
                <c:pt idx="70">
                  <c:v>5387.966232699383</c:v>
                </c:pt>
                <c:pt idx="71">
                  <c:v>5497.0646806675932</c:v>
                </c:pt>
                <c:pt idx="72">
                  <c:v>5606.4468483287719</c:v>
                </c:pt>
                <c:pt idx="73">
                  <c:v>5716.0924224545251</c:v>
                </c:pt>
                <c:pt idx="74">
                  <c:v>5825.9803374352614</c:v>
                </c:pt>
                <c:pt idx="75">
                  <c:v>5936.0887770345016</c:v>
                </c:pt>
                <c:pt idx="76">
                  <c:v>6046.3951822896415</c:v>
                </c:pt>
                <c:pt idx="77">
                  <c:v>6156.8762652889864</c:v>
                </c:pt>
                <c:pt idx="78">
                  <c:v>6267.5080285400436</c:v>
                </c:pt>
                <c:pt idx="79">
                  <c:v>6378.2657896307082</c:v>
                </c:pt>
              </c:numCache>
            </c:numRef>
          </c:yVal>
          <c:smooth val="1"/>
          <c:extLst>
            <c:ext xmlns:c16="http://schemas.microsoft.com/office/drawing/2014/chart" uri="{C3380CC4-5D6E-409C-BE32-E72D297353CC}">
              <c16:uniqueId val="{00000000-AD09-4441-8034-60C125928C8B}"/>
            </c:ext>
          </c:extLst>
        </c:ser>
        <c:dLbls>
          <c:showLegendKey val="0"/>
          <c:showVal val="0"/>
          <c:showCatName val="0"/>
          <c:showSerName val="0"/>
          <c:showPercent val="0"/>
          <c:showBubbleSize val="0"/>
        </c:dLbls>
        <c:axId val="327121272"/>
        <c:axId val="327124552"/>
      </c:scatterChart>
      <c:valAx>
        <c:axId val="327121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a:pPr>
                <a:r>
                  <a:rPr lang="fi-FI"/>
                  <a:t>Age</a:t>
                </a:r>
              </a:p>
              <a:p>
                <a:pPr>
                  <a:defRPr/>
                </a:pPr>
                <a:endParaRPr lang="fi-FI"/>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27124552"/>
        <c:crosses val="autoZero"/>
        <c:crossBetween val="midCat"/>
      </c:valAx>
      <c:valAx>
        <c:axId val="327124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fi-FI"/>
                  <a:t>CO2</a:t>
                </a:r>
                <a:r>
                  <a:rPr lang="fi-FI" baseline="0"/>
                  <a:t> </a:t>
                </a:r>
                <a:r>
                  <a:rPr lang="fi-FI"/>
                  <a:t> kg /age</a:t>
                </a: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327121272"/>
        <c:crosses val="autoZero"/>
        <c:crossBetween val="midCat"/>
      </c:valAx>
    </c:plotArea>
    <c:legend>
      <c:legendPos val="r"/>
      <c:overlay val="0"/>
    </c:legend>
    <c:plotVisOnly val="1"/>
    <c:dispBlanksAs val="gap"/>
    <c:showDLblsOverMax val="0"/>
    <c:extLst/>
  </c:chart>
  <c:txPr>
    <a:bodyPr/>
    <a:lstStyle/>
    <a:p>
      <a:pPr>
        <a:defRPr/>
      </a:pPr>
      <a:endParaRPr lang="fi-FI"/>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ysClr val="windowText" lastClr="000000"/>
                </a:solidFill>
                <a:latin typeface="+mn-lt"/>
                <a:ea typeface="+mn-ea"/>
                <a:cs typeface="+mn-cs"/>
              </a:defRPr>
            </a:pPr>
            <a:r>
              <a:rPr lang="fi-FI"/>
              <a:t>Annual and Cumulative</a:t>
            </a:r>
            <a:r>
              <a:rPr lang="fi-FI" baseline="0"/>
              <a:t> CO2 Emissions</a:t>
            </a:r>
            <a:endParaRPr lang="fi-FI"/>
          </a:p>
        </c:rich>
      </c:tx>
      <c:overlay val="0"/>
      <c:spPr>
        <a:noFill/>
        <a:ln>
          <a:noFill/>
        </a:ln>
        <a:effectLst/>
      </c:spPr>
      <c:txPr>
        <a:bodyPr rot="0" spcFirstLastPara="1" vertOverflow="ellipsis" vert="horz" wrap="square" anchor="ctr" anchorCtr="1"/>
        <a:lstStyle/>
        <a:p>
          <a:pPr>
            <a:defRPr sz="1440" b="1" i="0" u="none" strike="noStrike" kern="1200" spc="0" baseline="0">
              <a:solidFill>
                <a:sysClr val="windowText" lastClr="000000"/>
              </a:solidFill>
              <a:latin typeface="+mn-lt"/>
              <a:ea typeface="+mn-ea"/>
              <a:cs typeface="+mn-cs"/>
            </a:defRPr>
          </a:pPr>
          <a:endParaRPr lang="fi-FI"/>
        </a:p>
      </c:txPr>
    </c:title>
    <c:autoTitleDeleted val="0"/>
    <c:plotArea>
      <c:layout/>
      <c:lineChart>
        <c:grouping val="standard"/>
        <c:varyColors val="0"/>
        <c:ser>
          <c:idx val="1"/>
          <c:order val="0"/>
          <c:tx>
            <c:strRef>
              <c:f>ImpactOnCO2Emissions!$A$30</c:f>
              <c:strCache>
                <c:ptCount val="1"/>
                <c:pt idx="0">
                  <c:v>Annual Sequestration_Afforestation (GtCO2/yr)</c:v>
                </c:pt>
              </c:strCache>
            </c:strRef>
          </c:tx>
          <c:spPr>
            <a:ln w="28575" cap="rnd">
              <a:solidFill>
                <a:schemeClr val="accent2"/>
              </a:solidFill>
              <a:round/>
            </a:ln>
            <a:effectLst/>
          </c:spPr>
          <c:marker>
            <c:symbol val="none"/>
          </c:marker>
          <c:cat>
            <c:numRef>
              <c:f>ImpactOnCO2Emissions!$B$37:$L$37</c:f>
              <c:numCache>
                <c:formatCode>General</c:formatCode>
                <c:ptCount val="11"/>
                <c:pt idx="0">
                  <c:v>2015</c:v>
                </c:pt>
                <c:pt idx="1">
                  <c:v>2020</c:v>
                </c:pt>
                <c:pt idx="2">
                  <c:v>2025</c:v>
                </c:pt>
                <c:pt idx="3">
                  <c:v>2030</c:v>
                </c:pt>
                <c:pt idx="4">
                  <c:v>2040</c:v>
                </c:pt>
                <c:pt idx="5">
                  <c:v>2050</c:v>
                </c:pt>
                <c:pt idx="6">
                  <c:v>2060</c:v>
                </c:pt>
                <c:pt idx="7">
                  <c:v>2070</c:v>
                </c:pt>
                <c:pt idx="8">
                  <c:v>2080</c:v>
                </c:pt>
                <c:pt idx="9">
                  <c:v>2090</c:v>
                </c:pt>
                <c:pt idx="10">
                  <c:v>2100</c:v>
                </c:pt>
              </c:numCache>
            </c:numRef>
          </c:cat>
          <c:val>
            <c:numRef>
              <c:f>ImpactOnCO2Emissions!$B$30:$L$30</c:f>
              <c:numCache>
                <c:formatCode>0</c:formatCode>
                <c:ptCount val="11"/>
                <c:pt idx="0">
                  <c:v>0</c:v>
                </c:pt>
                <c:pt idx="1">
                  <c:v>0</c:v>
                </c:pt>
                <c:pt idx="2">
                  <c:v>0</c:v>
                </c:pt>
                <c:pt idx="3">
                  <c:v>0.71092218300297993</c:v>
                </c:pt>
                <c:pt idx="4">
                  <c:v>2.2092084749886398</c:v>
                </c:pt>
                <c:pt idx="5">
                  <c:v>7.9146312894071498</c:v>
                </c:pt>
                <c:pt idx="6">
                  <c:v>9.27145824258319</c:v>
                </c:pt>
                <c:pt idx="7">
                  <c:v>11.672867827640301</c:v>
                </c:pt>
                <c:pt idx="8">
                  <c:v>13.2391394938233</c:v>
                </c:pt>
                <c:pt idx="9">
                  <c:v>13.966073946877799</c:v>
                </c:pt>
                <c:pt idx="10">
                  <c:v>14.659738201168199</c:v>
                </c:pt>
              </c:numCache>
            </c:numRef>
          </c:val>
          <c:smooth val="0"/>
          <c:extLst>
            <c:ext xmlns:c16="http://schemas.microsoft.com/office/drawing/2014/chart" uri="{C3380CC4-5D6E-409C-BE32-E72D297353CC}">
              <c16:uniqueId val="{00000000-6D6F-405C-8C41-753CAEC31BAE}"/>
            </c:ext>
          </c:extLst>
        </c:ser>
        <c:ser>
          <c:idx val="0"/>
          <c:order val="2"/>
          <c:tx>
            <c:strRef>
              <c:f>ImpactOnCO2Emissions!$A$34</c:f>
              <c:strCache>
                <c:ptCount val="1"/>
                <c:pt idx="0">
                  <c:v>Annual Fossil Emisions_After Afforestation (GtCO2/yr)</c:v>
                </c:pt>
              </c:strCache>
            </c:strRef>
          </c:tx>
          <c:spPr>
            <a:ln w="28575" cap="rnd">
              <a:solidFill>
                <a:schemeClr val="accent1"/>
              </a:solidFill>
              <a:round/>
            </a:ln>
            <a:effectLst/>
          </c:spPr>
          <c:marker>
            <c:symbol val="none"/>
          </c:marker>
          <c:cat>
            <c:numRef>
              <c:f>ImpactOnCO2Emissions!$B$33:$L$33</c:f>
              <c:numCache>
                <c:formatCode>General</c:formatCode>
                <c:ptCount val="11"/>
                <c:pt idx="0">
                  <c:v>2015</c:v>
                </c:pt>
                <c:pt idx="1">
                  <c:v>2020</c:v>
                </c:pt>
                <c:pt idx="2">
                  <c:v>2025</c:v>
                </c:pt>
                <c:pt idx="3">
                  <c:v>2030</c:v>
                </c:pt>
                <c:pt idx="4">
                  <c:v>2040</c:v>
                </c:pt>
                <c:pt idx="5">
                  <c:v>2050</c:v>
                </c:pt>
                <c:pt idx="6">
                  <c:v>2060</c:v>
                </c:pt>
                <c:pt idx="7">
                  <c:v>2070</c:v>
                </c:pt>
                <c:pt idx="8">
                  <c:v>2080</c:v>
                </c:pt>
                <c:pt idx="9">
                  <c:v>2090</c:v>
                </c:pt>
                <c:pt idx="10">
                  <c:v>2100</c:v>
                </c:pt>
              </c:numCache>
            </c:numRef>
          </c:cat>
          <c:val>
            <c:numRef>
              <c:f>ImpactOnCO2Emissions!$B$34:$L$34</c:f>
              <c:numCache>
                <c:formatCode>0</c:formatCode>
                <c:ptCount val="11"/>
                <c:pt idx="0">
                  <c:v>31.034254490120915</c:v>
                </c:pt>
                <c:pt idx="1">
                  <c:v>28.981879438113008</c:v>
                </c:pt>
                <c:pt idx="2">
                  <c:v>21.799160501540662</c:v>
                </c:pt>
                <c:pt idx="3">
                  <c:v>14.413245089040661</c:v>
                </c:pt>
                <c:pt idx="4">
                  <c:v>4.8578167255896609</c:v>
                </c:pt>
                <c:pt idx="5">
                  <c:v>-7.9146312894071498</c:v>
                </c:pt>
                <c:pt idx="6">
                  <c:v>-9.27145824258319</c:v>
                </c:pt>
                <c:pt idx="7">
                  <c:v>-11.672867827640301</c:v>
                </c:pt>
                <c:pt idx="8">
                  <c:v>-13.2391394938233</c:v>
                </c:pt>
                <c:pt idx="9">
                  <c:v>-13.966073946877799</c:v>
                </c:pt>
                <c:pt idx="10">
                  <c:v>-14.659738201168199</c:v>
                </c:pt>
              </c:numCache>
            </c:numRef>
          </c:val>
          <c:smooth val="0"/>
          <c:extLst>
            <c:ext xmlns:c16="http://schemas.microsoft.com/office/drawing/2014/chart" uri="{C3380CC4-5D6E-409C-BE32-E72D297353CC}">
              <c16:uniqueId val="{00000001-6D6F-405C-8C41-753CAEC31BAE}"/>
            </c:ext>
          </c:extLst>
        </c:ser>
        <c:dLbls>
          <c:showLegendKey val="0"/>
          <c:showVal val="0"/>
          <c:showCatName val="0"/>
          <c:showSerName val="0"/>
          <c:showPercent val="0"/>
          <c:showBubbleSize val="0"/>
        </c:dLbls>
        <c:marker val="1"/>
        <c:smooth val="0"/>
        <c:axId val="966816264"/>
        <c:axId val="966816592"/>
      </c:lineChart>
      <c:lineChart>
        <c:grouping val="standard"/>
        <c:varyColors val="0"/>
        <c:ser>
          <c:idx val="3"/>
          <c:order val="1"/>
          <c:tx>
            <c:strRef>
              <c:f>ImpactOnCO2Emissions!$A$38</c:f>
              <c:strCache>
                <c:ptCount val="1"/>
                <c:pt idx="0">
                  <c:v>Cumulative Fossil Emissions_After Afforestation (GtCO2)</c:v>
                </c:pt>
              </c:strCache>
            </c:strRef>
          </c:tx>
          <c:spPr>
            <a:ln w="28575" cap="rnd">
              <a:solidFill>
                <a:schemeClr val="accent4"/>
              </a:solidFill>
              <a:round/>
            </a:ln>
            <a:effectLst/>
          </c:spPr>
          <c:marker>
            <c:symbol val="none"/>
          </c:marker>
          <c:cat>
            <c:numRef>
              <c:f>ImpactOnCO2Emissions!$B$33:$L$33</c:f>
              <c:numCache>
                <c:formatCode>General</c:formatCode>
                <c:ptCount val="11"/>
                <c:pt idx="0">
                  <c:v>2015</c:v>
                </c:pt>
                <c:pt idx="1">
                  <c:v>2020</c:v>
                </c:pt>
                <c:pt idx="2">
                  <c:v>2025</c:v>
                </c:pt>
                <c:pt idx="3">
                  <c:v>2030</c:v>
                </c:pt>
                <c:pt idx="4">
                  <c:v>2040</c:v>
                </c:pt>
                <c:pt idx="5">
                  <c:v>2050</c:v>
                </c:pt>
                <c:pt idx="6">
                  <c:v>2060</c:v>
                </c:pt>
                <c:pt idx="7">
                  <c:v>2070</c:v>
                </c:pt>
                <c:pt idx="8">
                  <c:v>2080</c:v>
                </c:pt>
                <c:pt idx="9">
                  <c:v>2090</c:v>
                </c:pt>
                <c:pt idx="10">
                  <c:v>2100</c:v>
                </c:pt>
              </c:numCache>
            </c:numRef>
          </c:cat>
          <c:val>
            <c:numRef>
              <c:f>ImpactOnCO2Emissions!$B$38:$L$38</c:f>
              <c:numCache>
                <c:formatCode>0</c:formatCode>
                <c:ptCount val="11"/>
                <c:pt idx="0">
                  <c:v>31.034254490120915</c:v>
                </c:pt>
                <c:pt idx="1">
                  <c:v>153.11889739859666</c:v>
                </c:pt>
                <c:pt idx="2">
                  <c:v>290.84557565258933</c:v>
                </c:pt>
                <c:pt idx="3">
                  <c:v>392.45546274779264</c:v>
                </c:pt>
                <c:pt idx="4">
                  <c:v>527.0324852747483</c:v>
                </c:pt>
                <c:pt idx="5">
                  <c:v>562.83820451564804</c:v>
                </c:pt>
                <c:pt idx="6">
                  <c:v>482.33506466840049</c:v>
                </c:pt>
                <c:pt idx="7">
                  <c:v>387.21907265751145</c:v>
                </c:pt>
                <c:pt idx="8">
                  <c:v>268.92412271492543</c:v>
                </c:pt>
                <c:pt idx="9">
                  <c:v>135.80579332363794</c:v>
                </c:pt>
                <c:pt idx="10">
                  <c:v>-4.5486103994304585</c:v>
                </c:pt>
              </c:numCache>
            </c:numRef>
          </c:val>
          <c:smooth val="0"/>
          <c:extLst>
            <c:ext xmlns:c16="http://schemas.microsoft.com/office/drawing/2014/chart" uri="{C3380CC4-5D6E-409C-BE32-E72D297353CC}">
              <c16:uniqueId val="{00000002-6D6F-405C-8C41-753CAEC31BAE}"/>
            </c:ext>
          </c:extLst>
        </c:ser>
        <c:dLbls>
          <c:showLegendKey val="0"/>
          <c:showVal val="0"/>
          <c:showCatName val="0"/>
          <c:showSerName val="0"/>
          <c:showPercent val="0"/>
          <c:showBubbleSize val="0"/>
        </c:dLbls>
        <c:marker val="1"/>
        <c:smooth val="0"/>
        <c:axId val="966820528"/>
        <c:axId val="966821840"/>
      </c:lineChart>
      <c:catAx>
        <c:axId val="96681626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fi-FI"/>
                  <a:t>Year</a:t>
                </a:r>
              </a:p>
            </c:rich>
          </c:tx>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i-FI"/>
          </a:p>
        </c:txPr>
        <c:crossAx val="966816592"/>
        <c:crosses val="autoZero"/>
        <c:auto val="1"/>
        <c:lblAlgn val="ctr"/>
        <c:lblOffset val="100"/>
        <c:noMultiLvlLbl val="0"/>
      </c:catAx>
      <c:valAx>
        <c:axId val="9668165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fi-FI"/>
                  <a:t>Annual CO2 Emissions (GtCO2/year)</a:t>
                </a:r>
              </a:p>
            </c:rich>
          </c:tx>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i-F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i-FI"/>
          </a:p>
        </c:txPr>
        <c:crossAx val="966816264"/>
        <c:crosses val="autoZero"/>
        <c:crossBetween val="midCat"/>
      </c:valAx>
      <c:valAx>
        <c:axId val="966821840"/>
        <c:scaling>
          <c:orientation val="minMax"/>
        </c:scaling>
        <c:delete val="0"/>
        <c:axPos val="r"/>
        <c:title>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fi-FI"/>
                  <a:t>Cumulative CO2 Emissions (GtCO2)</a:t>
                </a:r>
              </a:p>
            </c:rich>
          </c:tx>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i-FI"/>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i-FI"/>
          </a:p>
        </c:txPr>
        <c:crossAx val="966820528"/>
        <c:crosses val="max"/>
        <c:crossBetween val="between"/>
      </c:valAx>
      <c:catAx>
        <c:axId val="966820528"/>
        <c:scaling>
          <c:orientation val="minMax"/>
        </c:scaling>
        <c:delete val="1"/>
        <c:axPos val="b"/>
        <c:numFmt formatCode="General" sourceLinked="1"/>
        <c:majorTickMark val="out"/>
        <c:minorTickMark val="none"/>
        <c:tickLblPos val="nextTo"/>
        <c:crossAx val="96682184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fi-FI"/>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b="1">
          <a:solidFill>
            <a:sysClr val="windowText" lastClr="000000"/>
          </a:solidFill>
        </a:defRPr>
      </a:pPr>
      <a:endParaRPr lang="fi-FI"/>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fi-FI" b="1">
                <a:solidFill>
                  <a:sysClr val="windowText" lastClr="000000"/>
                </a:solidFill>
                <a:latin typeface="Arial" panose="020B0604020202020204" pitchFamily="34" charset="0"/>
                <a:cs typeface="Arial" panose="020B0604020202020204" pitchFamily="34" charset="0"/>
              </a:rPr>
              <a:t>Water Demand of the</a:t>
            </a:r>
            <a:r>
              <a:rPr lang="fi-FI" b="1" baseline="0">
                <a:solidFill>
                  <a:sysClr val="windowText" lastClr="000000"/>
                </a:solidFill>
                <a:latin typeface="Arial" panose="020B0604020202020204" pitchFamily="34" charset="0"/>
                <a:cs typeface="Arial" panose="020B0604020202020204" pitchFamily="34" charset="0"/>
              </a:rPr>
              <a:t> 8 individual</a:t>
            </a:r>
            <a:r>
              <a:rPr lang="fi-FI" b="1">
                <a:solidFill>
                  <a:sysClr val="windowText" lastClr="000000"/>
                </a:solidFill>
                <a:latin typeface="Arial" panose="020B0604020202020204" pitchFamily="34" charset="0"/>
                <a:cs typeface="Arial" panose="020B0604020202020204" pitchFamily="34" charset="0"/>
              </a:rPr>
              <a:t>Trees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fi-FI"/>
        </a:p>
      </c:txPr>
    </c:title>
    <c:autoTitleDeleted val="0"/>
    <c:plotArea>
      <c:layout>
        <c:manualLayout>
          <c:layoutTarget val="inner"/>
          <c:xMode val="edge"/>
          <c:yMode val="edge"/>
          <c:x val="0.10170223933759977"/>
          <c:y val="4.8794059726905807E-2"/>
          <c:w val="0.68393001527884179"/>
          <c:h val="0.88244066402330135"/>
        </c:manualLayout>
      </c:layout>
      <c:scatterChart>
        <c:scatterStyle val="smoothMarker"/>
        <c:varyColors val="0"/>
        <c:ser>
          <c:idx val="0"/>
          <c:order val="0"/>
          <c:tx>
            <c:strRef>
              <c:f>Tree1!$B$1</c:f>
              <c:strCache>
                <c:ptCount val="1"/>
                <c:pt idx="0">
                  <c:v>Coolibah Tree</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Tree1!$A$7:$A$86</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Tree1!#REF!</c:f>
              <c:numCache>
                <c:formatCode>General</c:formatCode>
                <c:ptCount val="1"/>
                <c:pt idx="0">
                  <c:v>1</c:v>
                </c:pt>
              </c:numCache>
            </c:numRef>
          </c:yVal>
          <c:smooth val="1"/>
          <c:extLst>
            <c:ext xmlns:c16="http://schemas.microsoft.com/office/drawing/2014/chart" uri="{C3380CC4-5D6E-409C-BE32-E72D297353CC}">
              <c16:uniqueId val="{00000000-BBA8-47BD-BEDD-0C0410566863}"/>
            </c:ext>
          </c:extLst>
        </c:ser>
        <c:ser>
          <c:idx val="1"/>
          <c:order val="1"/>
          <c:tx>
            <c:strRef>
              <c:f>Tree2!$B$1</c:f>
              <c:strCache>
                <c:ptCount val="1"/>
                <c:pt idx="0">
                  <c:v>Paperbark</c:v>
                </c:pt>
              </c:strCache>
            </c:strRef>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Tree2!$A$7:$A$86</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Tree2!#REF!</c:f>
              <c:numCache>
                <c:formatCode>General</c:formatCode>
                <c:ptCount val="1"/>
                <c:pt idx="0">
                  <c:v>1</c:v>
                </c:pt>
              </c:numCache>
            </c:numRef>
          </c:yVal>
          <c:smooth val="1"/>
          <c:extLst>
            <c:ext xmlns:c16="http://schemas.microsoft.com/office/drawing/2014/chart" uri="{C3380CC4-5D6E-409C-BE32-E72D297353CC}">
              <c16:uniqueId val="{00000001-BBA8-47BD-BEDD-0C0410566863}"/>
            </c:ext>
          </c:extLst>
        </c:ser>
        <c:ser>
          <c:idx val="2"/>
          <c:order val="2"/>
          <c:tx>
            <c:strRef>
              <c:f>Tree3!$B$1</c:f>
              <c:strCache>
                <c:ptCount val="1"/>
                <c:pt idx="0">
                  <c:v>Date Palm</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Tree3!$A$8:$A$70</c:f>
              <c:numCache>
                <c:formatCode>General</c:formatCode>
                <c:ptCount val="63"/>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numCache>
            </c:numRef>
          </c:xVal>
          <c:yVal>
            <c:numRef>
              <c:f>Tree3!#REF!</c:f>
              <c:numCache>
                <c:formatCode>General</c:formatCode>
                <c:ptCount val="1"/>
                <c:pt idx="0">
                  <c:v>1</c:v>
                </c:pt>
              </c:numCache>
            </c:numRef>
          </c:yVal>
          <c:smooth val="1"/>
          <c:extLst>
            <c:ext xmlns:c16="http://schemas.microsoft.com/office/drawing/2014/chart" uri="{C3380CC4-5D6E-409C-BE32-E72D297353CC}">
              <c16:uniqueId val="{00000002-BBA8-47BD-BEDD-0C0410566863}"/>
            </c:ext>
          </c:extLst>
        </c:ser>
        <c:ser>
          <c:idx val="3"/>
          <c:order val="3"/>
          <c:tx>
            <c:strRef>
              <c:f>Tree4!$B$1</c:f>
              <c:strCache>
                <c:ptCount val="1"/>
                <c:pt idx="0">
                  <c:v>Turkish Pine</c:v>
                </c:pt>
              </c:strCache>
            </c:strRef>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Tree4!$A$10:$A$89</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Tree4!#REF!</c:f>
              <c:numCache>
                <c:formatCode>General</c:formatCode>
                <c:ptCount val="1"/>
                <c:pt idx="0">
                  <c:v>1</c:v>
                </c:pt>
              </c:numCache>
            </c:numRef>
          </c:yVal>
          <c:smooth val="1"/>
          <c:extLst>
            <c:ext xmlns:c16="http://schemas.microsoft.com/office/drawing/2014/chart" uri="{C3380CC4-5D6E-409C-BE32-E72D297353CC}">
              <c16:uniqueId val="{00000003-BBA8-47BD-BEDD-0C0410566863}"/>
            </c:ext>
          </c:extLst>
        </c:ser>
        <c:ser>
          <c:idx val="4"/>
          <c:order val="4"/>
          <c:tx>
            <c:strRef>
              <c:f>Tree5!$B$1</c:f>
              <c:strCache>
                <c:ptCount val="1"/>
                <c:pt idx="0">
                  <c:v>Willow Acacia</c:v>
                </c:pt>
              </c:strCache>
            </c:strRef>
          </c:tx>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Tree5!$A$10:$A$89</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Tree5!#REF!</c:f>
              <c:numCache>
                <c:formatCode>General</c:formatCode>
                <c:ptCount val="1"/>
                <c:pt idx="0">
                  <c:v>1</c:v>
                </c:pt>
              </c:numCache>
            </c:numRef>
          </c:yVal>
          <c:smooth val="1"/>
          <c:extLst>
            <c:ext xmlns:c16="http://schemas.microsoft.com/office/drawing/2014/chart" uri="{C3380CC4-5D6E-409C-BE32-E72D297353CC}">
              <c16:uniqueId val="{00000004-BBA8-47BD-BEDD-0C0410566863}"/>
            </c:ext>
          </c:extLst>
        </c:ser>
        <c:ser>
          <c:idx val="5"/>
          <c:order val="5"/>
          <c:tx>
            <c:strRef>
              <c:f>Tree6!$B$1</c:f>
              <c:strCache>
                <c:ptCount val="1"/>
                <c:pt idx="0">
                  <c:v>Casuarina</c:v>
                </c:pt>
              </c:strCache>
            </c:strRef>
          </c:tx>
          <c:spPr>
            <a:ln w="19050" cap="rnd">
              <a:solidFill>
                <a:schemeClr val="accent6"/>
              </a:solidFill>
              <a:round/>
            </a:ln>
            <a:effectLst/>
          </c:spPr>
          <c:marker>
            <c:symbol val="circle"/>
            <c:size val="5"/>
            <c:spPr>
              <a:solidFill>
                <a:schemeClr val="accent6"/>
              </a:solidFill>
              <a:ln w="9525">
                <a:solidFill>
                  <a:schemeClr val="accent6"/>
                </a:solidFill>
              </a:ln>
              <a:effectLst/>
            </c:spPr>
          </c:marker>
          <c:xVal>
            <c:numRef>
              <c:f>Tree6!$A$6:$A$85</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Tree6!#REF!</c:f>
              <c:numCache>
                <c:formatCode>General</c:formatCode>
                <c:ptCount val="1"/>
                <c:pt idx="0">
                  <c:v>1</c:v>
                </c:pt>
              </c:numCache>
            </c:numRef>
          </c:yVal>
          <c:smooth val="1"/>
          <c:extLst>
            <c:ext xmlns:c16="http://schemas.microsoft.com/office/drawing/2014/chart" uri="{C3380CC4-5D6E-409C-BE32-E72D297353CC}">
              <c16:uniqueId val="{00000005-BBA8-47BD-BEDD-0C0410566863}"/>
            </c:ext>
          </c:extLst>
        </c:ser>
        <c:ser>
          <c:idx val="6"/>
          <c:order val="6"/>
          <c:tx>
            <c:strRef>
              <c:f>Tree7!$B$1</c:f>
              <c:strCache>
                <c:ptCount val="1"/>
                <c:pt idx="0">
                  <c:v>Kamani</c:v>
                </c:pt>
              </c:strCache>
            </c:strRef>
          </c:tx>
          <c:spPr>
            <a:ln w="19050"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xVal>
            <c:numRef>
              <c:f>Tree7!$A$6:$A$85</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Tree7!#REF!</c:f>
              <c:numCache>
                <c:formatCode>General</c:formatCode>
                <c:ptCount val="1"/>
                <c:pt idx="0">
                  <c:v>1</c:v>
                </c:pt>
              </c:numCache>
            </c:numRef>
          </c:yVal>
          <c:smooth val="1"/>
          <c:extLst>
            <c:ext xmlns:c16="http://schemas.microsoft.com/office/drawing/2014/chart" uri="{C3380CC4-5D6E-409C-BE32-E72D297353CC}">
              <c16:uniqueId val="{00000006-BBA8-47BD-BEDD-0C0410566863}"/>
            </c:ext>
          </c:extLst>
        </c:ser>
        <c:ser>
          <c:idx val="7"/>
          <c:order val="7"/>
          <c:tx>
            <c:strRef>
              <c:f>Tree8!$B$1</c:f>
              <c:strCache>
                <c:ptCount val="1"/>
                <c:pt idx="0">
                  <c:v>White Mulberry</c:v>
                </c:pt>
              </c:strCache>
            </c:strRef>
          </c:tx>
          <c:spPr>
            <a:ln w="19050"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xVal>
            <c:numRef>
              <c:f>Tree8!$A$5:$A$84</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Tree8!#REF!</c:f>
              <c:numCache>
                <c:formatCode>General</c:formatCode>
                <c:ptCount val="1"/>
                <c:pt idx="0">
                  <c:v>1</c:v>
                </c:pt>
              </c:numCache>
            </c:numRef>
          </c:yVal>
          <c:smooth val="1"/>
          <c:extLst>
            <c:ext xmlns:c16="http://schemas.microsoft.com/office/drawing/2014/chart" uri="{C3380CC4-5D6E-409C-BE32-E72D297353CC}">
              <c16:uniqueId val="{00000007-BBA8-47BD-BEDD-0C0410566863}"/>
            </c:ext>
          </c:extLst>
        </c:ser>
        <c:ser>
          <c:idx val="8"/>
          <c:order val="8"/>
          <c:tx>
            <c:strRef>
              <c:f>Validation!$AS$13</c:f>
              <c:strCache>
                <c:ptCount val="1"/>
              </c:strCache>
            </c:strRef>
          </c:tx>
          <c:spPr>
            <a:ln w="19050"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xVal>
            <c:numRef>
              <c:f>Validation!$AR$15:$AR$89</c:f>
              <c:numCache>
                <c:formatCode>General</c:formatCode>
                <c:ptCount val="75"/>
              </c:numCache>
            </c:numRef>
          </c:xVal>
          <c:yVal>
            <c:numRef>
              <c:f>Validation!$AS$15:$AS$89</c:f>
              <c:numCache>
                <c:formatCode>General</c:formatCode>
                <c:ptCount val="75"/>
              </c:numCache>
            </c:numRef>
          </c:yVal>
          <c:smooth val="1"/>
          <c:extLst>
            <c:ext xmlns:c16="http://schemas.microsoft.com/office/drawing/2014/chart" uri="{C3380CC4-5D6E-409C-BE32-E72D297353CC}">
              <c16:uniqueId val="{00000008-BBA8-47BD-BEDD-0C0410566863}"/>
            </c:ext>
          </c:extLst>
        </c:ser>
        <c:ser>
          <c:idx val="9"/>
          <c:order val="9"/>
          <c:tx>
            <c:strRef>
              <c:f>Validation!$AT$13</c:f>
              <c:strCache>
                <c:ptCount val="1"/>
              </c:strCache>
            </c:strRef>
          </c:tx>
          <c:spPr>
            <a:ln w="19050"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xVal>
            <c:numRef>
              <c:f>Validation!$AR$15:$AR$89</c:f>
              <c:numCache>
                <c:formatCode>General</c:formatCode>
                <c:ptCount val="75"/>
              </c:numCache>
            </c:numRef>
          </c:xVal>
          <c:yVal>
            <c:numRef>
              <c:f>Validation!$AT$15:$AT$89</c:f>
              <c:numCache>
                <c:formatCode>General</c:formatCode>
                <c:ptCount val="75"/>
              </c:numCache>
            </c:numRef>
          </c:yVal>
          <c:smooth val="1"/>
          <c:extLst>
            <c:ext xmlns:c16="http://schemas.microsoft.com/office/drawing/2014/chart" uri="{C3380CC4-5D6E-409C-BE32-E72D297353CC}">
              <c16:uniqueId val="{00000009-BBA8-47BD-BEDD-0C0410566863}"/>
            </c:ext>
          </c:extLst>
        </c:ser>
        <c:dLbls>
          <c:showLegendKey val="0"/>
          <c:showVal val="0"/>
          <c:showCatName val="0"/>
          <c:showSerName val="0"/>
          <c:showPercent val="0"/>
          <c:showBubbleSize val="0"/>
        </c:dLbls>
        <c:axId val="636942944"/>
        <c:axId val="636941304"/>
      </c:scatterChart>
      <c:valAx>
        <c:axId val="63694294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fi-FI" sz="1200" b="1">
                    <a:solidFill>
                      <a:sysClr val="windowText" lastClr="000000"/>
                    </a:solidFill>
                  </a:rPr>
                  <a:t>Age</a:t>
                </a:r>
                <a:r>
                  <a:rPr lang="fi-FI" sz="1200" b="1" baseline="0">
                    <a:solidFill>
                      <a:sysClr val="windowText" lastClr="000000"/>
                    </a:solidFill>
                  </a:rPr>
                  <a:t> of Tree</a:t>
                </a:r>
                <a:endParaRPr lang="fi-FI" sz="1200" b="1">
                  <a:solidFill>
                    <a:sysClr val="windowText" lastClr="000000"/>
                  </a:solidFill>
                </a:endParaRPr>
              </a:p>
            </c:rich>
          </c:tx>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i-FI"/>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i-FI"/>
          </a:p>
        </c:txPr>
        <c:crossAx val="636941304"/>
        <c:crosses val="autoZero"/>
        <c:crossBetween val="midCat"/>
      </c:valAx>
      <c:valAx>
        <c:axId val="6369413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fi-FI" sz="1200" b="1">
                    <a:solidFill>
                      <a:sysClr val="windowText" lastClr="000000"/>
                    </a:solidFill>
                  </a:rPr>
                  <a:t>Water Demand</a:t>
                </a:r>
                <a:r>
                  <a:rPr lang="fi-FI" sz="1200" b="1" baseline="0">
                    <a:solidFill>
                      <a:sysClr val="windowText" lastClr="000000"/>
                    </a:solidFill>
                  </a:rPr>
                  <a:t> </a:t>
                </a:r>
                <a:r>
                  <a:rPr lang="fi-FI" sz="1200" b="1">
                    <a:solidFill>
                      <a:sysClr val="windowText" lastClr="000000"/>
                    </a:solidFill>
                  </a:rPr>
                  <a:t>(m3/year)</a:t>
                </a:r>
              </a:p>
            </c:rich>
          </c:tx>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i-FI"/>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i-FI"/>
          </a:p>
        </c:txPr>
        <c:crossAx val="636942944"/>
        <c:crosses val="autoZero"/>
        <c:crossBetween val="midCat"/>
      </c:valAx>
      <c:spPr>
        <a:noFill/>
        <a:ln>
          <a:noFill/>
        </a:ln>
        <a:effectLst/>
      </c:spPr>
    </c:plotArea>
    <c:legend>
      <c:legendPos val="r"/>
      <c:layout>
        <c:manualLayout>
          <c:xMode val="edge"/>
          <c:yMode val="edge"/>
          <c:x val="0.79763020665615081"/>
          <c:y val="0.17813000916224372"/>
          <c:w val="0.1909730983479751"/>
          <c:h val="0.56672531420374794"/>
        </c:manualLayou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fi-FI"/>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fi-FI"/>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i-FI"/>
              <a:t>Precipitation</a:t>
            </a:r>
            <a:r>
              <a:rPr lang="fi-FI" baseline="0"/>
              <a:t> Recycling vs Time</a:t>
            </a:r>
            <a:endParaRPr lang="fi-FI"/>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i-FI"/>
        </a:p>
      </c:txPr>
    </c:title>
    <c:autoTitleDeleted val="0"/>
    <c:plotArea>
      <c:layout/>
      <c:scatterChart>
        <c:scatterStyle val="lineMarker"/>
        <c:varyColors val="0"/>
        <c:ser>
          <c:idx val="0"/>
          <c:order val="0"/>
          <c:tx>
            <c:strRef>
              <c:f>Validation!$AV$13</c:f>
              <c:strCache>
                <c:ptCount val="1"/>
              </c:strCache>
            </c:strRef>
          </c:tx>
          <c:spPr>
            <a:ln w="25400" cap="rnd">
              <a:noFill/>
              <a:round/>
            </a:ln>
            <a:effectLst/>
          </c:spPr>
          <c:marker>
            <c:symbol val="circle"/>
            <c:size val="5"/>
            <c:spPr>
              <a:solidFill>
                <a:schemeClr val="accent1"/>
              </a:solidFill>
              <a:ln w="9525">
                <a:solidFill>
                  <a:schemeClr val="accent1"/>
                </a:solidFill>
              </a:ln>
              <a:effectLst/>
            </c:spPr>
          </c:marker>
          <c:xVal>
            <c:numRef>
              <c:f>Validation!$AR$15:$AR$80</c:f>
              <c:numCache>
                <c:formatCode>General</c:formatCode>
                <c:ptCount val="66"/>
              </c:numCache>
            </c:numRef>
          </c:xVal>
          <c:yVal>
            <c:numRef>
              <c:f>Validation!$AV$15:$AV$80</c:f>
              <c:numCache>
                <c:formatCode>0%</c:formatCode>
                <c:ptCount val="66"/>
              </c:numCache>
            </c:numRef>
          </c:yVal>
          <c:smooth val="0"/>
          <c:extLst>
            <c:ext xmlns:c16="http://schemas.microsoft.com/office/drawing/2014/chart" uri="{C3380CC4-5D6E-409C-BE32-E72D297353CC}">
              <c16:uniqueId val="{00000000-0673-4BB1-AA8B-0C8841BAE0B3}"/>
            </c:ext>
          </c:extLst>
        </c:ser>
        <c:dLbls>
          <c:showLegendKey val="0"/>
          <c:showVal val="0"/>
          <c:showCatName val="0"/>
          <c:showSerName val="0"/>
          <c:showPercent val="0"/>
          <c:showBubbleSize val="0"/>
        </c:dLbls>
        <c:axId val="867973320"/>
        <c:axId val="867965776"/>
      </c:scatterChart>
      <c:valAx>
        <c:axId val="8679733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867965776"/>
        <c:crosses val="autoZero"/>
        <c:crossBetween val="midCat"/>
      </c:valAx>
      <c:valAx>
        <c:axId val="8679657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i-FI"/>
          </a:p>
        </c:txPr>
        <c:crossAx val="86797332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i-F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a:solidFill>
                  <a:sysClr val="windowText" lastClr="000000"/>
                </a:solidFill>
              </a:rPr>
              <a:t>Cumulative Carbon Stored - Coolibah</a:t>
            </a:r>
            <a:r>
              <a:rPr lang="en-US" sz="1400" b="1" baseline="0">
                <a:solidFill>
                  <a:sysClr val="windowText" lastClr="000000"/>
                </a:solidFill>
              </a:rPr>
              <a:t> Tree</a:t>
            </a:r>
          </a:p>
        </c:rich>
      </c:tx>
      <c:overlay val="0"/>
      <c:spPr>
        <a:noFill/>
        <a:ln>
          <a:noFill/>
        </a:ln>
        <a:effectLst/>
      </c:spPr>
    </c:title>
    <c:autoTitleDeleted val="0"/>
    <c:plotArea>
      <c:layout>
        <c:manualLayout>
          <c:layoutTarget val="inner"/>
          <c:xMode val="edge"/>
          <c:yMode val="edge"/>
          <c:x val="9.2474399002391974E-2"/>
          <c:y val="0.18387792938479261"/>
          <c:w val="0.68668707683205854"/>
          <c:h val="0.70500352269972166"/>
        </c:manualLayout>
      </c:layout>
      <c:scatterChart>
        <c:scatterStyle val="smoothMarker"/>
        <c:varyColors val="0"/>
        <c:ser>
          <c:idx val="0"/>
          <c:order val="0"/>
          <c:tx>
            <c:strRef>
              <c:f>Tree1!$H$5</c:f>
              <c:strCache>
                <c:ptCount val="1"/>
                <c:pt idx="0">
                  <c:v>Cumulative CO2 Stored</c:v>
                </c:pt>
              </c:strCache>
            </c:strRef>
          </c:tx>
          <c:marker>
            <c:symbol val="none"/>
          </c:marker>
          <c:xVal>
            <c:numRef>
              <c:f>Tree1!$A$7:$A$106</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Tree1!$H$7:$H$106</c:f>
              <c:numCache>
                <c:formatCode>0.0</c:formatCode>
                <c:ptCount val="100"/>
                <c:pt idx="0">
                  <c:v>2.311761646144852</c:v>
                </c:pt>
                <c:pt idx="1">
                  <c:v>3.0823488615264694</c:v>
                </c:pt>
                <c:pt idx="2">
                  <c:v>4.623523292289704</c:v>
                </c:pt>
                <c:pt idx="3">
                  <c:v>9.2470465845794081</c:v>
                </c:pt>
                <c:pt idx="4">
                  <c:v>30.49024901002565</c:v>
                </c:pt>
                <c:pt idx="5">
                  <c:v>62.813180815215105</c:v>
                </c:pt>
                <c:pt idx="6">
                  <c:v>105.37198943425378</c:v>
                </c:pt>
                <c:pt idx="7">
                  <c:v>157.39071243704146</c:v>
                </c:pt>
                <c:pt idx="8">
                  <c:v>218.15696849393419</c:v>
                </c:pt>
                <c:pt idx="9">
                  <c:v>287.01800248074585</c:v>
                </c:pt>
                <c:pt idx="10">
                  <c:v>363.37706414033119</c:v>
                </c:pt>
                <c:pt idx="11">
                  <c:v>446.69009971699063</c:v>
                </c:pt>
                <c:pt idx="12">
                  <c:v>536.46273597994059</c:v>
                </c:pt>
                <c:pt idx="13">
                  <c:v>632.24753605208821</c:v>
                </c:pt>
                <c:pt idx="14">
                  <c:v>733.64150646035432</c:v>
                </c:pt>
                <c:pt idx="15">
                  <c:v>840.28383482378513</c:v>
                </c:pt>
                <c:pt idx="16">
                  <c:v>951.85383759569413</c:v>
                </c:pt>
                <c:pt idx="17">
                  <c:v>1068.0690972760763</c:v>
                </c:pt>
                <c:pt idx="18">
                  <c:v>1188.6837685105359</c:v>
                </c:pt>
                <c:pt idx="19">
                  <c:v>1313.4870324919698</c:v>
                </c:pt>
                <c:pt idx="20">
                  <c:v>1442.3016790812467</c:v>
                </c:pt>
                <c:pt idx="21">
                  <c:v>1574.982796063126</c:v>
                </c:pt>
                <c:pt idx="22">
                  <c:v>1711.4165449536556</c:v>
                </c:pt>
                <c:pt idx="23">
                  <c:v>1851.5190027752915</c:v>
                </c:pt>
                <c:pt idx="24">
                  <c:v>1995.235049215981</c:v>
                </c:pt>
                <c:pt idx="25">
                  <c:v>2142.5372785884497</c:v>
                </c:pt>
                <c:pt idx="26">
                  <c:v>2293.4249160059353</c:v>
                </c:pt>
                <c:pt idx="27">
                  <c:v>2447.9227171906095</c:v>
                </c:pt>
                <c:pt idx="28">
                  <c:v>2606.0798313309288</c:v>
                </c:pt>
                <c:pt idx="29">
                  <c:v>2767.9686064041557</c:v>
                </c:pt>
                <c:pt idx="30">
                  <c:v>2933.6833163802944</c:v>
                </c:pt>
                <c:pt idx="31">
                  <c:v>3103.3387897236785</c:v>
                </c:pt>
                <c:pt idx="32">
                  <c:v>3277.0689186084555</c:v>
                </c:pt>
                <c:pt idx="33">
                  <c:v>3455.0250282642082</c:v>
                </c:pt>
                <c:pt idx="34">
                  <c:v>3637.3740858679566</c:v>
                </c:pt>
                <c:pt idx="35">
                  <c:v>3824.2967283987768</c:v>
                </c:pt>
                <c:pt idx="36">
                  <c:v>4015.9850888712849</c:v>
                </c:pt>
                <c:pt idx="37">
                  <c:v>4212.6404003642238</c:v>
                </c:pt>
                <c:pt idx="38">
                  <c:v>4414.470357260393</c:v>
                </c:pt>
                <c:pt idx="39">
                  <c:v>4621.6862131141697</c:v>
                </c:pt>
                <c:pt idx="40">
                  <c:v>4834.4995945628534</c:v>
                </c:pt>
                <c:pt idx="41">
                  <c:v>5053.1190106980848</c:v>
                </c:pt>
                <c:pt idx="42">
                  <c:v>5277.74603731357</c:v>
                </c:pt>
                <c:pt idx="43">
                  <c:v>5508.5711554453655</c:v>
                </c:pt>
                <c:pt idx="44">
                  <c:v>5635.7621485290992</c:v>
                </c:pt>
                <c:pt idx="45">
                  <c:v>5741.5255516094085</c:v>
                </c:pt>
                <c:pt idx="46">
                  <c:v>5847.2889546897177</c:v>
                </c:pt>
                <c:pt idx="47">
                  <c:v>5953.0523577700269</c:v>
                </c:pt>
                <c:pt idx="48">
                  <c:v>6058.8157608503361</c:v>
                </c:pt>
                <c:pt idx="49">
                  <c:v>6164.5791639306453</c:v>
                </c:pt>
                <c:pt idx="50">
                  <c:v>6270.3425670109546</c:v>
                </c:pt>
                <c:pt idx="51">
                  <c:v>6376.1059700912638</c:v>
                </c:pt>
                <c:pt idx="52">
                  <c:v>6481.869373171573</c:v>
                </c:pt>
                <c:pt idx="53">
                  <c:v>6587.6327762518822</c:v>
                </c:pt>
                <c:pt idx="54">
                  <c:v>6693.3961793321914</c:v>
                </c:pt>
                <c:pt idx="55">
                  <c:v>6799.1595824125006</c:v>
                </c:pt>
                <c:pt idx="56">
                  <c:v>6904.9229854928099</c:v>
                </c:pt>
                <c:pt idx="57">
                  <c:v>7010.6863885731191</c:v>
                </c:pt>
                <c:pt idx="58">
                  <c:v>7116.4497916534283</c:v>
                </c:pt>
                <c:pt idx="59">
                  <c:v>7222.2131947337375</c:v>
                </c:pt>
                <c:pt idx="60">
                  <c:v>7327.9765978140467</c:v>
                </c:pt>
                <c:pt idx="61">
                  <c:v>7433.7400008943559</c:v>
                </c:pt>
                <c:pt idx="62">
                  <c:v>7539.5034039746652</c:v>
                </c:pt>
                <c:pt idx="63">
                  <c:v>7645.2668070549744</c:v>
                </c:pt>
                <c:pt idx="64">
                  <c:v>7751.0302101352836</c:v>
                </c:pt>
                <c:pt idx="65">
                  <c:v>7856.7936132155928</c:v>
                </c:pt>
                <c:pt idx="66">
                  <c:v>7962.557016295902</c:v>
                </c:pt>
                <c:pt idx="67">
                  <c:v>8068.3204193762112</c:v>
                </c:pt>
                <c:pt idx="68">
                  <c:v>8174.0838224565205</c:v>
                </c:pt>
                <c:pt idx="69">
                  <c:v>8279.8472255368306</c:v>
                </c:pt>
                <c:pt idx="70">
                  <c:v>8385.6106286171398</c:v>
                </c:pt>
                <c:pt idx="71">
                  <c:v>8491.374031697449</c:v>
                </c:pt>
                <c:pt idx="72">
                  <c:v>8597.1374347777582</c:v>
                </c:pt>
                <c:pt idx="73">
                  <c:v>8702.9008378580675</c:v>
                </c:pt>
                <c:pt idx="74">
                  <c:v>8808.6642409383767</c:v>
                </c:pt>
                <c:pt idx="75">
                  <c:v>8914.4276440186859</c:v>
                </c:pt>
                <c:pt idx="76">
                  <c:v>9020.1910470989951</c:v>
                </c:pt>
                <c:pt idx="77">
                  <c:v>9125.9544501793043</c:v>
                </c:pt>
                <c:pt idx="78">
                  <c:v>9231.7178532596135</c:v>
                </c:pt>
                <c:pt idx="79">
                  <c:v>9337.4812563399228</c:v>
                </c:pt>
              </c:numCache>
            </c:numRef>
          </c:yVal>
          <c:smooth val="1"/>
          <c:extLst>
            <c:ext xmlns:c16="http://schemas.microsoft.com/office/drawing/2014/chart" uri="{C3380CC4-5D6E-409C-BE32-E72D297353CC}">
              <c16:uniqueId val="{00000000-7445-4DA6-B423-95137FF8B294}"/>
            </c:ext>
          </c:extLst>
        </c:ser>
        <c:ser>
          <c:idx val="1"/>
          <c:order val="1"/>
          <c:tx>
            <c:strRef>
              <c:f>Tree1!$I$5</c:f>
              <c:strCache>
                <c:ptCount val="1"/>
                <c:pt idx="0">
                  <c:v>New Cumulative CO2 Stored</c:v>
                </c:pt>
              </c:strCache>
            </c:strRef>
          </c:tx>
          <c:marker>
            <c:symbol val="none"/>
          </c:marker>
          <c:xVal>
            <c:numRef>
              <c:f>Tree1!$A$7:$A$86</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Tree1!$I$7:$I$86</c:f>
              <c:numCache>
                <c:formatCode>0.0</c:formatCode>
                <c:ptCount val="80"/>
                <c:pt idx="0" formatCode="General">
                  <c:v>2.311761646144852</c:v>
                </c:pt>
                <c:pt idx="1">
                  <c:v>3.0823488615264694</c:v>
                </c:pt>
                <c:pt idx="2">
                  <c:v>4.623523292289704</c:v>
                </c:pt>
                <c:pt idx="3">
                  <c:v>9.2470465845794081</c:v>
                </c:pt>
                <c:pt idx="4">
                  <c:v>30.49024901002565</c:v>
                </c:pt>
                <c:pt idx="5">
                  <c:v>62.813180815215105</c:v>
                </c:pt>
                <c:pt idx="6">
                  <c:v>105.37198943425378</c:v>
                </c:pt>
                <c:pt idx="7">
                  <c:v>157.39071243704146</c:v>
                </c:pt>
                <c:pt idx="8">
                  <c:v>218.15696849393419</c:v>
                </c:pt>
                <c:pt idx="9">
                  <c:v>287.01800248074585</c:v>
                </c:pt>
                <c:pt idx="10">
                  <c:v>363.37706414033119</c:v>
                </c:pt>
                <c:pt idx="11">
                  <c:v>446.69009971699063</c:v>
                </c:pt>
                <c:pt idx="12">
                  <c:v>536.46273597994059</c:v>
                </c:pt>
                <c:pt idx="13">
                  <c:v>632.24753605208821</c:v>
                </c:pt>
                <c:pt idx="14">
                  <c:v>733.64150646035432</c:v>
                </c:pt>
                <c:pt idx="15">
                  <c:v>840.28383482378513</c:v>
                </c:pt>
                <c:pt idx="16">
                  <c:v>951.85383759569413</c:v>
                </c:pt>
                <c:pt idx="17">
                  <c:v>1068.0690972760763</c:v>
                </c:pt>
                <c:pt idx="18">
                  <c:v>1188.6837685105359</c:v>
                </c:pt>
                <c:pt idx="19">
                  <c:v>1313.4870324919698</c:v>
                </c:pt>
                <c:pt idx="20">
                  <c:v>1442.3016790812467</c:v>
                </c:pt>
                <c:pt idx="21">
                  <c:v>1574.982796063126</c:v>
                </c:pt>
                <c:pt idx="22">
                  <c:v>1711.4165449536556</c:v>
                </c:pt>
                <c:pt idx="23">
                  <c:v>1851.5190027752915</c:v>
                </c:pt>
                <c:pt idx="24">
                  <c:v>1995.235049215981</c:v>
                </c:pt>
                <c:pt idx="25">
                  <c:v>2142.5372785884497</c:v>
                </c:pt>
                <c:pt idx="26">
                  <c:v>2293.4249160059353</c:v>
                </c:pt>
                <c:pt idx="27">
                  <c:v>2447.9227171906095</c:v>
                </c:pt>
                <c:pt idx="28">
                  <c:v>2606.0798313309288</c:v>
                </c:pt>
                <c:pt idx="29">
                  <c:v>2767.9686064041557</c:v>
                </c:pt>
                <c:pt idx="30">
                  <c:v>2933.6833163802944</c:v>
                </c:pt>
                <c:pt idx="31">
                  <c:v>3103.3387897236785</c:v>
                </c:pt>
                <c:pt idx="32">
                  <c:v>3277.0689186084555</c:v>
                </c:pt>
                <c:pt idx="33">
                  <c:v>3455.0250282642082</c:v>
                </c:pt>
                <c:pt idx="34">
                  <c:v>3637.3740858679566</c:v>
                </c:pt>
                <c:pt idx="35">
                  <c:v>3824.2967283987768</c:v>
                </c:pt>
                <c:pt idx="36">
                  <c:v>4015.9850888712849</c:v>
                </c:pt>
                <c:pt idx="37">
                  <c:v>4212.6404003642238</c:v>
                </c:pt>
                <c:pt idx="38">
                  <c:v>4414.470357260393</c:v>
                </c:pt>
                <c:pt idx="39">
                  <c:v>4621.6862131141697</c:v>
                </c:pt>
                <c:pt idx="40">
                  <c:v>4834.4995945628534</c:v>
                </c:pt>
                <c:pt idx="41">
                  <c:v>5053.1190106980848</c:v>
                </c:pt>
                <c:pt idx="42">
                  <c:v>5277.74603731357</c:v>
                </c:pt>
                <c:pt idx="43">
                  <c:v>5508.5711554453655</c:v>
                </c:pt>
                <c:pt idx="44">
                  <c:v>5739.396273577162</c:v>
                </c:pt>
                <c:pt idx="45">
                  <c:v>5969.396273577162</c:v>
                </c:pt>
                <c:pt idx="46">
                  <c:v>6199.396273577162</c:v>
                </c:pt>
                <c:pt idx="47">
                  <c:v>6424.4540079601466</c:v>
                </c:pt>
                <c:pt idx="48">
                  <c:v>6644.5694767261157</c:v>
                </c:pt>
                <c:pt idx="49">
                  <c:v>6859.7426798750703</c:v>
                </c:pt>
                <c:pt idx="50">
                  <c:v>7069.9736174070094</c:v>
                </c:pt>
                <c:pt idx="51">
                  <c:v>7275.2622893219332</c:v>
                </c:pt>
                <c:pt idx="52">
                  <c:v>7475.6086956198415</c:v>
                </c:pt>
                <c:pt idx="53">
                  <c:v>7671.0128363007352</c:v>
                </c:pt>
                <c:pt idx="54">
                  <c:v>7861.4747113646135</c:v>
                </c:pt>
                <c:pt idx="55">
                  <c:v>8046.9943208114764</c:v>
                </c:pt>
                <c:pt idx="56">
                  <c:v>8227.5716646413239</c:v>
                </c:pt>
                <c:pt idx="57">
                  <c:v>8403.2067428541559</c:v>
                </c:pt>
                <c:pt idx="58">
                  <c:v>8573.8995554499725</c:v>
                </c:pt>
                <c:pt idx="59">
                  <c:v>8739.6501024287736</c:v>
                </c:pt>
                <c:pt idx="60">
                  <c:v>8900.4583837905611</c:v>
                </c:pt>
                <c:pt idx="61">
                  <c:v>9056.3243995353332</c:v>
                </c:pt>
                <c:pt idx="62">
                  <c:v>9207.2481496630899</c:v>
                </c:pt>
                <c:pt idx="63">
                  <c:v>9353.2296341738311</c:v>
                </c:pt>
                <c:pt idx="64">
                  <c:v>9494.2688530675568</c:v>
                </c:pt>
                <c:pt idx="65">
                  <c:v>9630.3658063442672</c:v>
                </c:pt>
                <c:pt idx="66">
                  <c:v>9761.5204940039621</c:v>
                </c:pt>
                <c:pt idx="67">
                  <c:v>9887.7329160466415</c:v>
                </c:pt>
                <c:pt idx="68">
                  <c:v>10009.003072472306</c:v>
                </c:pt>
                <c:pt idx="69">
                  <c:v>10125.330963280956</c:v>
                </c:pt>
                <c:pt idx="70">
                  <c:v>10236.716588472591</c:v>
                </c:pt>
                <c:pt idx="71">
                  <c:v>10343.15994804721</c:v>
                </c:pt>
                <c:pt idx="72">
                  <c:v>10448.92335112752</c:v>
                </c:pt>
                <c:pt idx="73">
                  <c:v>10554.686754207829</c:v>
                </c:pt>
                <c:pt idx="74">
                  <c:v>10660.450157288138</c:v>
                </c:pt>
                <c:pt idx="75">
                  <c:v>10766.213560368447</c:v>
                </c:pt>
                <c:pt idx="76">
                  <c:v>10871.976963448757</c:v>
                </c:pt>
                <c:pt idx="77">
                  <c:v>10977.740366529066</c:v>
                </c:pt>
                <c:pt idx="78">
                  <c:v>11083.503769609375</c:v>
                </c:pt>
                <c:pt idx="79">
                  <c:v>11189.267172689684</c:v>
                </c:pt>
              </c:numCache>
            </c:numRef>
          </c:yVal>
          <c:smooth val="1"/>
          <c:extLst>
            <c:ext xmlns:c16="http://schemas.microsoft.com/office/drawing/2014/chart" uri="{C3380CC4-5D6E-409C-BE32-E72D297353CC}">
              <c16:uniqueId val="{00000001-085D-4392-835B-382926FDA356}"/>
            </c:ext>
          </c:extLst>
        </c:ser>
        <c:dLbls>
          <c:showLegendKey val="0"/>
          <c:showVal val="0"/>
          <c:showCatName val="0"/>
          <c:showSerName val="0"/>
          <c:showPercent val="0"/>
          <c:showBubbleSize val="0"/>
        </c:dLbls>
        <c:axId val="327121272"/>
        <c:axId val="327124552"/>
      </c:scatterChart>
      <c:valAx>
        <c:axId val="327121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200" b="1"/>
                </a:pPr>
                <a:r>
                  <a:rPr lang="fi-FI" sz="1200" b="1"/>
                  <a:t>Age</a:t>
                </a:r>
              </a:p>
              <a:p>
                <a:pPr>
                  <a:defRPr sz="1200" b="1"/>
                </a:pPr>
                <a:endParaRPr lang="fi-FI" sz="1200" b="1"/>
              </a:p>
            </c:rich>
          </c:tx>
          <c:layout>
            <c:manualLayout>
              <c:xMode val="edge"/>
              <c:yMode val="edge"/>
              <c:x val="0.41349647284126667"/>
              <c:y val="0.90875484992184741"/>
            </c:manualLayout>
          </c:layout>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i-FI"/>
          </a:p>
        </c:txPr>
        <c:crossAx val="327124552"/>
        <c:crosses val="autoZero"/>
        <c:crossBetween val="midCat"/>
      </c:valAx>
      <c:valAx>
        <c:axId val="327124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200" b="1">
                    <a:solidFill>
                      <a:sysClr val="windowText" lastClr="000000"/>
                    </a:solidFill>
                  </a:defRPr>
                </a:pPr>
                <a:r>
                  <a:rPr lang="fi-FI" sz="1200" b="1">
                    <a:solidFill>
                      <a:sysClr val="windowText" lastClr="000000"/>
                    </a:solidFill>
                  </a:rPr>
                  <a:t>CO2</a:t>
                </a:r>
                <a:r>
                  <a:rPr lang="fi-FI" sz="1200" b="1" baseline="0">
                    <a:solidFill>
                      <a:sysClr val="windowText" lastClr="000000"/>
                    </a:solidFill>
                  </a:rPr>
                  <a:t> </a:t>
                </a:r>
                <a:r>
                  <a:rPr lang="fi-FI" sz="1200" b="1">
                    <a:solidFill>
                      <a:sysClr val="windowText" lastClr="000000"/>
                    </a:solidFill>
                  </a:rPr>
                  <a:t> kg /age</a:t>
                </a:r>
              </a:p>
            </c:rich>
          </c:tx>
          <c:layout>
            <c:manualLayout>
              <c:xMode val="edge"/>
              <c:yMode val="edge"/>
              <c:x val="4.7455201935547899E-3"/>
              <c:y val="0.33732884025090082"/>
            </c:manualLayout>
          </c:layout>
          <c:overlay val="0"/>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i-FI"/>
          </a:p>
        </c:txPr>
        <c:crossAx val="327121272"/>
        <c:crosses val="autoZero"/>
        <c:crossBetween val="midCat"/>
      </c:valAx>
    </c:plotArea>
    <c:legend>
      <c:legendPos val="r"/>
      <c:layout>
        <c:manualLayout>
          <c:xMode val="edge"/>
          <c:yMode val="edge"/>
          <c:x val="0.78404449040316226"/>
          <c:y val="0.32272160905239838"/>
          <c:w val="0.20286788500557543"/>
          <c:h val="0.24343835860927712"/>
        </c:manualLayout>
      </c:layout>
      <c:overlay val="0"/>
      <c:txPr>
        <a:bodyPr/>
        <a:lstStyle/>
        <a:p>
          <a:pPr>
            <a:defRPr b="1">
              <a:solidFill>
                <a:sysClr val="windowText" lastClr="000000"/>
              </a:solidFill>
            </a:defRPr>
          </a:pPr>
          <a:endParaRPr lang="fi-FI"/>
        </a:p>
      </c:txPr>
    </c:legend>
    <c:plotVisOnly val="1"/>
    <c:dispBlanksAs val="gap"/>
    <c:showDLblsOverMax val="0"/>
    <c:extLst/>
  </c:chart>
  <c:txPr>
    <a:bodyPr/>
    <a:lstStyle/>
    <a:p>
      <a:pPr>
        <a:defRPr/>
      </a:pPr>
      <a:endParaRPr lang="fi-F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sz="1400" b="1">
                <a:solidFill>
                  <a:sysClr val="windowText" lastClr="000000"/>
                </a:solidFill>
              </a:rPr>
              <a:t>CO2</a:t>
            </a:r>
            <a:r>
              <a:rPr lang="en-US" sz="1400" b="1" baseline="0">
                <a:solidFill>
                  <a:sysClr val="windowText" lastClr="000000"/>
                </a:solidFill>
              </a:rPr>
              <a:t> sequestration vs Age</a:t>
            </a:r>
          </a:p>
        </c:rich>
      </c:tx>
      <c:overlay val="0"/>
      <c:spPr>
        <a:noFill/>
        <a:ln>
          <a:noFill/>
        </a:ln>
        <a:effectLst/>
      </c:spPr>
    </c:title>
    <c:autoTitleDeleted val="0"/>
    <c:plotArea>
      <c:layout/>
      <c:scatterChart>
        <c:scatterStyle val="smoothMarker"/>
        <c:varyColors val="0"/>
        <c:ser>
          <c:idx val="0"/>
          <c:order val="0"/>
          <c:tx>
            <c:strRef>
              <c:f>Tree2!$F$5</c:f>
              <c:strCache>
                <c:ptCount val="1"/>
                <c:pt idx="0">
                  <c:v>CO2 Sequestration Rate</c:v>
                </c:pt>
              </c:strCache>
            </c:strRef>
          </c:tx>
          <c:spPr>
            <a:ln w="19050" cap="rnd">
              <a:solidFill>
                <a:schemeClr val="accent1"/>
              </a:solidFill>
              <a:round/>
            </a:ln>
            <a:effectLst/>
          </c:spPr>
          <c:marker>
            <c:symbol val="none"/>
          </c:marker>
          <c:xVal>
            <c:numRef>
              <c:f>Tree2!$A$7:$A$98</c:f>
              <c:numCache>
                <c:formatCode>General</c:formatCode>
                <c:ptCount val="9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Tree2!$F$7:$F$98</c:f>
              <c:numCache>
                <c:formatCode>General</c:formatCode>
                <c:ptCount val="92"/>
                <c:pt idx="0">
                  <c:v>1.66872583939085</c:v>
                </c:pt>
                <c:pt idx="1">
                  <c:v>2.2249677858544699</c:v>
                </c:pt>
                <c:pt idx="2">
                  <c:v>3.3374516787816999</c:v>
                </c:pt>
                <c:pt idx="3">
                  <c:v>6.6749033575634087</c:v>
                </c:pt>
                <c:pt idx="4">
                  <c:v>13.214024395094683</c:v>
                </c:pt>
                <c:pt idx="5">
                  <c:v>19.31009180368352</c:v>
                </c:pt>
                <c:pt idx="6">
                  <c:v>25.032019931289412</c:v>
                </c:pt>
                <c:pt idx="7">
                  <c:v>30.433053389713095</c:v>
                </c:pt>
                <c:pt idx="8">
                  <c:v>35.555255054999947</c:v>
                </c:pt>
                <c:pt idx="9">
                  <c:v>40.432491318143079</c:v>
                </c:pt>
                <c:pt idx="10">
                  <c:v>45.092477186448903</c:v>
                </c:pt>
                <c:pt idx="11">
                  <c:v>49.558215299338812</c:v>
                </c:pt>
                <c:pt idx="12">
                  <c:v>53.849032879324724</c:v>
                </c:pt>
                <c:pt idx="13">
                  <c:v>57.981344894279331</c:v>
                </c:pt>
                <c:pt idx="14">
                  <c:v>61.96922633729001</c:v>
                </c:pt>
                <c:pt idx="15">
                  <c:v>65.824848582755777</c:v>
                </c:pt>
                <c:pt idx="16">
                  <c:v>69.558817100043981</c:v>
                </c:pt>
                <c:pt idx="17">
                  <c:v>73.180436347981853</c:v>
                </c:pt>
                <c:pt idx="18">
                  <c:v>76.697920078406312</c:v>
                </c:pt>
                <c:pt idx="19">
                  <c:v>80.118560138541866</c:v>
                </c:pt>
                <c:pt idx="20">
                  <c:v>83.44886332001559</c:v>
                </c:pt>
                <c:pt idx="21">
                  <c:v>86.694663318799215</c:v>
                </c:pt>
                <c:pt idx="22">
                  <c:v>89.861213101536848</c:v>
                </c:pt>
                <c:pt idx="23">
                  <c:v>92.953261695676915</c:v>
                </c:pt>
                <c:pt idx="24">
                  <c:v>95.9751184851077</c:v>
                </c:pt>
                <c:pt idx="25">
                  <c:v>98.930707399466158</c:v>
                </c:pt>
                <c:pt idx="26">
                  <c:v>101.82361286543643</c:v>
                </c:pt>
                <c:pt idx="27">
                  <c:v>104.65711899456078</c:v>
                </c:pt>
                <c:pt idx="28">
                  <c:v>107.43424318084699</c:v>
                </c:pt>
                <c:pt idx="29">
                  <c:v>110.15776504893513</c:v>
                </c:pt>
                <c:pt idx="30">
                  <c:v>112.83025151253396</c:v>
                </c:pt>
                <c:pt idx="31">
                  <c:v>115.45407856077397</c:v>
                </c:pt>
                <c:pt idx="32">
                  <c:v>118.0314502777794</c:v>
                </c:pt>
                <c:pt idx="33">
                  <c:v>120.56441551131492</c:v>
                </c:pt>
                <c:pt idx="34">
                  <c:v>123.05488253466221</c:v>
                </c:pt>
                <c:pt idx="35">
                  <c:v>125.5046319880495</c:v>
                </c:pt>
                <c:pt idx="36">
                  <c:v>127.9153283390345</c:v>
                </c:pt>
                <c:pt idx="37">
                  <c:v>130.28853006295145</c:v>
                </c:pt>
                <c:pt idx="38">
                  <c:v>132.62569871313161</c:v>
                </c:pt>
                <c:pt idx="39">
                  <c:v>134.92820702471482</c:v>
                </c:pt>
                <c:pt idx="40">
                  <c:v>137.19734617441964</c:v>
                </c:pt>
                <c:pt idx="41">
                  <c:v>139.43433230079955</c:v>
                </c:pt>
                <c:pt idx="42">
                  <c:v>141.64031237459142</c:v>
                </c:pt>
                <c:pt idx="43">
                  <c:v>143.81636949624777</c:v>
                </c:pt>
                <c:pt idx="44">
                  <c:v>145.96352768719561</c:v>
                </c:pt>
                <c:pt idx="45">
                  <c:v>148.08275623245061</c:v>
                </c:pt>
                <c:pt idx="46">
                  <c:v>150.17497362463791</c:v>
                </c:pt>
                <c:pt idx="47">
                  <c:v>152.24105115302444</c:v>
                </c:pt>
                <c:pt idx="48">
                  <c:v>154.28181617566355</c:v>
                </c:pt>
                <c:pt idx="49">
                  <c:v>156.29805510801884</c:v>
                </c:pt>
                <c:pt idx="50">
                  <c:v>158.29051615737762</c:v>
                </c:pt>
                <c:pt idx="51">
                  <c:v>160.25991182886213</c:v>
                </c:pt>
                <c:pt idx="52">
                  <c:v>162.20692122581329</c:v>
                </c:pt>
                <c:pt idx="53">
                  <c:v>164.13219216469355</c:v>
                </c:pt>
                <c:pt idx="54" formatCode="0.00">
                  <c:v>164.132192164694</c:v>
                </c:pt>
                <c:pt idx="55" formatCode="0.00">
                  <c:v>164.132192164694</c:v>
                </c:pt>
                <c:pt idx="56" formatCode="0.00">
                  <c:v>116.58126234773317</c:v>
                </c:pt>
                <c:pt idx="57" formatCode="0.00">
                  <c:v>116.58126234773317</c:v>
                </c:pt>
                <c:pt idx="58" formatCode="0.00">
                  <c:v>116.58126234773317</c:v>
                </c:pt>
                <c:pt idx="59" formatCode="0.00">
                  <c:v>116.58126234773317</c:v>
                </c:pt>
                <c:pt idx="60" formatCode="0.00">
                  <c:v>116.58126234773317</c:v>
                </c:pt>
                <c:pt idx="61" formatCode="0.00">
                  <c:v>116.58126234773317</c:v>
                </c:pt>
                <c:pt idx="62" formatCode="0.00">
                  <c:v>116.58126234773317</c:v>
                </c:pt>
                <c:pt idx="63" formatCode="0.00">
                  <c:v>116.58126234773317</c:v>
                </c:pt>
                <c:pt idx="64" formatCode="0.00">
                  <c:v>116.58126234773317</c:v>
                </c:pt>
                <c:pt idx="65" formatCode="0.00">
                  <c:v>116.58126234773317</c:v>
                </c:pt>
                <c:pt idx="66" formatCode="0.00">
                  <c:v>116.58126234773317</c:v>
                </c:pt>
                <c:pt idx="67" formatCode="0.00">
                  <c:v>116.58126234773317</c:v>
                </c:pt>
                <c:pt idx="68" formatCode="0.00">
                  <c:v>116.58126234773317</c:v>
                </c:pt>
                <c:pt idx="69" formatCode="0.00">
                  <c:v>116.58126234773317</c:v>
                </c:pt>
                <c:pt idx="70" formatCode="0.00">
                  <c:v>116.58126234773317</c:v>
                </c:pt>
                <c:pt idx="71" formatCode="0.00">
                  <c:v>116.58126234773317</c:v>
                </c:pt>
                <c:pt idx="72" formatCode="0.00">
                  <c:v>116.58126234773317</c:v>
                </c:pt>
                <c:pt idx="73" formatCode="0.00">
                  <c:v>116.58126234773317</c:v>
                </c:pt>
                <c:pt idx="74" formatCode="0.00">
                  <c:v>116.58126234773317</c:v>
                </c:pt>
                <c:pt idx="75" formatCode="0.00">
                  <c:v>116.58126234773317</c:v>
                </c:pt>
                <c:pt idx="76" formatCode="0.00">
                  <c:v>116.58126234773317</c:v>
                </c:pt>
                <c:pt idx="77" formatCode="0.00">
                  <c:v>116.58126234773317</c:v>
                </c:pt>
                <c:pt idx="78" formatCode="0.00">
                  <c:v>116.58126234773317</c:v>
                </c:pt>
                <c:pt idx="79" formatCode="0.00">
                  <c:v>116.58126234773317</c:v>
                </c:pt>
              </c:numCache>
            </c:numRef>
          </c:yVal>
          <c:smooth val="1"/>
          <c:extLst>
            <c:ext xmlns:c16="http://schemas.microsoft.com/office/drawing/2014/chart" uri="{C3380CC4-5D6E-409C-BE32-E72D297353CC}">
              <c16:uniqueId val="{00000000-BD6E-42E6-94AA-A1AE078A5464}"/>
            </c:ext>
          </c:extLst>
        </c:ser>
        <c:ser>
          <c:idx val="1"/>
          <c:order val="1"/>
          <c:tx>
            <c:strRef>
              <c:f>Tree2!$G$5</c:f>
              <c:strCache>
                <c:ptCount val="1"/>
                <c:pt idx="0">
                  <c:v>New CO2 Sequstration Rate</c:v>
                </c:pt>
              </c:strCache>
            </c:strRef>
          </c:tx>
          <c:marker>
            <c:symbol val="none"/>
          </c:marker>
          <c:xVal>
            <c:numRef>
              <c:f>Tree2!$A$7:$A$86</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Tree2!$G$7:$G$86</c:f>
              <c:numCache>
                <c:formatCode>0.00</c:formatCode>
                <c:ptCount val="80"/>
                <c:pt idx="0">
                  <c:v>1.66872583939085</c:v>
                </c:pt>
                <c:pt idx="1">
                  <c:v>0.55624194646361946</c:v>
                </c:pt>
                <c:pt idx="2">
                  <c:v>1.1124838929272305</c:v>
                </c:pt>
                <c:pt idx="3">
                  <c:v>3.3374516787817097</c:v>
                </c:pt>
                <c:pt idx="4">
                  <c:v>13.214024395094683</c:v>
                </c:pt>
                <c:pt idx="5">
                  <c:v>19.31009180368352</c:v>
                </c:pt>
                <c:pt idx="6">
                  <c:v>25.032019931289412</c:v>
                </c:pt>
                <c:pt idx="7">
                  <c:v>30.433053389713095</c:v>
                </c:pt>
                <c:pt idx="8">
                  <c:v>35.555255054999961</c:v>
                </c:pt>
                <c:pt idx="9">
                  <c:v>40.432491318143093</c:v>
                </c:pt>
                <c:pt idx="10">
                  <c:v>45.092477186448889</c:v>
                </c:pt>
                <c:pt idx="11">
                  <c:v>49.558215299338826</c:v>
                </c:pt>
                <c:pt idx="12">
                  <c:v>53.849032879324739</c:v>
                </c:pt>
                <c:pt idx="13">
                  <c:v>57.981344894279346</c:v>
                </c:pt>
                <c:pt idx="14">
                  <c:v>61.969226337290024</c:v>
                </c:pt>
                <c:pt idx="15">
                  <c:v>65.824848582755806</c:v>
                </c:pt>
                <c:pt idx="16">
                  <c:v>69.558817100043939</c:v>
                </c:pt>
                <c:pt idx="17">
                  <c:v>73.180436347981868</c:v>
                </c:pt>
                <c:pt idx="18">
                  <c:v>76.697920078406355</c:v>
                </c:pt>
                <c:pt idx="19">
                  <c:v>80.118560138541852</c:v>
                </c:pt>
                <c:pt idx="20">
                  <c:v>83.448863320015562</c:v>
                </c:pt>
                <c:pt idx="21">
                  <c:v>86.694663318799257</c:v>
                </c:pt>
                <c:pt idx="22">
                  <c:v>89.861213101536919</c:v>
                </c:pt>
                <c:pt idx="23">
                  <c:v>92.953261695676929</c:v>
                </c:pt>
                <c:pt idx="24">
                  <c:v>95.975118485107714</c:v>
                </c:pt>
                <c:pt idx="25">
                  <c:v>98.930707399466201</c:v>
                </c:pt>
                <c:pt idx="26">
                  <c:v>101.82361286543642</c:v>
                </c:pt>
                <c:pt idx="27">
                  <c:v>104.65711899456073</c:v>
                </c:pt>
                <c:pt idx="28">
                  <c:v>107.43424318084703</c:v>
                </c:pt>
                <c:pt idx="29">
                  <c:v>110.15776504893506</c:v>
                </c:pt>
                <c:pt idx="30">
                  <c:v>112.83025151253401</c:v>
                </c:pt>
                <c:pt idx="31">
                  <c:v>115.45407856077395</c:v>
                </c:pt>
                <c:pt idx="32">
                  <c:v>118.03145027777919</c:v>
                </c:pt>
                <c:pt idx="33">
                  <c:v>120.56441551131502</c:v>
                </c:pt>
                <c:pt idx="34">
                  <c:v>123.05488253466228</c:v>
                </c:pt>
                <c:pt idx="35">
                  <c:v>125.50463198804937</c:v>
                </c:pt>
                <c:pt idx="36">
                  <c:v>127.91532833903466</c:v>
                </c:pt>
                <c:pt idx="37">
                  <c:v>130.28853006295139</c:v>
                </c:pt>
                <c:pt idx="38">
                  <c:v>132.62569871313144</c:v>
                </c:pt>
                <c:pt idx="39">
                  <c:v>134.92820702471499</c:v>
                </c:pt>
                <c:pt idx="40">
                  <c:v>137.19734617441964</c:v>
                </c:pt>
                <c:pt idx="41">
                  <c:v>139.43433230079972</c:v>
                </c:pt>
                <c:pt idx="42">
                  <c:v>141.6403123745913</c:v>
                </c:pt>
                <c:pt idx="43">
                  <c:v>143.81636949624772</c:v>
                </c:pt>
                <c:pt idx="44">
                  <c:v>145.96352768719544</c:v>
                </c:pt>
                <c:pt idx="45">
                  <c:v>148.08275623245072</c:v>
                </c:pt>
                <c:pt idx="46">
                  <c:v>150.17497362463791</c:v>
                </c:pt>
                <c:pt idx="47">
                  <c:v>152.24105115302427</c:v>
                </c:pt>
                <c:pt idx="48">
                  <c:v>154.28181617566315</c:v>
                </c:pt>
                <c:pt idx="49">
                  <c:v>156.29805510801907</c:v>
                </c:pt>
                <c:pt idx="50">
                  <c:v>158.29051615737808</c:v>
                </c:pt>
                <c:pt idx="51">
                  <c:v>160.25991182886173</c:v>
                </c:pt>
                <c:pt idx="52">
                  <c:v>162.20692122581295</c:v>
                </c:pt>
                <c:pt idx="53">
                  <c:v>164.13219216469315</c:v>
                </c:pt>
                <c:pt idx="54">
                  <c:v>161.28141813294727</c:v>
                </c:pt>
                <c:pt idx="55">
                  <c:v>158.43064410120138</c:v>
                </c:pt>
                <c:pt idx="56">
                  <c:v>155.5798700694555</c:v>
                </c:pt>
                <c:pt idx="57">
                  <c:v>152.72909603770961</c:v>
                </c:pt>
                <c:pt idx="58">
                  <c:v>149.87832200596372</c:v>
                </c:pt>
                <c:pt idx="59">
                  <c:v>147.02754797421784</c:v>
                </c:pt>
                <c:pt idx="60">
                  <c:v>144.17677394247195</c:v>
                </c:pt>
                <c:pt idx="61">
                  <c:v>141.32599991072607</c:v>
                </c:pt>
                <c:pt idx="62">
                  <c:v>138.47522587898018</c:v>
                </c:pt>
                <c:pt idx="63">
                  <c:v>135.6244518472343</c:v>
                </c:pt>
                <c:pt idx="64">
                  <c:v>132.77367781548841</c:v>
                </c:pt>
                <c:pt idx="65">
                  <c:v>129.92290378374253</c:v>
                </c:pt>
                <c:pt idx="66">
                  <c:v>127.07212975199666</c:v>
                </c:pt>
                <c:pt idx="67">
                  <c:v>124.22135572025078</c:v>
                </c:pt>
                <c:pt idx="68">
                  <c:v>121.37058168850491</c:v>
                </c:pt>
                <c:pt idx="69">
                  <c:v>118.51980765675904</c:v>
                </c:pt>
                <c:pt idx="70">
                  <c:v>116.58126234773317</c:v>
                </c:pt>
                <c:pt idx="71">
                  <c:v>116.58126234773317</c:v>
                </c:pt>
                <c:pt idx="72">
                  <c:v>116.58126234773317</c:v>
                </c:pt>
                <c:pt idx="73">
                  <c:v>116.58126234773317</c:v>
                </c:pt>
                <c:pt idx="74">
                  <c:v>116.58126234773317</c:v>
                </c:pt>
                <c:pt idx="75">
                  <c:v>116.58126234773317</c:v>
                </c:pt>
                <c:pt idx="76">
                  <c:v>116.58126234773317</c:v>
                </c:pt>
                <c:pt idx="77">
                  <c:v>116.58126234773317</c:v>
                </c:pt>
                <c:pt idx="78">
                  <c:v>116.58126234773317</c:v>
                </c:pt>
                <c:pt idx="79">
                  <c:v>116.58126234773317</c:v>
                </c:pt>
              </c:numCache>
            </c:numRef>
          </c:yVal>
          <c:smooth val="1"/>
          <c:extLst>
            <c:ext xmlns:c16="http://schemas.microsoft.com/office/drawing/2014/chart" uri="{C3380CC4-5D6E-409C-BE32-E72D297353CC}">
              <c16:uniqueId val="{00000001-7D2F-4148-9D1C-D98E26C51852}"/>
            </c:ext>
          </c:extLst>
        </c:ser>
        <c:dLbls>
          <c:showLegendKey val="0"/>
          <c:showVal val="0"/>
          <c:showCatName val="0"/>
          <c:showSerName val="0"/>
          <c:showPercent val="0"/>
          <c:showBubbleSize val="0"/>
        </c:dLbls>
        <c:axId val="327121272"/>
        <c:axId val="327124552"/>
      </c:scatterChart>
      <c:valAx>
        <c:axId val="327121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200"/>
                </a:pPr>
                <a:r>
                  <a:rPr lang="fi-FI" sz="1200"/>
                  <a:t>Years</a:t>
                </a:r>
              </a:p>
              <a:p>
                <a:pPr>
                  <a:defRPr sz="1200"/>
                </a:pPr>
                <a:endParaRPr lang="fi-FI" sz="1200"/>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i-FI"/>
          </a:p>
        </c:txPr>
        <c:crossAx val="327124552"/>
        <c:crosses val="autoZero"/>
        <c:crossBetween val="midCat"/>
      </c:valAx>
      <c:valAx>
        <c:axId val="327124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100">
                    <a:solidFill>
                      <a:sysClr val="windowText" lastClr="000000"/>
                    </a:solidFill>
                  </a:defRPr>
                </a:pPr>
                <a:r>
                  <a:rPr lang="fi-FI" sz="1100">
                    <a:solidFill>
                      <a:sysClr val="windowText" lastClr="000000"/>
                    </a:solidFill>
                  </a:rPr>
                  <a:t>C02</a:t>
                </a:r>
                <a:r>
                  <a:rPr lang="fi-FI" sz="1100" baseline="0">
                    <a:solidFill>
                      <a:sysClr val="windowText" lastClr="000000"/>
                    </a:solidFill>
                  </a:rPr>
                  <a:t> </a:t>
                </a:r>
                <a:r>
                  <a:rPr lang="fi-FI" sz="1100">
                    <a:solidFill>
                      <a:sysClr val="windowText" lastClr="000000"/>
                    </a:solidFill>
                  </a:rPr>
                  <a:t> kg / year</a:t>
                </a:r>
              </a:p>
            </c:rich>
          </c:tx>
          <c:overlay val="0"/>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i-FI"/>
          </a:p>
        </c:txPr>
        <c:crossAx val="327121272"/>
        <c:crosses val="autoZero"/>
        <c:crossBetween val="midCat"/>
      </c:valAx>
    </c:plotArea>
    <c:legend>
      <c:legendPos val="r"/>
      <c:layout>
        <c:manualLayout>
          <c:xMode val="edge"/>
          <c:yMode val="edge"/>
          <c:x val="0.80177710001842406"/>
          <c:y val="0.43135551006606482"/>
          <c:w val="0.15977456908892593"/>
          <c:h val="0.2216624914101217"/>
        </c:manualLayout>
      </c:layout>
      <c:overlay val="0"/>
      <c:txPr>
        <a:bodyPr/>
        <a:lstStyle/>
        <a:p>
          <a:pPr>
            <a:defRPr sz="1200" b="1"/>
          </a:pPr>
          <a:endParaRPr lang="fi-FI"/>
        </a:p>
      </c:txPr>
    </c:legend>
    <c:plotVisOnly val="1"/>
    <c:dispBlanksAs val="gap"/>
    <c:showDLblsOverMax val="0"/>
    <c:extLst/>
  </c:chart>
  <c:txPr>
    <a:bodyPr/>
    <a:lstStyle/>
    <a:p>
      <a:pPr>
        <a:defRPr/>
      </a:pPr>
      <a:endParaRPr lang="fi-FI"/>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solidFill>
                  <a:sysClr val="windowText" lastClr="000000"/>
                </a:solidFill>
              </a:rPr>
              <a:t>Cumulative CO2</a:t>
            </a:r>
            <a:r>
              <a:rPr lang="en-US" b="1" baseline="0">
                <a:solidFill>
                  <a:sysClr val="windowText" lastClr="000000"/>
                </a:solidFill>
              </a:rPr>
              <a:t> </a:t>
            </a:r>
            <a:r>
              <a:rPr lang="en-US" b="1">
                <a:solidFill>
                  <a:sysClr val="windowText" lastClr="000000"/>
                </a:solidFill>
              </a:rPr>
              <a:t>Stored - Paperbark</a:t>
            </a:r>
            <a:r>
              <a:rPr lang="en-US" b="1" baseline="0">
                <a:solidFill>
                  <a:sysClr val="windowText" lastClr="000000"/>
                </a:solidFill>
              </a:rPr>
              <a:t> Tree</a:t>
            </a:r>
          </a:p>
        </c:rich>
      </c:tx>
      <c:layout>
        <c:manualLayout>
          <c:xMode val="edge"/>
          <c:yMode val="edge"/>
          <c:x val="0.31348075231713074"/>
          <c:y val="3.5211267605633804E-2"/>
        </c:manualLayout>
      </c:layout>
      <c:overlay val="0"/>
      <c:spPr>
        <a:noFill/>
        <a:ln>
          <a:noFill/>
        </a:ln>
        <a:effectLst/>
      </c:spPr>
    </c:title>
    <c:autoTitleDeleted val="0"/>
    <c:plotArea>
      <c:layout>
        <c:manualLayout>
          <c:layoutTarget val="inner"/>
          <c:xMode val="edge"/>
          <c:yMode val="edge"/>
          <c:x val="0.10821022378861794"/>
          <c:y val="0.11047617678250837"/>
          <c:w val="0.68668707683205854"/>
          <c:h val="0.70500352269972166"/>
        </c:manualLayout>
      </c:layout>
      <c:scatterChart>
        <c:scatterStyle val="smoothMarker"/>
        <c:varyColors val="0"/>
        <c:ser>
          <c:idx val="0"/>
          <c:order val="0"/>
          <c:tx>
            <c:strRef>
              <c:f>Tree2!$I$5</c:f>
              <c:strCache>
                <c:ptCount val="1"/>
                <c:pt idx="0">
                  <c:v>Cumulative CO2 Stored</c:v>
                </c:pt>
              </c:strCache>
            </c:strRef>
          </c:tx>
          <c:marker>
            <c:symbol val="none"/>
          </c:marker>
          <c:xVal>
            <c:numRef>
              <c:f>Tree2!$A$7:$A$106</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Tree2!$I$7:$I$106</c:f>
              <c:numCache>
                <c:formatCode>0.00</c:formatCode>
                <c:ptCount val="100"/>
                <c:pt idx="0">
                  <c:v>1.6687258393908522</c:v>
                </c:pt>
                <c:pt idx="1">
                  <c:v>2.2249677858544694</c:v>
                </c:pt>
                <c:pt idx="2">
                  <c:v>3.3374516787817043</c:v>
                </c:pt>
                <c:pt idx="3">
                  <c:v>6.6749033575634087</c:v>
                </c:pt>
                <c:pt idx="4">
                  <c:v>19.888927752658091</c:v>
                </c:pt>
                <c:pt idx="5">
                  <c:v>39.199019556341611</c:v>
                </c:pt>
                <c:pt idx="6">
                  <c:v>64.231039487631023</c:v>
                </c:pt>
                <c:pt idx="7">
                  <c:v>94.664092877344117</c:v>
                </c:pt>
                <c:pt idx="8">
                  <c:v>130.21934793234408</c:v>
                </c:pt>
                <c:pt idx="9">
                  <c:v>170.65183925048717</c:v>
                </c:pt>
                <c:pt idx="10">
                  <c:v>215.74431643693606</c:v>
                </c:pt>
                <c:pt idx="11">
                  <c:v>265.30253173627489</c:v>
                </c:pt>
                <c:pt idx="12">
                  <c:v>319.15156461559963</c:v>
                </c:pt>
                <c:pt idx="13">
                  <c:v>377.13290950987897</c:v>
                </c:pt>
                <c:pt idx="14">
                  <c:v>439.102135847169</c:v>
                </c:pt>
                <c:pt idx="15">
                  <c:v>504.9269844299248</c:v>
                </c:pt>
                <c:pt idx="16">
                  <c:v>574.48580152996874</c:v>
                </c:pt>
                <c:pt idx="17">
                  <c:v>647.66623787795061</c:v>
                </c:pt>
                <c:pt idx="18">
                  <c:v>724.36415795635696</c:v>
                </c:pt>
                <c:pt idx="19">
                  <c:v>804.48271809489881</c:v>
                </c:pt>
                <c:pt idx="20">
                  <c:v>887.93158141491438</c:v>
                </c:pt>
                <c:pt idx="21">
                  <c:v>974.62624473371363</c:v>
                </c:pt>
                <c:pt idx="22">
                  <c:v>1064.4874578352506</c:v>
                </c:pt>
                <c:pt idx="23">
                  <c:v>1157.4407195309275</c:v>
                </c:pt>
                <c:pt idx="24">
                  <c:v>1253.4158380160352</c:v>
                </c:pt>
                <c:pt idx="25">
                  <c:v>1352.3465454155014</c:v>
                </c:pt>
                <c:pt idx="26">
                  <c:v>1454.1701582809378</c:v>
                </c:pt>
                <c:pt idx="27">
                  <c:v>1558.8272772754985</c:v>
                </c:pt>
                <c:pt idx="28">
                  <c:v>1666.2615204563456</c:v>
                </c:pt>
                <c:pt idx="29">
                  <c:v>1776.4192855052806</c:v>
                </c:pt>
                <c:pt idx="30">
                  <c:v>1889.2495370178146</c:v>
                </c:pt>
                <c:pt idx="31">
                  <c:v>2004.7036155785886</c:v>
                </c:pt>
                <c:pt idx="32">
                  <c:v>2122.7350658563678</c:v>
                </c:pt>
                <c:pt idx="33">
                  <c:v>2243.2994813676828</c:v>
                </c:pt>
                <c:pt idx="34">
                  <c:v>2366.3543639023451</c:v>
                </c:pt>
                <c:pt idx="35">
                  <c:v>2491.8589958903945</c:v>
                </c:pt>
                <c:pt idx="36">
                  <c:v>2619.7743242294291</c:v>
                </c:pt>
                <c:pt idx="37">
                  <c:v>2750.0628542923805</c:v>
                </c:pt>
                <c:pt idx="38">
                  <c:v>2882.6885530055119</c:v>
                </c:pt>
                <c:pt idx="39">
                  <c:v>3017.6167600302269</c:v>
                </c:pt>
                <c:pt idx="40">
                  <c:v>3154.8141062046466</c:v>
                </c:pt>
                <c:pt idx="41">
                  <c:v>3294.2484385054463</c:v>
                </c:pt>
                <c:pt idx="42">
                  <c:v>3435.8887508800376</c:v>
                </c:pt>
                <c:pt idx="43">
                  <c:v>3579.7051203762853</c:v>
                </c:pt>
                <c:pt idx="44">
                  <c:v>3725.6686480634808</c:v>
                </c:pt>
                <c:pt idx="45">
                  <c:v>3873.7514042959315</c:v>
                </c:pt>
                <c:pt idx="46">
                  <c:v>4023.9263779205694</c:v>
                </c:pt>
                <c:pt idx="47">
                  <c:v>4176.1674290735937</c:v>
                </c:pt>
                <c:pt idx="48">
                  <c:v>4330.4492452492568</c:v>
                </c:pt>
                <c:pt idx="49">
                  <c:v>4486.7473003572759</c:v>
                </c:pt>
                <c:pt idx="50">
                  <c:v>4645.037816514654</c:v>
                </c:pt>
                <c:pt idx="51">
                  <c:v>4805.2977283435157</c:v>
                </c:pt>
                <c:pt idx="52">
                  <c:v>4967.5046495693286</c:v>
                </c:pt>
                <c:pt idx="53">
                  <c:v>5131.6368417340218</c:v>
                </c:pt>
                <c:pt idx="54">
                  <c:v>5248.218104081755</c:v>
                </c:pt>
                <c:pt idx="55">
                  <c:v>5364.7993664294881</c:v>
                </c:pt>
                <c:pt idx="56">
                  <c:v>5481.3806287772213</c:v>
                </c:pt>
                <c:pt idx="57">
                  <c:v>5597.9618911249545</c:v>
                </c:pt>
                <c:pt idx="58">
                  <c:v>5714.5431534726877</c:v>
                </c:pt>
                <c:pt idx="59">
                  <c:v>5831.1244158204208</c:v>
                </c:pt>
                <c:pt idx="60">
                  <c:v>5947.705678168154</c:v>
                </c:pt>
                <c:pt idx="61">
                  <c:v>6064.2869405158872</c:v>
                </c:pt>
                <c:pt idx="62">
                  <c:v>6180.8682028636204</c:v>
                </c:pt>
                <c:pt idx="63">
                  <c:v>6297.4494652113535</c:v>
                </c:pt>
                <c:pt idx="64">
                  <c:v>6414.0307275590867</c:v>
                </c:pt>
                <c:pt idx="65">
                  <c:v>6530.6119899068199</c:v>
                </c:pt>
                <c:pt idx="66">
                  <c:v>6647.193252254553</c:v>
                </c:pt>
                <c:pt idx="67">
                  <c:v>6763.7745146022862</c:v>
                </c:pt>
                <c:pt idx="68">
                  <c:v>6880.3557769500194</c:v>
                </c:pt>
                <c:pt idx="69">
                  <c:v>6996.9370392977526</c:v>
                </c:pt>
                <c:pt idx="70">
                  <c:v>7113.5183016454857</c:v>
                </c:pt>
                <c:pt idx="71">
                  <c:v>7230.0995639932189</c:v>
                </c:pt>
                <c:pt idx="72">
                  <c:v>7346.6808263409521</c:v>
                </c:pt>
                <c:pt idx="73">
                  <c:v>7463.2620886886853</c:v>
                </c:pt>
                <c:pt idx="74">
                  <c:v>7579.8433510364184</c:v>
                </c:pt>
                <c:pt idx="75">
                  <c:v>7696.4246133841516</c:v>
                </c:pt>
                <c:pt idx="76">
                  <c:v>7813.0058757318848</c:v>
                </c:pt>
                <c:pt idx="77">
                  <c:v>7929.5871380796179</c:v>
                </c:pt>
                <c:pt idx="78">
                  <c:v>8046.1684004273511</c:v>
                </c:pt>
                <c:pt idx="79">
                  <c:v>8162.7496627750843</c:v>
                </c:pt>
              </c:numCache>
            </c:numRef>
          </c:yVal>
          <c:smooth val="1"/>
          <c:extLst>
            <c:ext xmlns:c16="http://schemas.microsoft.com/office/drawing/2014/chart" uri="{C3380CC4-5D6E-409C-BE32-E72D297353CC}">
              <c16:uniqueId val="{00000000-6417-418C-81D4-97F460B759A7}"/>
            </c:ext>
          </c:extLst>
        </c:ser>
        <c:ser>
          <c:idx val="1"/>
          <c:order val="1"/>
          <c:tx>
            <c:strRef>
              <c:f>Tree2!$H$5</c:f>
              <c:strCache>
                <c:ptCount val="1"/>
                <c:pt idx="0">
                  <c:v>New Cumulative CO2 Stored</c:v>
                </c:pt>
              </c:strCache>
            </c:strRef>
          </c:tx>
          <c:marker>
            <c:symbol val="none"/>
          </c:marker>
          <c:xVal>
            <c:numRef>
              <c:f>Tree2!$A$7:$A$86</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Tree2!$H$7:$H$86</c:f>
              <c:numCache>
                <c:formatCode>0.00</c:formatCode>
                <c:ptCount val="80"/>
                <c:pt idx="0">
                  <c:v>1.66872583939085</c:v>
                </c:pt>
                <c:pt idx="1">
                  <c:v>2.2249677858544694</c:v>
                </c:pt>
                <c:pt idx="2">
                  <c:v>3.3374516787816999</c:v>
                </c:pt>
                <c:pt idx="3">
                  <c:v>6.6749033575634096</c:v>
                </c:pt>
                <c:pt idx="4">
                  <c:v>19.888927752658091</c:v>
                </c:pt>
                <c:pt idx="5">
                  <c:v>39.199019556341611</c:v>
                </c:pt>
                <c:pt idx="6">
                  <c:v>64.231039487631023</c:v>
                </c:pt>
                <c:pt idx="7">
                  <c:v>94.664092877344117</c:v>
                </c:pt>
                <c:pt idx="8">
                  <c:v>130.21934793234408</c:v>
                </c:pt>
                <c:pt idx="9">
                  <c:v>170.65183925048717</c:v>
                </c:pt>
                <c:pt idx="10">
                  <c:v>215.74431643693606</c:v>
                </c:pt>
                <c:pt idx="11">
                  <c:v>265.30253173627489</c:v>
                </c:pt>
                <c:pt idx="12">
                  <c:v>319.15156461559963</c:v>
                </c:pt>
                <c:pt idx="13">
                  <c:v>377.13290950987897</c:v>
                </c:pt>
                <c:pt idx="14">
                  <c:v>439.102135847169</c:v>
                </c:pt>
                <c:pt idx="15">
                  <c:v>504.9269844299248</c:v>
                </c:pt>
                <c:pt idx="16">
                  <c:v>574.48580152996874</c:v>
                </c:pt>
                <c:pt idx="17">
                  <c:v>647.66623787795061</c:v>
                </c:pt>
                <c:pt idx="18">
                  <c:v>724.36415795635696</c:v>
                </c:pt>
                <c:pt idx="19">
                  <c:v>804.48271809489881</c:v>
                </c:pt>
                <c:pt idx="20">
                  <c:v>887.93158141491438</c:v>
                </c:pt>
                <c:pt idx="21">
                  <c:v>974.62624473371363</c:v>
                </c:pt>
                <c:pt idx="22">
                  <c:v>1064.4874578352506</c:v>
                </c:pt>
                <c:pt idx="23">
                  <c:v>1157.4407195309275</c:v>
                </c:pt>
                <c:pt idx="24">
                  <c:v>1253.4158380160352</c:v>
                </c:pt>
                <c:pt idx="25">
                  <c:v>1352.3465454155014</c:v>
                </c:pt>
                <c:pt idx="26">
                  <c:v>1454.1701582809378</c:v>
                </c:pt>
                <c:pt idx="27">
                  <c:v>1558.8272772754985</c:v>
                </c:pt>
                <c:pt idx="28">
                  <c:v>1666.2615204563456</c:v>
                </c:pt>
                <c:pt idx="29">
                  <c:v>1776.4192855052806</c:v>
                </c:pt>
                <c:pt idx="30">
                  <c:v>1889.2495370178146</c:v>
                </c:pt>
                <c:pt idx="31">
                  <c:v>2004.7036155785886</c:v>
                </c:pt>
                <c:pt idx="32">
                  <c:v>2122.7350658563678</c:v>
                </c:pt>
                <c:pt idx="33">
                  <c:v>2243.2994813676828</c:v>
                </c:pt>
                <c:pt idx="34">
                  <c:v>2366.3543639023451</c:v>
                </c:pt>
                <c:pt idx="35">
                  <c:v>2491.8589958903945</c:v>
                </c:pt>
                <c:pt idx="36">
                  <c:v>2619.7743242294291</c:v>
                </c:pt>
                <c:pt idx="37">
                  <c:v>2750.0628542923805</c:v>
                </c:pt>
                <c:pt idx="38">
                  <c:v>2882.6885530055119</c:v>
                </c:pt>
                <c:pt idx="39">
                  <c:v>3017.6167600302269</c:v>
                </c:pt>
                <c:pt idx="40">
                  <c:v>3154.8141062046466</c:v>
                </c:pt>
                <c:pt idx="41">
                  <c:v>3294.2484385054463</c:v>
                </c:pt>
                <c:pt idx="42">
                  <c:v>3435.8887508800376</c:v>
                </c:pt>
                <c:pt idx="43">
                  <c:v>3579.7051203762853</c:v>
                </c:pt>
                <c:pt idx="44">
                  <c:v>3725.6686480634808</c:v>
                </c:pt>
                <c:pt idx="45">
                  <c:v>3873.7514042959315</c:v>
                </c:pt>
                <c:pt idx="46">
                  <c:v>4023.9263779205694</c:v>
                </c:pt>
                <c:pt idx="47">
                  <c:v>4176.1674290735937</c:v>
                </c:pt>
                <c:pt idx="48">
                  <c:v>4330.4492452492568</c:v>
                </c:pt>
                <c:pt idx="49">
                  <c:v>4486.7473003572759</c:v>
                </c:pt>
                <c:pt idx="50">
                  <c:v>4645.037816514654</c:v>
                </c:pt>
                <c:pt idx="51">
                  <c:v>4805.2977283435157</c:v>
                </c:pt>
                <c:pt idx="52">
                  <c:v>4967.5046495693286</c:v>
                </c:pt>
                <c:pt idx="53">
                  <c:v>5131.6368417340218</c:v>
                </c:pt>
                <c:pt idx="54">
                  <c:v>5292.9182598669695</c:v>
                </c:pt>
                <c:pt idx="55">
                  <c:v>5451.3489039681708</c:v>
                </c:pt>
                <c:pt idx="56">
                  <c:v>5606.9287740376267</c:v>
                </c:pt>
                <c:pt idx="57">
                  <c:v>5759.6578700753362</c:v>
                </c:pt>
                <c:pt idx="58">
                  <c:v>5909.5361920813002</c:v>
                </c:pt>
                <c:pt idx="59">
                  <c:v>6056.5637400555179</c:v>
                </c:pt>
                <c:pt idx="60">
                  <c:v>6200.7405139979901</c:v>
                </c:pt>
                <c:pt idx="61">
                  <c:v>6342.0665139087159</c:v>
                </c:pt>
                <c:pt idx="62">
                  <c:v>6480.5417397876963</c:v>
                </c:pt>
                <c:pt idx="63">
                  <c:v>6616.1661916349303</c:v>
                </c:pt>
                <c:pt idx="64">
                  <c:v>6748.9398694504189</c:v>
                </c:pt>
                <c:pt idx="65">
                  <c:v>6878.8627732341611</c:v>
                </c:pt>
                <c:pt idx="66">
                  <c:v>7005.9349029861578</c:v>
                </c:pt>
                <c:pt idx="67">
                  <c:v>7130.1562587064082</c:v>
                </c:pt>
                <c:pt idx="68">
                  <c:v>7251.5268403949131</c:v>
                </c:pt>
                <c:pt idx="69">
                  <c:v>7370.0466480516725</c:v>
                </c:pt>
                <c:pt idx="70">
                  <c:v>7486.6279103994057</c:v>
                </c:pt>
                <c:pt idx="71">
                  <c:v>7603.2091727471388</c:v>
                </c:pt>
                <c:pt idx="72">
                  <c:v>7719.790435094872</c:v>
                </c:pt>
                <c:pt idx="73">
                  <c:v>7836.3716974426052</c:v>
                </c:pt>
                <c:pt idx="74">
                  <c:v>7952.9529597903384</c:v>
                </c:pt>
                <c:pt idx="75">
                  <c:v>8069.5342221380715</c:v>
                </c:pt>
                <c:pt idx="76">
                  <c:v>8186.1154844858047</c:v>
                </c:pt>
                <c:pt idx="77">
                  <c:v>8302.6967468335388</c:v>
                </c:pt>
                <c:pt idx="78">
                  <c:v>8419.278009181271</c:v>
                </c:pt>
                <c:pt idx="79">
                  <c:v>8535.8592715290033</c:v>
                </c:pt>
              </c:numCache>
            </c:numRef>
          </c:yVal>
          <c:smooth val="1"/>
          <c:extLst>
            <c:ext xmlns:c16="http://schemas.microsoft.com/office/drawing/2014/chart" uri="{C3380CC4-5D6E-409C-BE32-E72D297353CC}">
              <c16:uniqueId val="{00000001-0243-4F8D-AE20-B31079734028}"/>
            </c:ext>
          </c:extLst>
        </c:ser>
        <c:dLbls>
          <c:showLegendKey val="0"/>
          <c:showVal val="0"/>
          <c:showCatName val="0"/>
          <c:showSerName val="0"/>
          <c:showPercent val="0"/>
          <c:showBubbleSize val="0"/>
        </c:dLbls>
        <c:axId val="327121272"/>
        <c:axId val="327124552"/>
      </c:scatterChart>
      <c:valAx>
        <c:axId val="327121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200" b="1">
                    <a:solidFill>
                      <a:sysClr val="windowText" lastClr="000000"/>
                    </a:solidFill>
                  </a:defRPr>
                </a:pPr>
                <a:r>
                  <a:rPr lang="fi-FI" sz="1200" b="1">
                    <a:solidFill>
                      <a:sysClr val="windowText" lastClr="000000"/>
                    </a:solidFill>
                  </a:rPr>
                  <a:t>Age</a:t>
                </a:r>
              </a:p>
              <a:p>
                <a:pPr>
                  <a:defRPr sz="1200" b="1">
                    <a:solidFill>
                      <a:sysClr val="windowText" lastClr="000000"/>
                    </a:solidFill>
                  </a:defRPr>
                </a:pPr>
                <a:endParaRPr lang="fi-FI" sz="1200" b="1">
                  <a:solidFill>
                    <a:sysClr val="windowText" lastClr="000000"/>
                  </a:solidFill>
                </a:endParaRP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i-FI"/>
          </a:p>
        </c:txPr>
        <c:crossAx val="327124552"/>
        <c:crosses val="autoZero"/>
        <c:crossBetween val="midCat"/>
      </c:valAx>
      <c:valAx>
        <c:axId val="327124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200" b="1">
                    <a:solidFill>
                      <a:sysClr val="windowText" lastClr="000000"/>
                    </a:solidFill>
                  </a:defRPr>
                </a:pPr>
                <a:r>
                  <a:rPr lang="fi-FI" sz="1200" b="1">
                    <a:solidFill>
                      <a:sysClr val="windowText" lastClr="000000"/>
                    </a:solidFill>
                  </a:rPr>
                  <a:t>CO2</a:t>
                </a:r>
                <a:r>
                  <a:rPr lang="fi-FI" sz="1200" b="1" baseline="0">
                    <a:solidFill>
                      <a:sysClr val="windowText" lastClr="000000"/>
                    </a:solidFill>
                  </a:rPr>
                  <a:t> </a:t>
                </a:r>
                <a:r>
                  <a:rPr lang="fi-FI" sz="1200" b="1">
                    <a:solidFill>
                      <a:sysClr val="windowText" lastClr="000000"/>
                    </a:solidFill>
                  </a:rPr>
                  <a:t> kg /age</a:t>
                </a:r>
              </a:p>
            </c:rich>
          </c:tx>
          <c:overlay val="0"/>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i-FI"/>
          </a:p>
        </c:txPr>
        <c:crossAx val="327121272"/>
        <c:crosses val="autoZero"/>
        <c:crossBetween val="midCat"/>
      </c:valAx>
    </c:plotArea>
    <c:legend>
      <c:legendPos val="r"/>
      <c:layout>
        <c:manualLayout>
          <c:xMode val="edge"/>
          <c:yMode val="edge"/>
          <c:x val="0.80303897768958943"/>
          <c:y val="0.27657263013601679"/>
          <c:w val="0.16419651521862336"/>
          <c:h val="0.23418616215853794"/>
        </c:manualLayout>
      </c:layout>
      <c:overlay val="0"/>
      <c:txPr>
        <a:bodyPr/>
        <a:lstStyle/>
        <a:p>
          <a:pPr>
            <a:defRPr sz="1200" b="1"/>
          </a:pPr>
          <a:endParaRPr lang="fi-FI"/>
        </a:p>
      </c:txPr>
    </c:legend>
    <c:plotVisOnly val="1"/>
    <c:dispBlanksAs val="gap"/>
    <c:showDLblsOverMax val="0"/>
    <c:extLst/>
  </c:chart>
  <c:txPr>
    <a:bodyPr/>
    <a:lstStyle/>
    <a:p>
      <a:pPr>
        <a:defRPr/>
      </a:pPr>
      <a:endParaRPr lang="fi-FI"/>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solidFill>
                  <a:sysClr val="windowText" lastClr="000000"/>
                </a:solidFill>
              </a:rPr>
              <a:t>CO2</a:t>
            </a:r>
            <a:r>
              <a:rPr lang="en-US" b="1" baseline="0">
                <a:solidFill>
                  <a:sysClr val="windowText" lastClr="000000"/>
                </a:solidFill>
              </a:rPr>
              <a:t> sequestration vs Age</a:t>
            </a:r>
          </a:p>
        </c:rich>
      </c:tx>
      <c:overlay val="0"/>
      <c:spPr>
        <a:noFill/>
        <a:ln>
          <a:noFill/>
        </a:ln>
        <a:effectLst/>
      </c:spPr>
    </c:title>
    <c:autoTitleDeleted val="0"/>
    <c:plotArea>
      <c:layout/>
      <c:scatterChart>
        <c:scatterStyle val="smoothMarker"/>
        <c:varyColors val="0"/>
        <c:ser>
          <c:idx val="0"/>
          <c:order val="0"/>
          <c:tx>
            <c:strRef>
              <c:f>Tree3!$I$6</c:f>
              <c:strCache>
                <c:ptCount val="1"/>
                <c:pt idx="0">
                  <c:v>CO2 Sequestration Rate</c:v>
                </c:pt>
              </c:strCache>
            </c:strRef>
          </c:tx>
          <c:spPr>
            <a:effectLst/>
          </c:spPr>
          <c:marker>
            <c:symbol val="none"/>
          </c:marker>
          <c:xVal>
            <c:numRef>
              <c:f>Tree3!$A$8:$A$107</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Tree3!$I$8:$I$107</c:f>
              <c:numCache>
                <c:formatCode>General</c:formatCode>
                <c:ptCount val="100"/>
                <c:pt idx="0">
                  <c:v>31.892842696011684</c:v>
                </c:pt>
                <c:pt idx="1">
                  <c:v>31.892842696011684</c:v>
                </c:pt>
                <c:pt idx="2">
                  <c:v>31.892842696011684</c:v>
                </c:pt>
                <c:pt idx="3">
                  <c:v>31.892842696011684</c:v>
                </c:pt>
                <c:pt idx="4">
                  <c:v>31.892842696011684</c:v>
                </c:pt>
                <c:pt idx="5">
                  <c:v>43.502086975308998</c:v>
                </c:pt>
                <c:pt idx="6">
                  <c:v>46.808158510344583</c:v>
                </c:pt>
                <c:pt idx="7">
                  <c:v>50.02289689484283</c:v>
                </c:pt>
                <c:pt idx="8">
                  <c:v>53.165204658173479</c:v>
                </c:pt>
                <c:pt idx="9">
                  <c:v>56.248172827378369</c:v>
                </c:pt>
                <c:pt idx="10">
                  <c:v>59.281304995761104</c:v>
                </c:pt>
                <c:pt idx="11">
                  <c:v>62.271757045704589</c:v>
                </c:pt>
                <c:pt idx="12">
                  <c:v>65.225076549224809</c:v>
                </c:pt>
                <c:pt idx="13">
                  <c:v>68.145667948952564</c:v>
                </c:pt>
                <c:pt idx="14">
                  <c:v>71.037098167222666</c:v>
                </c:pt>
                <c:pt idx="15">
                  <c:v>73.902304711338502</c:v>
                </c:pt>
                <c:pt idx="16">
                  <c:v>76.743741729569706</c:v>
                </c:pt>
                <c:pt idx="17">
                  <c:v>79.563485198955618</c:v>
                </c:pt>
                <c:pt idx="18">
                  <c:v>82.363310389931939</c:v>
                </c:pt>
                <c:pt idx="19">
                  <c:v>85.144750037344465</c:v>
                </c:pt>
                <c:pt idx="20" formatCode="0.00">
                  <c:v>32.303050559999974</c:v>
                </c:pt>
                <c:pt idx="21" formatCode="0.00">
                  <c:v>32.303050559999974</c:v>
                </c:pt>
                <c:pt idx="22">
                  <c:v>32.303050559999974</c:v>
                </c:pt>
                <c:pt idx="23">
                  <c:v>32.303050559999974</c:v>
                </c:pt>
                <c:pt idx="24">
                  <c:v>32.303050559999974</c:v>
                </c:pt>
                <c:pt idx="25">
                  <c:v>32.303050559999974</c:v>
                </c:pt>
                <c:pt idx="26">
                  <c:v>32.303050559999974</c:v>
                </c:pt>
                <c:pt idx="27">
                  <c:v>32.303050559999974</c:v>
                </c:pt>
                <c:pt idx="28">
                  <c:v>32.303050559999974</c:v>
                </c:pt>
                <c:pt idx="29">
                  <c:v>32.303050559999974</c:v>
                </c:pt>
                <c:pt idx="30">
                  <c:v>32.303050559999974</c:v>
                </c:pt>
                <c:pt idx="31">
                  <c:v>32.303050559999974</c:v>
                </c:pt>
                <c:pt idx="32">
                  <c:v>32.303050559999974</c:v>
                </c:pt>
                <c:pt idx="33">
                  <c:v>32.303050559999974</c:v>
                </c:pt>
                <c:pt idx="34">
                  <c:v>32.303050559999974</c:v>
                </c:pt>
                <c:pt idx="35">
                  <c:v>32.303050559999974</c:v>
                </c:pt>
                <c:pt idx="36">
                  <c:v>32.303050559999974</c:v>
                </c:pt>
                <c:pt idx="37">
                  <c:v>32.303050559999974</c:v>
                </c:pt>
                <c:pt idx="38">
                  <c:v>32.303050559999974</c:v>
                </c:pt>
                <c:pt idx="39">
                  <c:v>32.303050559999974</c:v>
                </c:pt>
                <c:pt idx="40">
                  <c:v>32.303050559999974</c:v>
                </c:pt>
                <c:pt idx="41">
                  <c:v>32.303050559999974</c:v>
                </c:pt>
                <c:pt idx="42">
                  <c:v>32.303050559999974</c:v>
                </c:pt>
                <c:pt idx="43">
                  <c:v>32.303050559999974</c:v>
                </c:pt>
                <c:pt idx="44">
                  <c:v>32.303050559999974</c:v>
                </c:pt>
                <c:pt idx="45">
                  <c:v>32.303050559999974</c:v>
                </c:pt>
                <c:pt idx="46">
                  <c:v>32.303050559999974</c:v>
                </c:pt>
                <c:pt idx="47">
                  <c:v>32.303050559999974</c:v>
                </c:pt>
                <c:pt idx="48">
                  <c:v>32.303050559999974</c:v>
                </c:pt>
                <c:pt idx="49">
                  <c:v>32.303050559999974</c:v>
                </c:pt>
                <c:pt idx="50">
                  <c:v>32.303050559999974</c:v>
                </c:pt>
                <c:pt idx="51">
                  <c:v>32.303050559999974</c:v>
                </c:pt>
                <c:pt idx="52">
                  <c:v>32.303050559999974</c:v>
                </c:pt>
                <c:pt idx="53">
                  <c:v>32.303050559999974</c:v>
                </c:pt>
                <c:pt idx="54">
                  <c:v>32.303050559999974</c:v>
                </c:pt>
                <c:pt idx="55">
                  <c:v>32.303050559999974</c:v>
                </c:pt>
                <c:pt idx="56">
                  <c:v>32.303050559999974</c:v>
                </c:pt>
                <c:pt idx="57">
                  <c:v>32.303050559999974</c:v>
                </c:pt>
                <c:pt idx="58">
                  <c:v>32.303050559999974</c:v>
                </c:pt>
                <c:pt idx="59">
                  <c:v>32.303050559999974</c:v>
                </c:pt>
                <c:pt idx="60">
                  <c:v>32.303050559999974</c:v>
                </c:pt>
                <c:pt idx="61">
                  <c:v>32.303050559999974</c:v>
                </c:pt>
                <c:pt idx="62">
                  <c:v>32.303050559999974</c:v>
                </c:pt>
                <c:pt idx="63">
                  <c:v>32.303050559999974</c:v>
                </c:pt>
                <c:pt idx="64">
                  <c:v>32.303050559999974</c:v>
                </c:pt>
                <c:pt idx="65">
                  <c:v>32.303050559999974</c:v>
                </c:pt>
                <c:pt idx="66">
                  <c:v>32.303050559999974</c:v>
                </c:pt>
                <c:pt idx="67">
                  <c:v>32.303050559999974</c:v>
                </c:pt>
                <c:pt idx="68">
                  <c:v>32.303050559999974</c:v>
                </c:pt>
                <c:pt idx="69">
                  <c:v>32.303050559999974</c:v>
                </c:pt>
                <c:pt idx="70">
                  <c:v>32.303050559999974</c:v>
                </c:pt>
                <c:pt idx="71">
                  <c:v>32.303050559999974</c:v>
                </c:pt>
                <c:pt idx="72">
                  <c:v>32.303050559999974</c:v>
                </c:pt>
                <c:pt idx="73">
                  <c:v>32.303050559999974</c:v>
                </c:pt>
                <c:pt idx="74">
                  <c:v>32.303050559999974</c:v>
                </c:pt>
                <c:pt idx="75">
                  <c:v>32.303050559999974</c:v>
                </c:pt>
                <c:pt idx="76">
                  <c:v>32.303050559999974</c:v>
                </c:pt>
                <c:pt idx="77">
                  <c:v>32.303050559999974</c:v>
                </c:pt>
                <c:pt idx="78">
                  <c:v>32.303050559999974</c:v>
                </c:pt>
                <c:pt idx="79">
                  <c:v>32.303050559999974</c:v>
                </c:pt>
              </c:numCache>
            </c:numRef>
          </c:yVal>
          <c:smooth val="1"/>
          <c:extLst>
            <c:ext xmlns:c16="http://schemas.microsoft.com/office/drawing/2014/chart" uri="{C3380CC4-5D6E-409C-BE32-E72D297353CC}">
              <c16:uniqueId val="{00000000-9CF0-4246-842E-D0CE1C7C0B45}"/>
            </c:ext>
          </c:extLst>
        </c:ser>
        <c:ser>
          <c:idx val="1"/>
          <c:order val="1"/>
          <c:tx>
            <c:strRef>
              <c:f>Tree3!$J$6</c:f>
              <c:strCache>
                <c:ptCount val="1"/>
                <c:pt idx="0">
                  <c:v>New CO2 Sequestration Rate</c:v>
                </c:pt>
              </c:strCache>
            </c:strRef>
          </c:tx>
          <c:marker>
            <c:symbol val="none"/>
          </c:marker>
          <c:xVal>
            <c:numRef>
              <c:f>Tree3!$A$8:$A$87</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Tree3!$J$8:$J$87</c:f>
              <c:numCache>
                <c:formatCode>General</c:formatCode>
                <c:ptCount val="80"/>
                <c:pt idx="0">
                  <c:v>31.892842696011684</c:v>
                </c:pt>
                <c:pt idx="1">
                  <c:v>31.892842696011684</c:v>
                </c:pt>
                <c:pt idx="2">
                  <c:v>31.892842696011684</c:v>
                </c:pt>
                <c:pt idx="3">
                  <c:v>31.892842696011684</c:v>
                </c:pt>
                <c:pt idx="4">
                  <c:v>31.892842696011684</c:v>
                </c:pt>
                <c:pt idx="5">
                  <c:v>43.502086975308998</c:v>
                </c:pt>
                <c:pt idx="6">
                  <c:v>46.808158510344583</c:v>
                </c:pt>
                <c:pt idx="7">
                  <c:v>50.02289689484283</c:v>
                </c:pt>
                <c:pt idx="8">
                  <c:v>53.165204658173479</c:v>
                </c:pt>
                <c:pt idx="9">
                  <c:v>56.248172827378369</c:v>
                </c:pt>
                <c:pt idx="10">
                  <c:v>59.281304995761104</c:v>
                </c:pt>
                <c:pt idx="11">
                  <c:v>62.271757045704589</c:v>
                </c:pt>
                <c:pt idx="12">
                  <c:v>65.225076549224809</c:v>
                </c:pt>
                <c:pt idx="13">
                  <c:v>68.145667948952564</c:v>
                </c:pt>
                <c:pt idx="14">
                  <c:v>71.037098167222666</c:v>
                </c:pt>
                <c:pt idx="15">
                  <c:v>73.902304711338502</c:v>
                </c:pt>
                <c:pt idx="16">
                  <c:v>76.743741729569706</c:v>
                </c:pt>
                <c:pt idx="17">
                  <c:v>79.563485198955618</c:v>
                </c:pt>
                <c:pt idx="18">
                  <c:v>82.363310389931939</c:v>
                </c:pt>
                <c:pt idx="19">
                  <c:v>85.144750037344465</c:v>
                </c:pt>
                <c:pt idx="20">
                  <c:v>85.144750037344465</c:v>
                </c:pt>
                <c:pt idx="21">
                  <c:v>85.144750037344465</c:v>
                </c:pt>
                <c:pt idx="22">
                  <c:v>82.538209309584488</c:v>
                </c:pt>
                <c:pt idx="23">
                  <c:v>79.931668581824511</c:v>
                </c:pt>
                <c:pt idx="24">
                  <c:v>77.325127854064533</c:v>
                </c:pt>
                <c:pt idx="25">
                  <c:v>74.718587126304556</c:v>
                </c:pt>
                <c:pt idx="26">
                  <c:v>72.112046398544578</c:v>
                </c:pt>
                <c:pt idx="27">
                  <c:v>69.505505670784601</c:v>
                </c:pt>
                <c:pt idx="28">
                  <c:v>66.898964943024623</c:v>
                </c:pt>
                <c:pt idx="29">
                  <c:v>64.292424215264646</c:v>
                </c:pt>
                <c:pt idx="30">
                  <c:v>61.685883487504675</c:v>
                </c:pt>
                <c:pt idx="31">
                  <c:v>59.079342759744705</c:v>
                </c:pt>
                <c:pt idx="32">
                  <c:v>56.472802031984735</c:v>
                </c:pt>
                <c:pt idx="33">
                  <c:v>53.866261304224764</c:v>
                </c:pt>
                <c:pt idx="34">
                  <c:v>51.259720576464794</c:v>
                </c:pt>
                <c:pt idx="35">
                  <c:v>48.653179848704823</c:v>
                </c:pt>
                <c:pt idx="36">
                  <c:v>46.046639120944853</c:v>
                </c:pt>
                <c:pt idx="37">
                  <c:v>43.440098393184883</c:v>
                </c:pt>
                <c:pt idx="38">
                  <c:v>40.833557665424912</c:v>
                </c:pt>
                <c:pt idx="39">
                  <c:v>38.227016937664942</c:v>
                </c:pt>
                <c:pt idx="40">
                  <c:v>32.303050559999974</c:v>
                </c:pt>
                <c:pt idx="41">
                  <c:v>32.303050559999974</c:v>
                </c:pt>
                <c:pt idx="42">
                  <c:v>32.303050559999974</c:v>
                </c:pt>
                <c:pt idx="43">
                  <c:v>32.303050559999974</c:v>
                </c:pt>
                <c:pt idx="44">
                  <c:v>32.303050559999974</c:v>
                </c:pt>
                <c:pt idx="45">
                  <c:v>32.303050559999974</c:v>
                </c:pt>
                <c:pt idx="46">
                  <c:v>32.303050559999974</c:v>
                </c:pt>
                <c:pt idx="47">
                  <c:v>32.303050559999974</c:v>
                </c:pt>
                <c:pt idx="48">
                  <c:v>32.303050559999974</c:v>
                </c:pt>
                <c:pt idx="49">
                  <c:v>32.303050559999974</c:v>
                </c:pt>
                <c:pt idx="50">
                  <c:v>32.303050559999974</c:v>
                </c:pt>
                <c:pt idx="51">
                  <c:v>32.303050559999974</c:v>
                </c:pt>
                <c:pt idx="52">
                  <c:v>32.303050559999974</c:v>
                </c:pt>
                <c:pt idx="53">
                  <c:v>32.303050559999974</c:v>
                </c:pt>
                <c:pt idx="54">
                  <c:v>32.303050559999974</c:v>
                </c:pt>
                <c:pt idx="55">
                  <c:v>32.303050559999974</c:v>
                </c:pt>
                <c:pt idx="56">
                  <c:v>32.303050559999974</c:v>
                </c:pt>
                <c:pt idx="57">
                  <c:v>32.303050559999974</c:v>
                </c:pt>
                <c:pt idx="58">
                  <c:v>32.303050559999974</c:v>
                </c:pt>
                <c:pt idx="59">
                  <c:v>32.303050559999974</c:v>
                </c:pt>
                <c:pt idx="60">
                  <c:v>32.303050559999974</c:v>
                </c:pt>
                <c:pt idx="61">
                  <c:v>32.303050559999974</c:v>
                </c:pt>
                <c:pt idx="62">
                  <c:v>32.303050559999974</c:v>
                </c:pt>
                <c:pt idx="63">
                  <c:v>32.303050559999974</c:v>
                </c:pt>
                <c:pt idx="64">
                  <c:v>32.303050559999974</c:v>
                </c:pt>
                <c:pt idx="65">
                  <c:v>32.303050559999974</c:v>
                </c:pt>
                <c:pt idx="66">
                  <c:v>32.303050559999974</c:v>
                </c:pt>
                <c:pt idx="67">
                  <c:v>32.303050559999974</c:v>
                </c:pt>
                <c:pt idx="68">
                  <c:v>32.303050559999974</c:v>
                </c:pt>
                <c:pt idx="69">
                  <c:v>32.303050559999974</c:v>
                </c:pt>
                <c:pt idx="70">
                  <c:v>32.303050559999974</c:v>
                </c:pt>
                <c:pt idx="71">
                  <c:v>32.303050559999974</c:v>
                </c:pt>
                <c:pt idx="72">
                  <c:v>32.303050559999974</c:v>
                </c:pt>
                <c:pt idx="73">
                  <c:v>32.303050559999974</c:v>
                </c:pt>
                <c:pt idx="74">
                  <c:v>32.303050559999974</c:v>
                </c:pt>
                <c:pt idx="75">
                  <c:v>32.303050559999974</c:v>
                </c:pt>
                <c:pt idx="76">
                  <c:v>32.303050559999974</c:v>
                </c:pt>
                <c:pt idx="77">
                  <c:v>32.303050559999974</c:v>
                </c:pt>
                <c:pt idx="78">
                  <c:v>32.303050559999974</c:v>
                </c:pt>
                <c:pt idx="79">
                  <c:v>32.303050559999974</c:v>
                </c:pt>
              </c:numCache>
            </c:numRef>
          </c:yVal>
          <c:smooth val="1"/>
          <c:extLst>
            <c:ext xmlns:c16="http://schemas.microsoft.com/office/drawing/2014/chart" uri="{C3380CC4-5D6E-409C-BE32-E72D297353CC}">
              <c16:uniqueId val="{00000001-CBD4-4EA5-AC9D-A94815097300}"/>
            </c:ext>
          </c:extLst>
        </c:ser>
        <c:dLbls>
          <c:showLegendKey val="0"/>
          <c:showVal val="0"/>
          <c:showCatName val="0"/>
          <c:showSerName val="0"/>
          <c:showPercent val="0"/>
          <c:showBubbleSize val="0"/>
        </c:dLbls>
        <c:axId val="327121272"/>
        <c:axId val="327124552"/>
      </c:scatterChart>
      <c:valAx>
        <c:axId val="327121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200"/>
                </a:pPr>
                <a:r>
                  <a:rPr lang="fi-FI" sz="1200"/>
                  <a:t>Years</a:t>
                </a:r>
              </a:p>
              <a:p>
                <a:pPr>
                  <a:defRPr sz="1200"/>
                </a:pPr>
                <a:endParaRPr lang="fi-FI" sz="1200"/>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fi-FI"/>
          </a:p>
        </c:txPr>
        <c:crossAx val="327124552"/>
        <c:crosses val="autoZero"/>
        <c:crossBetween val="midCat"/>
      </c:valAx>
      <c:valAx>
        <c:axId val="327124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200" b="1">
                    <a:solidFill>
                      <a:sysClr val="windowText" lastClr="000000"/>
                    </a:solidFill>
                  </a:defRPr>
                </a:pPr>
                <a:r>
                  <a:rPr lang="fi-FI" sz="1200" b="1">
                    <a:solidFill>
                      <a:sysClr val="windowText" lastClr="000000"/>
                    </a:solidFill>
                  </a:rPr>
                  <a:t>C02</a:t>
                </a:r>
                <a:r>
                  <a:rPr lang="fi-FI" sz="1200" b="1" baseline="0">
                    <a:solidFill>
                      <a:sysClr val="windowText" lastClr="000000"/>
                    </a:solidFill>
                  </a:rPr>
                  <a:t> </a:t>
                </a:r>
                <a:r>
                  <a:rPr lang="fi-FI" sz="1200" b="1">
                    <a:solidFill>
                      <a:sysClr val="windowText" lastClr="000000"/>
                    </a:solidFill>
                  </a:rPr>
                  <a:t> kg / year</a:t>
                </a: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i-FI"/>
          </a:p>
        </c:txPr>
        <c:crossAx val="327121272"/>
        <c:crosses val="autoZero"/>
        <c:crossBetween val="midCat"/>
      </c:valAx>
    </c:plotArea>
    <c:legend>
      <c:legendPos val="r"/>
      <c:overlay val="0"/>
      <c:txPr>
        <a:bodyPr/>
        <a:lstStyle/>
        <a:p>
          <a:pPr>
            <a:defRPr sz="1200" b="1"/>
          </a:pPr>
          <a:endParaRPr lang="fi-FI"/>
        </a:p>
      </c:txPr>
    </c:legend>
    <c:plotVisOnly val="1"/>
    <c:dispBlanksAs val="gap"/>
    <c:showDLblsOverMax val="0"/>
    <c:extLst/>
  </c:chart>
  <c:txPr>
    <a:bodyPr/>
    <a:lstStyle/>
    <a:p>
      <a:pPr>
        <a:defRPr/>
      </a:pPr>
      <a:endParaRPr lang="fi-FI"/>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b="1">
                <a:solidFill>
                  <a:sysClr val="windowText" lastClr="000000"/>
                </a:solidFill>
              </a:rPr>
              <a:t>Cumulative CO2</a:t>
            </a:r>
            <a:r>
              <a:rPr lang="en-US" b="1" baseline="0">
                <a:solidFill>
                  <a:sysClr val="windowText" lastClr="000000"/>
                </a:solidFill>
              </a:rPr>
              <a:t> </a:t>
            </a:r>
            <a:r>
              <a:rPr lang="en-US" b="1">
                <a:solidFill>
                  <a:sysClr val="windowText" lastClr="000000"/>
                </a:solidFill>
              </a:rPr>
              <a:t>Stored - Date Palm</a:t>
            </a:r>
            <a:endParaRPr lang="en-US" b="1" baseline="0">
              <a:solidFill>
                <a:sysClr val="windowText" lastClr="000000"/>
              </a:solidFill>
            </a:endParaRPr>
          </a:p>
        </c:rich>
      </c:tx>
      <c:overlay val="0"/>
      <c:spPr>
        <a:noFill/>
        <a:ln>
          <a:noFill/>
        </a:ln>
        <a:effectLst/>
      </c:spPr>
    </c:title>
    <c:autoTitleDeleted val="0"/>
    <c:plotArea>
      <c:layout>
        <c:manualLayout>
          <c:layoutTarget val="inner"/>
          <c:xMode val="edge"/>
          <c:yMode val="edge"/>
          <c:x val="0.10821022378861794"/>
          <c:y val="0.11047617678250837"/>
          <c:w val="0.68668707683205854"/>
          <c:h val="0.70500352269972166"/>
        </c:manualLayout>
      </c:layout>
      <c:scatterChart>
        <c:scatterStyle val="smoothMarker"/>
        <c:varyColors val="0"/>
        <c:ser>
          <c:idx val="0"/>
          <c:order val="0"/>
          <c:tx>
            <c:strRef>
              <c:f>Tree3!$H$6</c:f>
              <c:strCache>
                <c:ptCount val="1"/>
                <c:pt idx="0">
                  <c:v>Cumulative C02 Stored</c:v>
                </c:pt>
              </c:strCache>
            </c:strRef>
          </c:tx>
          <c:marker>
            <c:symbol val="none"/>
          </c:marker>
          <c:xVal>
            <c:numRef>
              <c:f>Tree3!$A$8:$A$107</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Tree3!$H$8:$H$107</c:f>
              <c:numCache>
                <c:formatCode>General</c:formatCode>
                <c:ptCount val="100"/>
                <c:pt idx="0">
                  <c:v>31.892842696011684</c:v>
                </c:pt>
                <c:pt idx="1">
                  <c:v>63.785685392023368</c:v>
                </c:pt>
                <c:pt idx="2">
                  <c:v>95.678528088035051</c:v>
                </c:pt>
                <c:pt idx="3">
                  <c:v>127.57137078404674</c:v>
                </c:pt>
                <c:pt idx="4">
                  <c:v>159.46421348005842</c:v>
                </c:pt>
                <c:pt idx="5">
                  <c:v>202.96630045536742</c:v>
                </c:pt>
                <c:pt idx="6">
                  <c:v>249.774458965712</c:v>
                </c:pt>
                <c:pt idx="7">
                  <c:v>299.79735586055483</c:v>
                </c:pt>
                <c:pt idx="8">
                  <c:v>352.96256051872831</c:v>
                </c:pt>
                <c:pt idx="9">
                  <c:v>409.21073334610668</c:v>
                </c:pt>
                <c:pt idx="10">
                  <c:v>468.49203834186778</c:v>
                </c:pt>
                <c:pt idx="11">
                  <c:v>530.76379538757237</c:v>
                </c:pt>
                <c:pt idx="12">
                  <c:v>595.98887193679718</c:v>
                </c:pt>
                <c:pt idx="13">
                  <c:v>664.13453988574975</c:v>
                </c:pt>
                <c:pt idx="14">
                  <c:v>735.17163805297241</c:v>
                </c:pt>
                <c:pt idx="15">
                  <c:v>809.07394276431091</c:v>
                </c:pt>
                <c:pt idx="16">
                  <c:v>885.81768449388062</c:v>
                </c:pt>
                <c:pt idx="17">
                  <c:v>965.38116969283624</c:v>
                </c:pt>
                <c:pt idx="18">
                  <c:v>1047.7444800827682</c:v>
                </c:pt>
                <c:pt idx="19">
                  <c:v>1132.8892301201126</c:v>
                </c:pt>
                <c:pt idx="20" formatCode="0.00">
                  <c:v>1165.1922806801126</c:v>
                </c:pt>
                <c:pt idx="21" formatCode="0.00">
                  <c:v>1197.4953312401126</c:v>
                </c:pt>
                <c:pt idx="22" formatCode="0.00">
                  <c:v>1229.7983818001126</c:v>
                </c:pt>
                <c:pt idx="23" formatCode="0.00">
                  <c:v>1262.1014323601125</c:v>
                </c:pt>
                <c:pt idx="24" formatCode="0.00">
                  <c:v>1294.4044829201125</c:v>
                </c:pt>
                <c:pt idx="25" formatCode="0.00">
                  <c:v>1326.7075334801125</c:v>
                </c:pt>
                <c:pt idx="26" formatCode="0.00">
                  <c:v>1359.0105840401125</c:v>
                </c:pt>
                <c:pt idx="27" formatCode="0.00">
                  <c:v>1391.3136346001124</c:v>
                </c:pt>
                <c:pt idx="28" formatCode="0.00">
                  <c:v>1423.6166851601124</c:v>
                </c:pt>
                <c:pt idx="29" formatCode="0.00">
                  <c:v>1455.9197357201124</c:v>
                </c:pt>
                <c:pt idx="30" formatCode="0.00">
                  <c:v>1488.2227862801124</c:v>
                </c:pt>
                <c:pt idx="31" formatCode="0.00">
                  <c:v>1520.5258368401123</c:v>
                </c:pt>
                <c:pt idx="32" formatCode="0.00">
                  <c:v>1552.8288874001123</c:v>
                </c:pt>
                <c:pt idx="33" formatCode="0.00">
                  <c:v>1585.1319379601123</c:v>
                </c:pt>
                <c:pt idx="34" formatCode="0.00">
                  <c:v>1617.4349885201123</c:v>
                </c:pt>
                <c:pt idx="35" formatCode="0.00">
                  <c:v>1649.7380390801122</c:v>
                </c:pt>
                <c:pt idx="36" formatCode="0.00">
                  <c:v>1682.0410896401122</c:v>
                </c:pt>
                <c:pt idx="37" formatCode="0.00">
                  <c:v>1714.3441402001122</c:v>
                </c:pt>
                <c:pt idx="38" formatCode="0.00">
                  <c:v>1746.6471907601122</c:v>
                </c:pt>
                <c:pt idx="39" formatCode="0.00">
                  <c:v>1778.9502413201121</c:v>
                </c:pt>
                <c:pt idx="40" formatCode="0.00">
                  <c:v>1811.2532918801121</c:v>
                </c:pt>
                <c:pt idx="41" formatCode="0.00">
                  <c:v>1843.5563424401121</c:v>
                </c:pt>
                <c:pt idx="42" formatCode="0.00">
                  <c:v>1875.859393000112</c:v>
                </c:pt>
                <c:pt idx="43" formatCode="0.00">
                  <c:v>1908.162443560112</c:v>
                </c:pt>
                <c:pt idx="44" formatCode="0.00">
                  <c:v>1940.465494120112</c:v>
                </c:pt>
                <c:pt idx="45" formatCode="0.00">
                  <c:v>1972.768544680112</c:v>
                </c:pt>
                <c:pt idx="46" formatCode="0.00">
                  <c:v>2005.0715952401119</c:v>
                </c:pt>
                <c:pt idx="47" formatCode="0.00">
                  <c:v>2037.3746458001119</c:v>
                </c:pt>
                <c:pt idx="48" formatCode="0.00">
                  <c:v>2069.6776963601119</c:v>
                </c:pt>
                <c:pt idx="49" formatCode="0.00">
                  <c:v>2101.9807469201119</c:v>
                </c:pt>
                <c:pt idx="50" formatCode="0.00">
                  <c:v>2134.2837974801118</c:v>
                </c:pt>
                <c:pt idx="51" formatCode="0.00">
                  <c:v>2166.5868480401118</c:v>
                </c:pt>
                <c:pt idx="52" formatCode="0.00">
                  <c:v>2198.8898986001118</c:v>
                </c:pt>
                <c:pt idx="53" formatCode="0.00">
                  <c:v>2231.1929491601118</c:v>
                </c:pt>
                <c:pt idx="54" formatCode="0.00">
                  <c:v>2263.4959997201117</c:v>
                </c:pt>
                <c:pt idx="55" formatCode="0.00">
                  <c:v>2295.7990502801117</c:v>
                </c:pt>
                <c:pt idx="56" formatCode="0.00">
                  <c:v>2328.1021008401117</c:v>
                </c:pt>
                <c:pt idx="57" formatCode="0.00">
                  <c:v>2360.4051514001117</c:v>
                </c:pt>
                <c:pt idx="58" formatCode="0.00">
                  <c:v>2392.7082019601116</c:v>
                </c:pt>
                <c:pt idx="59" formatCode="0.00">
                  <c:v>2425.0112525201116</c:v>
                </c:pt>
                <c:pt idx="60" formatCode="0.00">
                  <c:v>2457.3143030801116</c:v>
                </c:pt>
                <c:pt idx="61" formatCode="0.00">
                  <c:v>2489.6173536401116</c:v>
                </c:pt>
                <c:pt idx="62" formatCode="0.00">
                  <c:v>2521.9204042001115</c:v>
                </c:pt>
                <c:pt idx="63" formatCode="0.00">
                  <c:v>2554.2234547601115</c:v>
                </c:pt>
                <c:pt idx="64" formatCode="0.00">
                  <c:v>2586.5265053201115</c:v>
                </c:pt>
                <c:pt idx="65" formatCode="0.00">
                  <c:v>2618.8295558801115</c:v>
                </c:pt>
                <c:pt idx="66" formatCode="0.00">
                  <c:v>2651.1326064401114</c:v>
                </c:pt>
                <c:pt idx="67" formatCode="0.00">
                  <c:v>2683.4356570001114</c:v>
                </c:pt>
                <c:pt idx="68" formatCode="0.00">
                  <c:v>2715.7387075601114</c:v>
                </c:pt>
                <c:pt idx="69" formatCode="0.00">
                  <c:v>2748.0417581201114</c:v>
                </c:pt>
                <c:pt idx="70" formatCode="0.00">
                  <c:v>2780.3448086801113</c:v>
                </c:pt>
                <c:pt idx="71" formatCode="0.00">
                  <c:v>2812.6478592401113</c:v>
                </c:pt>
                <c:pt idx="72" formatCode="0.00">
                  <c:v>2844.9509098001113</c:v>
                </c:pt>
                <c:pt idx="73" formatCode="0.00">
                  <c:v>2877.2539603601113</c:v>
                </c:pt>
                <c:pt idx="74" formatCode="0.00">
                  <c:v>2909.5570109201112</c:v>
                </c:pt>
                <c:pt idx="75" formatCode="0.00">
                  <c:v>2941.8600614801112</c:v>
                </c:pt>
                <c:pt idx="76" formatCode="0.00">
                  <c:v>2974.1631120401112</c:v>
                </c:pt>
                <c:pt idx="77" formatCode="0.00">
                  <c:v>3006.4661626001111</c:v>
                </c:pt>
                <c:pt idx="78" formatCode="0.00">
                  <c:v>3038.7692131601111</c:v>
                </c:pt>
                <c:pt idx="79" formatCode="0.00">
                  <c:v>3071.0722637201111</c:v>
                </c:pt>
              </c:numCache>
            </c:numRef>
          </c:yVal>
          <c:smooth val="1"/>
          <c:extLst>
            <c:ext xmlns:c16="http://schemas.microsoft.com/office/drawing/2014/chart" uri="{C3380CC4-5D6E-409C-BE32-E72D297353CC}">
              <c16:uniqueId val="{00000000-0325-4EF7-9E65-EB97ADB05527}"/>
            </c:ext>
          </c:extLst>
        </c:ser>
        <c:ser>
          <c:idx val="1"/>
          <c:order val="1"/>
          <c:tx>
            <c:strRef>
              <c:f>Tree3!$K$6</c:f>
              <c:strCache>
                <c:ptCount val="1"/>
                <c:pt idx="0">
                  <c:v>New Cumulative CO2 Sequestered</c:v>
                </c:pt>
              </c:strCache>
            </c:strRef>
          </c:tx>
          <c:marker>
            <c:symbol val="none"/>
          </c:marker>
          <c:xVal>
            <c:numRef>
              <c:f>Tree3!$A$8:$A$87</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Tree3!$K$8:$K$87</c:f>
              <c:numCache>
                <c:formatCode>General</c:formatCode>
                <c:ptCount val="80"/>
                <c:pt idx="0">
                  <c:v>31.892842696011684</c:v>
                </c:pt>
                <c:pt idx="1">
                  <c:v>63.785685392023368</c:v>
                </c:pt>
                <c:pt idx="2">
                  <c:v>95.678528088035051</c:v>
                </c:pt>
                <c:pt idx="3">
                  <c:v>127.57137078404674</c:v>
                </c:pt>
                <c:pt idx="4">
                  <c:v>159.46421348005842</c:v>
                </c:pt>
                <c:pt idx="5">
                  <c:v>202.96630045536742</c:v>
                </c:pt>
                <c:pt idx="6">
                  <c:v>249.774458965712</c:v>
                </c:pt>
                <c:pt idx="7">
                  <c:v>299.79735586055483</c:v>
                </c:pt>
                <c:pt idx="8">
                  <c:v>352.96256051872831</c:v>
                </c:pt>
                <c:pt idx="9">
                  <c:v>409.21073334610668</c:v>
                </c:pt>
                <c:pt idx="10">
                  <c:v>468.49203834186778</c:v>
                </c:pt>
                <c:pt idx="11">
                  <c:v>530.76379538757237</c:v>
                </c:pt>
                <c:pt idx="12">
                  <c:v>595.98887193679718</c:v>
                </c:pt>
                <c:pt idx="13">
                  <c:v>664.13453988574975</c:v>
                </c:pt>
                <c:pt idx="14">
                  <c:v>735.17163805297241</c:v>
                </c:pt>
                <c:pt idx="15">
                  <c:v>809.07394276431091</c:v>
                </c:pt>
                <c:pt idx="16">
                  <c:v>885.81768449388062</c:v>
                </c:pt>
                <c:pt idx="17">
                  <c:v>965.38116969283624</c:v>
                </c:pt>
                <c:pt idx="18">
                  <c:v>1047.7444800827682</c:v>
                </c:pt>
                <c:pt idx="19">
                  <c:v>1132.8892301201126</c:v>
                </c:pt>
                <c:pt idx="20">
                  <c:v>1218.0339801574571</c:v>
                </c:pt>
                <c:pt idx="21">
                  <c:v>1303.1787301948016</c:v>
                </c:pt>
                <c:pt idx="22">
                  <c:v>1385.7169395043861</c:v>
                </c:pt>
                <c:pt idx="23">
                  <c:v>1465.6486080862105</c:v>
                </c:pt>
                <c:pt idx="24">
                  <c:v>1542.973735940275</c:v>
                </c:pt>
                <c:pt idx="25">
                  <c:v>1617.6923230665795</c:v>
                </c:pt>
                <c:pt idx="26">
                  <c:v>1689.8043694651242</c:v>
                </c:pt>
                <c:pt idx="27">
                  <c:v>1759.3098751359089</c:v>
                </c:pt>
                <c:pt idx="28">
                  <c:v>1826.2088400789335</c:v>
                </c:pt>
                <c:pt idx="29">
                  <c:v>1890.5012642941981</c:v>
                </c:pt>
                <c:pt idx="30">
                  <c:v>1952.1871477817028</c:v>
                </c:pt>
                <c:pt idx="31">
                  <c:v>2011.2664905414476</c:v>
                </c:pt>
                <c:pt idx="32">
                  <c:v>2067.7392925734325</c:v>
                </c:pt>
                <c:pt idx="33">
                  <c:v>2121.6055538776573</c:v>
                </c:pt>
                <c:pt idx="34">
                  <c:v>2172.8652744541218</c:v>
                </c:pt>
                <c:pt idx="35">
                  <c:v>2221.5184543028267</c:v>
                </c:pt>
                <c:pt idx="36">
                  <c:v>2267.5650934237715</c:v>
                </c:pt>
                <c:pt idx="37">
                  <c:v>2311.0051918169565</c:v>
                </c:pt>
                <c:pt idx="38">
                  <c:v>2351.8387494823814</c:v>
                </c:pt>
                <c:pt idx="39">
                  <c:v>2390.0657664200462</c:v>
                </c:pt>
                <c:pt idx="40">
                  <c:v>2422.3688169800462</c:v>
                </c:pt>
                <c:pt idx="41">
                  <c:v>2454.6718675400462</c:v>
                </c:pt>
                <c:pt idx="42">
                  <c:v>2486.9749181000461</c:v>
                </c:pt>
                <c:pt idx="43">
                  <c:v>2519.2779686600461</c:v>
                </c:pt>
                <c:pt idx="44">
                  <c:v>2551.5810192200461</c:v>
                </c:pt>
                <c:pt idx="45">
                  <c:v>2583.884069780046</c:v>
                </c:pt>
                <c:pt idx="46">
                  <c:v>2616.187120340046</c:v>
                </c:pt>
                <c:pt idx="47">
                  <c:v>2648.490170900046</c:v>
                </c:pt>
                <c:pt idx="48">
                  <c:v>2680.793221460046</c:v>
                </c:pt>
                <c:pt idx="49">
                  <c:v>2713.0962720200459</c:v>
                </c:pt>
                <c:pt idx="50">
                  <c:v>2745.3993225800459</c:v>
                </c:pt>
                <c:pt idx="51">
                  <c:v>2777.7023731400459</c:v>
                </c:pt>
                <c:pt idx="52">
                  <c:v>2810.0054237000459</c:v>
                </c:pt>
                <c:pt idx="53">
                  <c:v>2842.3084742600458</c:v>
                </c:pt>
                <c:pt idx="54">
                  <c:v>2874.6115248200458</c:v>
                </c:pt>
                <c:pt idx="55">
                  <c:v>2906.9145753800458</c:v>
                </c:pt>
                <c:pt idx="56">
                  <c:v>2939.2176259400458</c:v>
                </c:pt>
                <c:pt idx="57">
                  <c:v>2971.5206765000457</c:v>
                </c:pt>
                <c:pt idx="58">
                  <c:v>3003.8237270600457</c:v>
                </c:pt>
                <c:pt idx="59">
                  <c:v>3036.1267776200457</c:v>
                </c:pt>
                <c:pt idx="60">
                  <c:v>3068.4298281800457</c:v>
                </c:pt>
                <c:pt idx="61">
                  <c:v>3100.7328787400456</c:v>
                </c:pt>
                <c:pt idx="62">
                  <c:v>3133.0359293000456</c:v>
                </c:pt>
                <c:pt idx="63">
                  <c:v>3165.3389798600456</c:v>
                </c:pt>
                <c:pt idx="64">
                  <c:v>3197.6420304200456</c:v>
                </c:pt>
                <c:pt idx="65">
                  <c:v>3229.9450809800455</c:v>
                </c:pt>
                <c:pt idx="66">
                  <c:v>3262.2481315400455</c:v>
                </c:pt>
                <c:pt idx="67">
                  <c:v>3294.5511821000455</c:v>
                </c:pt>
                <c:pt idx="68">
                  <c:v>3326.8542326600455</c:v>
                </c:pt>
                <c:pt idx="69">
                  <c:v>3359.1572832200454</c:v>
                </c:pt>
                <c:pt idx="70">
                  <c:v>3391.4603337800454</c:v>
                </c:pt>
                <c:pt idx="71">
                  <c:v>3423.7633843400454</c:v>
                </c:pt>
                <c:pt idx="72">
                  <c:v>3456.0664349000454</c:v>
                </c:pt>
                <c:pt idx="73">
                  <c:v>3488.3694854600453</c:v>
                </c:pt>
                <c:pt idx="74">
                  <c:v>3520.6725360200453</c:v>
                </c:pt>
                <c:pt idx="75">
                  <c:v>3552.9755865800453</c:v>
                </c:pt>
                <c:pt idx="76">
                  <c:v>3585.2786371400452</c:v>
                </c:pt>
                <c:pt idx="77">
                  <c:v>3617.5816877000452</c:v>
                </c:pt>
                <c:pt idx="78">
                  <c:v>3649.8847382600452</c:v>
                </c:pt>
                <c:pt idx="79">
                  <c:v>3682.1877888200452</c:v>
                </c:pt>
              </c:numCache>
            </c:numRef>
          </c:yVal>
          <c:smooth val="1"/>
          <c:extLst>
            <c:ext xmlns:c16="http://schemas.microsoft.com/office/drawing/2014/chart" uri="{C3380CC4-5D6E-409C-BE32-E72D297353CC}">
              <c16:uniqueId val="{00000001-4C18-40C4-AA37-92411ED47C02}"/>
            </c:ext>
          </c:extLst>
        </c:ser>
        <c:dLbls>
          <c:showLegendKey val="0"/>
          <c:showVal val="0"/>
          <c:showCatName val="0"/>
          <c:showSerName val="0"/>
          <c:showPercent val="0"/>
          <c:showBubbleSize val="0"/>
        </c:dLbls>
        <c:axId val="327121272"/>
        <c:axId val="327124552"/>
      </c:scatterChart>
      <c:valAx>
        <c:axId val="327121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sz="1200">
                    <a:solidFill>
                      <a:sysClr val="windowText" lastClr="000000"/>
                    </a:solidFill>
                  </a:defRPr>
                </a:pPr>
                <a:r>
                  <a:rPr lang="fi-FI" sz="1200">
                    <a:solidFill>
                      <a:sysClr val="windowText" lastClr="000000"/>
                    </a:solidFill>
                  </a:rPr>
                  <a:t>Age</a:t>
                </a:r>
              </a:p>
              <a:p>
                <a:pPr>
                  <a:defRPr sz="1200">
                    <a:solidFill>
                      <a:sysClr val="windowText" lastClr="000000"/>
                    </a:solidFill>
                  </a:defRPr>
                </a:pPr>
                <a:endParaRPr lang="fi-FI" sz="1200">
                  <a:solidFill>
                    <a:sysClr val="windowText" lastClr="000000"/>
                  </a:solidFill>
                </a:endParaRP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i-FI"/>
          </a:p>
        </c:txPr>
        <c:crossAx val="327124552"/>
        <c:crosses val="autoZero"/>
        <c:crossBetween val="midCat"/>
      </c:valAx>
      <c:valAx>
        <c:axId val="327124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100">
                    <a:solidFill>
                      <a:sysClr val="windowText" lastClr="000000"/>
                    </a:solidFill>
                  </a:defRPr>
                </a:pPr>
                <a:r>
                  <a:rPr lang="fi-FI" sz="1100">
                    <a:solidFill>
                      <a:sysClr val="windowText" lastClr="000000"/>
                    </a:solidFill>
                  </a:rPr>
                  <a:t>CO2</a:t>
                </a:r>
                <a:r>
                  <a:rPr lang="fi-FI" sz="1100" baseline="0">
                    <a:solidFill>
                      <a:sysClr val="windowText" lastClr="000000"/>
                    </a:solidFill>
                  </a:rPr>
                  <a:t> </a:t>
                </a:r>
                <a:r>
                  <a:rPr lang="fi-FI" sz="1100">
                    <a:solidFill>
                      <a:sysClr val="windowText" lastClr="000000"/>
                    </a:solidFill>
                  </a:rPr>
                  <a:t> kg /age</a:t>
                </a:r>
              </a:p>
            </c:rich>
          </c:tx>
          <c:layout>
            <c:manualLayout>
              <c:xMode val="edge"/>
              <c:yMode val="edge"/>
              <c:x val="5.2915292706950452E-2"/>
              <c:y val="0.38313661745919791"/>
            </c:manualLayout>
          </c:layout>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fi-FI"/>
          </a:p>
        </c:txPr>
        <c:crossAx val="327121272"/>
        <c:crosses val="autoZero"/>
        <c:crossBetween val="midCat"/>
      </c:valAx>
    </c:plotArea>
    <c:legend>
      <c:legendPos val="r"/>
      <c:layout>
        <c:manualLayout>
          <c:xMode val="edge"/>
          <c:yMode val="edge"/>
          <c:x val="0.78863011457614518"/>
          <c:y val="0.50763020125869762"/>
          <c:w val="0.21136990902037336"/>
          <c:h val="0.20349160743181538"/>
        </c:manualLayout>
      </c:layout>
      <c:overlay val="0"/>
      <c:txPr>
        <a:bodyPr/>
        <a:lstStyle/>
        <a:p>
          <a:pPr>
            <a:defRPr sz="1200" b="1"/>
          </a:pPr>
          <a:endParaRPr lang="fi-FI"/>
        </a:p>
      </c:txPr>
    </c:legend>
    <c:plotVisOnly val="1"/>
    <c:dispBlanksAs val="gap"/>
    <c:showDLblsOverMax val="0"/>
    <c:extLst/>
  </c:chart>
  <c:txPr>
    <a:bodyPr/>
    <a:lstStyle/>
    <a:p>
      <a:pPr>
        <a:defRPr/>
      </a:pPr>
      <a:endParaRPr lang="fi-FI"/>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1400"/>
            </a:pPr>
            <a:r>
              <a:rPr lang="en-US" sz="1400"/>
              <a:t>CO2 sequestration vs Age</a:t>
            </a:r>
          </a:p>
        </c:rich>
      </c:tx>
      <c:overlay val="0"/>
      <c:spPr>
        <a:noFill/>
        <a:ln>
          <a:noFill/>
        </a:ln>
        <a:effectLst/>
      </c:spPr>
    </c:title>
    <c:autoTitleDeleted val="0"/>
    <c:plotArea>
      <c:layout>
        <c:manualLayout>
          <c:layoutTarget val="inner"/>
          <c:xMode val="edge"/>
          <c:yMode val="edge"/>
          <c:x val="0.16811920502101099"/>
          <c:y val="0.15835221686329246"/>
          <c:w val="0.56435387944929261"/>
          <c:h val="0.63357853439173484"/>
        </c:manualLayout>
      </c:layout>
      <c:scatterChart>
        <c:scatterStyle val="smoothMarker"/>
        <c:varyColors val="0"/>
        <c:ser>
          <c:idx val="0"/>
          <c:order val="0"/>
          <c:tx>
            <c:strRef>
              <c:f>Tree4!$F$8</c:f>
              <c:strCache>
                <c:ptCount val="1"/>
                <c:pt idx="0">
                  <c:v>CO2 
Sequestration Rate</c:v>
                </c:pt>
              </c:strCache>
            </c:strRef>
          </c:tx>
          <c:spPr>
            <a:ln w="19050" cap="rnd">
              <a:solidFill>
                <a:schemeClr val="accent1"/>
              </a:solidFill>
              <a:round/>
            </a:ln>
            <a:effectLst/>
          </c:spPr>
          <c:marker>
            <c:symbol val="none"/>
          </c:marker>
          <c:xVal>
            <c:numRef>
              <c:f>Tree4!$A$16:$A$89</c:f>
              <c:numCache>
                <c:formatCode>General</c:formatCode>
                <c:ptCount val="74"/>
                <c:pt idx="0">
                  <c:v>7</c:v>
                </c:pt>
                <c:pt idx="1">
                  <c:v>8</c:v>
                </c:pt>
                <c:pt idx="2">
                  <c:v>9</c:v>
                </c:pt>
                <c:pt idx="3">
                  <c:v>10</c:v>
                </c:pt>
                <c:pt idx="4">
                  <c:v>11</c:v>
                </c:pt>
                <c:pt idx="5">
                  <c:v>12</c:v>
                </c:pt>
                <c:pt idx="6">
                  <c:v>13</c:v>
                </c:pt>
                <c:pt idx="7">
                  <c:v>14</c:v>
                </c:pt>
                <c:pt idx="8">
                  <c:v>15</c:v>
                </c:pt>
                <c:pt idx="9">
                  <c:v>16</c:v>
                </c:pt>
                <c:pt idx="10">
                  <c:v>17</c:v>
                </c:pt>
                <c:pt idx="11">
                  <c:v>18</c:v>
                </c:pt>
                <c:pt idx="12">
                  <c:v>19</c:v>
                </c:pt>
                <c:pt idx="13">
                  <c:v>20</c:v>
                </c:pt>
                <c:pt idx="14">
                  <c:v>21</c:v>
                </c:pt>
                <c:pt idx="15">
                  <c:v>22</c:v>
                </c:pt>
                <c:pt idx="16">
                  <c:v>23</c:v>
                </c:pt>
                <c:pt idx="17">
                  <c:v>24</c:v>
                </c:pt>
                <c:pt idx="18">
                  <c:v>25</c:v>
                </c:pt>
                <c:pt idx="19">
                  <c:v>26</c:v>
                </c:pt>
                <c:pt idx="20">
                  <c:v>27</c:v>
                </c:pt>
                <c:pt idx="21">
                  <c:v>28</c:v>
                </c:pt>
                <c:pt idx="22">
                  <c:v>29</c:v>
                </c:pt>
                <c:pt idx="23">
                  <c:v>30</c:v>
                </c:pt>
                <c:pt idx="24">
                  <c:v>31</c:v>
                </c:pt>
                <c:pt idx="25">
                  <c:v>32</c:v>
                </c:pt>
                <c:pt idx="26">
                  <c:v>33</c:v>
                </c:pt>
                <c:pt idx="27">
                  <c:v>34</c:v>
                </c:pt>
                <c:pt idx="28">
                  <c:v>35</c:v>
                </c:pt>
                <c:pt idx="29">
                  <c:v>36</c:v>
                </c:pt>
                <c:pt idx="30">
                  <c:v>37</c:v>
                </c:pt>
                <c:pt idx="31">
                  <c:v>38</c:v>
                </c:pt>
                <c:pt idx="32">
                  <c:v>39</c:v>
                </c:pt>
                <c:pt idx="33">
                  <c:v>40</c:v>
                </c:pt>
                <c:pt idx="34">
                  <c:v>41</c:v>
                </c:pt>
                <c:pt idx="35">
                  <c:v>42</c:v>
                </c:pt>
                <c:pt idx="36">
                  <c:v>43</c:v>
                </c:pt>
                <c:pt idx="37">
                  <c:v>44</c:v>
                </c:pt>
                <c:pt idx="38">
                  <c:v>45</c:v>
                </c:pt>
                <c:pt idx="39">
                  <c:v>46</c:v>
                </c:pt>
                <c:pt idx="40">
                  <c:v>47</c:v>
                </c:pt>
                <c:pt idx="41">
                  <c:v>48</c:v>
                </c:pt>
                <c:pt idx="42">
                  <c:v>49</c:v>
                </c:pt>
                <c:pt idx="43">
                  <c:v>50</c:v>
                </c:pt>
                <c:pt idx="44">
                  <c:v>51</c:v>
                </c:pt>
                <c:pt idx="45">
                  <c:v>52</c:v>
                </c:pt>
                <c:pt idx="46">
                  <c:v>53</c:v>
                </c:pt>
                <c:pt idx="47">
                  <c:v>54</c:v>
                </c:pt>
                <c:pt idx="48">
                  <c:v>55</c:v>
                </c:pt>
                <c:pt idx="49">
                  <c:v>56</c:v>
                </c:pt>
                <c:pt idx="50">
                  <c:v>57</c:v>
                </c:pt>
                <c:pt idx="51">
                  <c:v>58</c:v>
                </c:pt>
                <c:pt idx="52">
                  <c:v>59</c:v>
                </c:pt>
                <c:pt idx="53">
                  <c:v>60</c:v>
                </c:pt>
                <c:pt idx="54">
                  <c:v>61</c:v>
                </c:pt>
                <c:pt idx="55">
                  <c:v>62</c:v>
                </c:pt>
                <c:pt idx="56">
                  <c:v>63</c:v>
                </c:pt>
                <c:pt idx="57">
                  <c:v>64</c:v>
                </c:pt>
                <c:pt idx="58">
                  <c:v>65</c:v>
                </c:pt>
                <c:pt idx="59">
                  <c:v>66</c:v>
                </c:pt>
                <c:pt idx="60">
                  <c:v>67</c:v>
                </c:pt>
                <c:pt idx="61">
                  <c:v>68</c:v>
                </c:pt>
                <c:pt idx="62">
                  <c:v>69</c:v>
                </c:pt>
                <c:pt idx="63">
                  <c:v>70</c:v>
                </c:pt>
                <c:pt idx="64">
                  <c:v>71</c:v>
                </c:pt>
                <c:pt idx="65">
                  <c:v>72</c:v>
                </c:pt>
                <c:pt idx="66">
                  <c:v>73</c:v>
                </c:pt>
                <c:pt idx="67">
                  <c:v>74</c:v>
                </c:pt>
                <c:pt idx="68">
                  <c:v>75</c:v>
                </c:pt>
                <c:pt idx="69">
                  <c:v>76</c:v>
                </c:pt>
                <c:pt idx="70">
                  <c:v>77</c:v>
                </c:pt>
                <c:pt idx="71">
                  <c:v>78</c:v>
                </c:pt>
                <c:pt idx="72">
                  <c:v>79</c:v>
                </c:pt>
                <c:pt idx="73">
                  <c:v>80</c:v>
                </c:pt>
              </c:numCache>
            </c:numRef>
          </c:xVal>
          <c:yVal>
            <c:numRef>
              <c:f>Tree4!$F$16:$F$89</c:f>
              <c:numCache>
                <c:formatCode>General</c:formatCode>
                <c:ptCount val="74"/>
                <c:pt idx="0">
                  <c:v>11.251211386729153</c:v>
                </c:pt>
                <c:pt idx="1">
                  <c:v>30.164946606287572</c:v>
                </c:pt>
                <c:pt idx="2">
                  <c:v>47.169293364539158</c:v>
                </c:pt>
                <c:pt idx="3">
                  <c:v>61.572262609653706</c:v>
                </c:pt>
                <c:pt idx="4">
                  <c:v>73.100970203969155</c:v>
                </c:pt>
                <c:pt idx="5">
                  <c:v>81.826189355295583</c:v>
                </c:pt>
                <c:pt idx="6">
                  <c:v>88.061184139896341</c:v>
                </c:pt>
                <c:pt idx="7">
                  <c:v>92.255267532125004</c:v>
                </c:pt>
                <c:pt idx="8">
                  <c:v>94.898714029724658</c:v>
                </c:pt>
                <c:pt idx="9">
                  <c:v>96.450139337016083</c:v>
                </c:pt>
                <c:pt idx="10">
                  <c:v>97.291310221285812</c:v>
                </c:pt>
                <c:pt idx="11">
                  <c:v>97.708601679978926</c:v>
                </c:pt>
                <c:pt idx="12">
                  <c:v>97.895859531113615</c:v>
                </c:pt>
                <c:pt idx="13">
                  <c:v>97.970872529245071</c:v>
                </c:pt>
                <c:pt idx="14">
                  <c:v>97.997247641408592</c:v>
                </c:pt>
                <c:pt idx="15">
                  <c:v>98.004960168738535</c:v>
                </c:pt>
                <c:pt idx="16">
                  <c:v>98.005354381949985</c:v>
                </c:pt>
                <c:pt idx="17">
                  <c:v>97.998316085075771</c:v>
                </c:pt>
                <c:pt idx="18">
                  <c:v>97.968306269976551</c:v>
                </c:pt>
                <c:pt idx="19" formatCode="0.00">
                  <c:v>52.450477219141931</c:v>
                </c:pt>
                <c:pt idx="20" formatCode="0.00">
                  <c:v>52.450477219141931</c:v>
                </c:pt>
                <c:pt idx="21" formatCode="0.00">
                  <c:v>52.450477219141931</c:v>
                </c:pt>
                <c:pt idx="22" formatCode="0.00">
                  <c:v>52.450477219141931</c:v>
                </c:pt>
                <c:pt idx="23" formatCode="0.00">
                  <c:v>52.450477219141931</c:v>
                </c:pt>
                <c:pt idx="24" formatCode="0.00">
                  <c:v>52.450477219141931</c:v>
                </c:pt>
                <c:pt idx="25" formatCode="0.00">
                  <c:v>52.450477219141931</c:v>
                </c:pt>
                <c:pt idx="26" formatCode="0.00">
                  <c:v>52.450477219141931</c:v>
                </c:pt>
                <c:pt idx="27" formatCode="0.00">
                  <c:v>52.450477219141931</c:v>
                </c:pt>
                <c:pt idx="28" formatCode="0.00">
                  <c:v>52.450477219141931</c:v>
                </c:pt>
                <c:pt idx="29" formatCode="0.00">
                  <c:v>52.450477219141703</c:v>
                </c:pt>
                <c:pt idx="30" formatCode="0.00">
                  <c:v>52.450477219141703</c:v>
                </c:pt>
                <c:pt idx="31" formatCode="0.00">
                  <c:v>52.450477219141703</c:v>
                </c:pt>
                <c:pt idx="32" formatCode="0.00">
                  <c:v>52.450477219141703</c:v>
                </c:pt>
                <c:pt idx="33" formatCode="0.00">
                  <c:v>52.450477219141703</c:v>
                </c:pt>
                <c:pt idx="34" formatCode="0.00">
                  <c:v>52.450477219141703</c:v>
                </c:pt>
                <c:pt idx="35" formatCode="0.00">
                  <c:v>52.450477219141703</c:v>
                </c:pt>
                <c:pt idx="36" formatCode="0.00">
                  <c:v>52.450477219141703</c:v>
                </c:pt>
                <c:pt idx="37" formatCode="0.00">
                  <c:v>52.450477219141703</c:v>
                </c:pt>
                <c:pt idx="38" formatCode="0.00">
                  <c:v>52.450477219141703</c:v>
                </c:pt>
                <c:pt idx="39" formatCode="0.00">
                  <c:v>52.450477219141703</c:v>
                </c:pt>
                <c:pt idx="40" formatCode="0.00">
                  <c:v>52.450477219141703</c:v>
                </c:pt>
                <c:pt idx="41" formatCode="0.00">
                  <c:v>52.450477219141703</c:v>
                </c:pt>
                <c:pt idx="42" formatCode="0.00">
                  <c:v>52.450477219141703</c:v>
                </c:pt>
                <c:pt idx="43" formatCode="0.00">
                  <c:v>52.450477219141703</c:v>
                </c:pt>
                <c:pt idx="44" formatCode="0.00">
                  <c:v>52.450477219141703</c:v>
                </c:pt>
                <c:pt idx="45" formatCode="0.00">
                  <c:v>52.450477219141703</c:v>
                </c:pt>
                <c:pt idx="46" formatCode="0.00">
                  <c:v>52.450477219141703</c:v>
                </c:pt>
                <c:pt idx="47" formatCode="0.00">
                  <c:v>52.450477219141703</c:v>
                </c:pt>
                <c:pt idx="48" formatCode="0.00">
                  <c:v>52.450477219141703</c:v>
                </c:pt>
                <c:pt idx="49" formatCode="0.00">
                  <c:v>52.450477219141703</c:v>
                </c:pt>
                <c:pt idx="50" formatCode="0.00">
                  <c:v>52.450477219141703</c:v>
                </c:pt>
                <c:pt idx="51" formatCode="0.00">
                  <c:v>52.450477219141703</c:v>
                </c:pt>
                <c:pt idx="52" formatCode="0.00">
                  <c:v>52.450477219141703</c:v>
                </c:pt>
                <c:pt idx="53" formatCode="0.00">
                  <c:v>52.450477219141703</c:v>
                </c:pt>
                <c:pt idx="54" formatCode="0.00">
                  <c:v>52.450477219141703</c:v>
                </c:pt>
                <c:pt idx="55" formatCode="0.00">
                  <c:v>52.450477219141703</c:v>
                </c:pt>
                <c:pt idx="56" formatCode="0.00">
                  <c:v>52.450477219141703</c:v>
                </c:pt>
                <c:pt idx="57" formatCode="0.00">
                  <c:v>52.450477219141703</c:v>
                </c:pt>
                <c:pt idx="58" formatCode="0.00">
                  <c:v>52.450477219141703</c:v>
                </c:pt>
                <c:pt idx="59" formatCode="0.00">
                  <c:v>52.450477219141703</c:v>
                </c:pt>
                <c:pt idx="60" formatCode="0.00">
                  <c:v>52.450477219141703</c:v>
                </c:pt>
                <c:pt idx="61" formatCode="0.00">
                  <c:v>52.450477219141703</c:v>
                </c:pt>
                <c:pt idx="62" formatCode="0.00">
                  <c:v>52.450477219141703</c:v>
                </c:pt>
                <c:pt idx="63" formatCode="0.00">
                  <c:v>52.450477219141703</c:v>
                </c:pt>
                <c:pt idx="64" formatCode="0.00">
                  <c:v>52.450477219141703</c:v>
                </c:pt>
                <c:pt idx="65" formatCode="0.00">
                  <c:v>52.450477219141703</c:v>
                </c:pt>
                <c:pt idx="66" formatCode="0.00">
                  <c:v>52.450477219141703</c:v>
                </c:pt>
                <c:pt idx="67" formatCode="0.00">
                  <c:v>52.450477219141703</c:v>
                </c:pt>
                <c:pt idx="68" formatCode="0.00">
                  <c:v>52.450477219142158</c:v>
                </c:pt>
                <c:pt idx="69" formatCode="0.00">
                  <c:v>52.450477219142158</c:v>
                </c:pt>
                <c:pt idx="70" formatCode="0.00">
                  <c:v>52.450477219142158</c:v>
                </c:pt>
                <c:pt idx="71" formatCode="0.00">
                  <c:v>52.450477219142158</c:v>
                </c:pt>
                <c:pt idx="72" formatCode="0.00">
                  <c:v>52.450477219142158</c:v>
                </c:pt>
                <c:pt idx="73" formatCode="0.00">
                  <c:v>52.450477219142158</c:v>
                </c:pt>
              </c:numCache>
            </c:numRef>
          </c:yVal>
          <c:smooth val="1"/>
          <c:extLst>
            <c:ext xmlns:c16="http://schemas.microsoft.com/office/drawing/2014/chart" uri="{C3380CC4-5D6E-409C-BE32-E72D297353CC}">
              <c16:uniqueId val="{00000000-D812-4393-8FB0-CF173F54E382}"/>
            </c:ext>
          </c:extLst>
        </c:ser>
        <c:ser>
          <c:idx val="1"/>
          <c:order val="1"/>
          <c:tx>
            <c:strRef>
              <c:f>Tree4!$H$8</c:f>
              <c:strCache>
                <c:ptCount val="1"/>
                <c:pt idx="0">
                  <c:v>New CO2 Sequestration Rate</c:v>
                </c:pt>
              </c:strCache>
            </c:strRef>
          </c:tx>
          <c:marker>
            <c:symbol val="none"/>
          </c:marker>
          <c:xVal>
            <c:numRef>
              <c:f>Tree4!$A$10:$A$89</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Tree4!$H$10:$H$89</c:f>
              <c:numCache>
                <c:formatCode>General</c:formatCode>
                <c:ptCount val="80"/>
                <c:pt idx="0">
                  <c:v>1.607315912389879</c:v>
                </c:pt>
                <c:pt idx="1">
                  <c:v>1.607315912389879</c:v>
                </c:pt>
                <c:pt idx="2">
                  <c:v>1.607315912389879</c:v>
                </c:pt>
                <c:pt idx="3">
                  <c:v>1.607315912389879</c:v>
                </c:pt>
                <c:pt idx="4">
                  <c:v>1.607315912389879</c:v>
                </c:pt>
                <c:pt idx="5">
                  <c:v>1.607315912389879</c:v>
                </c:pt>
                <c:pt idx="6">
                  <c:v>1.607315912389879</c:v>
                </c:pt>
                <c:pt idx="7">
                  <c:v>30.164946606287572</c:v>
                </c:pt>
                <c:pt idx="8">
                  <c:v>47.169293364539158</c:v>
                </c:pt>
                <c:pt idx="9">
                  <c:v>61.572262609653706</c:v>
                </c:pt>
                <c:pt idx="10">
                  <c:v>73.100970203969155</c:v>
                </c:pt>
                <c:pt idx="11">
                  <c:v>81.826189355295583</c:v>
                </c:pt>
                <c:pt idx="12">
                  <c:v>88.061184139896341</c:v>
                </c:pt>
                <c:pt idx="13">
                  <c:v>92.255267532125004</c:v>
                </c:pt>
                <c:pt idx="14">
                  <c:v>94.898714029724715</c:v>
                </c:pt>
                <c:pt idx="15">
                  <c:v>96.450139337016026</c:v>
                </c:pt>
                <c:pt idx="16">
                  <c:v>97.291310221285812</c:v>
                </c:pt>
                <c:pt idx="17">
                  <c:v>97.708601679978983</c:v>
                </c:pt>
                <c:pt idx="18">
                  <c:v>97.895859531113615</c:v>
                </c:pt>
                <c:pt idx="19">
                  <c:v>97.970872529244957</c:v>
                </c:pt>
                <c:pt idx="20">
                  <c:v>97.997247641408649</c:v>
                </c:pt>
                <c:pt idx="21">
                  <c:v>98.004960168738535</c:v>
                </c:pt>
                <c:pt idx="22">
                  <c:v>98.005354381949928</c:v>
                </c:pt>
                <c:pt idx="23">
                  <c:v>97.998316085075885</c:v>
                </c:pt>
                <c:pt idx="24">
                  <c:v>97.968306269976438</c:v>
                </c:pt>
                <c:pt idx="25" formatCode="0.00">
                  <c:v>97.968306269976438</c:v>
                </c:pt>
                <c:pt idx="26" formatCode="0.00">
                  <c:v>95</c:v>
                </c:pt>
                <c:pt idx="27" formatCode="0.00">
                  <c:v>93.177413140649833</c:v>
                </c:pt>
                <c:pt idx="28" formatCode="0.00">
                  <c:v>91.354826281299665</c:v>
                </c:pt>
                <c:pt idx="29" formatCode="0.00">
                  <c:v>89.532239421949498</c:v>
                </c:pt>
                <c:pt idx="30" formatCode="0.00">
                  <c:v>87.709652562599331</c:v>
                </c:pt>
                <c:pt idx="31" formatCode="0.00">
                  <c:v>85.887065703249164</c:v>
                </c:pt>
                <c:pt idx="32" formatCode="0.00">
                  <c:v>84.064478843898996</c:v>
                </c:pt>
                <c:pt idx="33" formatCode="0.00">
                  <c:v>82.241891984548829</c:v>
                </c:pt>
                <c:pt idx="34" formatCode="0.00">
                  <c:v>80.419305125198662</c:v>
                </c:pt>
                <c:pt idx="35" formatCode="0.00">
                  <c:v>78.596718265848494</c:v>
                </c:pt>
                <c:pt idx="36" formatCode="0.00">
                  <c:v>76.774131406498327</c:v>
                </c:pt>
                <c:pt idx="37" formatCode="0.00">
                  <c:v>74.95154454714816</c:v>
                </c:pt>
                <c:pt idx="38" formatCode="0.00">
                  <c:v>73.128957687797993</c:v>
                </c:pt>
                <c:pt idx="39" formatCode="0.00">
                  <c:v>71.306370828447825</c:v>
                </c:pt>
                <c:pt idx="40" formatCode="0.00">
                  <c:v>69.483783969097658</c:v>
                </c:pt>
                <c:pt idx="41" formatCode="0.00">
                  <c:v>67.661197109747491</c:v>
                </c:pt>
                <c:pt idx="42" formatCode="0.00">
                  <c:v>65.838610250397323</c:v>
                </c:pt>
                <c:pt idx="43" formatCode="0.00">
                  <c:v>64.016023391047156</c:v>
                </c:pt>
                <c:pt idx="44" formatCode="0.00">
                  <c:v>62.193436531696982</c:v>
                </c:pt>
                <c:pt idx="45" formatCode="0.00">
                  <c:v>60.370849672346807</c:v>
                </c:pt>
                <c:pt idx="46" formatCode="0.00">
                  <c:v>58.548262812996633</c:v>
                </c:pt>
                <c:pt idx="47" formatCode="0.00">
                  <c:v>56.725675953646459</c:v>
                </c:pt>
                <c:pt idx="48" formatCode="0.00">
                  <c:v>54.903089094296284</c:v>
                </c:pt>
                <c:pt idx="49" formatCode="0.00">
                  <c:v>53.08050223494611</c:v>
                </c:pt>
                <c:pt idx="50" formatCode="0.00">
                  <c:v>52.450477219141703</c:v>
                </c:pt>
                <c:pt idx="51" formatCode="0.00">
                  <c:v>52.450477219141703</c:v>
                </c:pt>
                <c:pt idx="52" formatCode="0.00">
                  <c:v>52.450477219141703</c:v>
                </c:pt>
                <c:pt idx="53" formatCode="0.00">
                  <c:v>52.450477219141703</c:v>
                </c:pt>
                <c:pt idx="54" formatCode="0.00">
                  <c:v>52.450477219141703</c:v>
                </c:pt>
                <c:pt idx="55" formatCode="0.00">
                  <c:v>52.450477219141703</c:v>
                </c:pt>
                <c:pt idx="56" formatCode="0.00">
                  <c:v>52.450477219141703</c:v>
                </c:pt>
                <c:pt idx="57" formatCode="0.00">
                  <c:v>52.450477219141703</c:v>
                </c:pt>
                <c:pt idx="58" formatCode="0.00">
                  <c:v>52.450477219141703</c:v>
                </c:pt>
                <c:pt idx="59" formatCode="0.00">
                  <c:v>52.450477219141703</c:v>
                </c:pt>
                <c:pt idx="60" formatCode="0.00">
                  <c:v>52.450477219141703</c:v>
                </c:pt>
                <c:pt idx="61" formatCode="0.00">
                  <c:v>52.450477219141703</c:v>
                </c:pt>
                <c:pt idx="62" formatCode="0.00">
                  <c:v>52.450477219141703</c:v>
                </c:pt>
                <c:pt idx="63" formatCode="0.00">
                  <c:v>52.450477219141703</c:v>
                </c:pt>
                <c:pt idx="64" formatCode="0.00">
                  <c:v>52.450477219141703</c:v>
                </c:pt>
                <c:pt idx="65" formatCode="0.00">
                  <c:v>52.450477219141703</c:v>
                </c:pt>
                <c:pt idx="66" formatCode="0.00">
                  <c:v>52.450477219141703</c:v>
                </c:pt>
                <c:pt idx="67" formatCode="0.00">
                  <c:v>52.450477219141703</c:v>
                </c:pt>
                <c:pt idx="68" formatCode="0.00">
                  <c:v>52.450477219141703</c:v>
                </c:pt>
                <c:pt idx="69" formatCode="0.00">
                  <c:v>52.450477219141703</c:v>
                </c:pt>
                <c:pt idx="70" formatCode="0.00">
                  <c:v>52.450477219141703</c:v>
                </c:pt>
                <c:pt idx="71" formatCode="0.00">
                  <c:v>52.450477219141703</c:v>
                </c:pt>
                <c:pt idx="72" formatCode="0.00">
                  <c:v>52.450477219141703</c:v>
                </c:pt>
                <c:pt idx="73" formatCode="0.00">
                  <c:v>52.450477219141703</c:v>
                </c:pt>
                <c:pt idx="74" formatCode="0.00">
                  <c:v>52.450477219141703</c:v>
                </c:pt>
                <c:pt idx="75" formatCode="0.00">
                  <c:v>52.450477219141703</c:v>
                </c:pt>
                <c:pt idx="76" formatCode="0.00">
                  <c:v>52.450477219141703</c:v>
                </c:pt>
                <c:pt idx="77" formatCode="0.00">
                  <c:v>52.450477219141703</c:v>
                </c:pt>
                <c:pt idx="78" formatCode="0.00">
                  <c:v>52.450477219141703</c:v>
                </c:pt>
                <c:pt idx="79" formatCode="0.00">
                  <c:v>50.627890359791529</c:v>
                </c:pt>
              </c:numCache>
            </c:numRef>
          </c:yVal>
          <c:smooth val="1"/>
          <c:extLst>
            <c:ext xmlns:c16="http://schemas.microsoft.com/office/drawing/2014/chart" uri="{C3380CC4-5D6E-409C-BE32-E72D297353CC}">
              <c16:uniqueId val="{00000001-01B1-4D76-9550-62E3FF3235A5}"/>
            </c:ext>
          </c:extLst>
        </c:ser>
        <c:dLbls>
          <c:showLegendKey val="0"/>
          <c:showVal val="0"/>
          <c:showCatName val="0"/>
          <c:showSerName val="0"/>
          <c:showPercent val="0"/>
          <c:showBubbleSize val="0"/>
        </c:dLbls>
        <c:axId val="327121272"/>
        <c:axId val="327124552"/>
      </c:scatterChart>
      <c:valAx>
        <c:axId val="327121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a:pPr>
                <a:r>
                  <a:rPr lang="fi-FI"/>
                  <a:t>Years</a:t>
                </a:r>
              </a:p>
              <a:p>
                <a:pPr>
                  <a:defRPr/>
                </a:pPr>
                <a:endParaRPr lang="fi-FI"/>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vert="horz"/>
          <a:lstStyle/>
          <a:p>
            <a:pPr>
              <a:defRPr sz="1000"/>
            </a:pPr>
            <a:endParaRPr lang="fi-FI"/>
          </a:p>
        </c:txPr>
        <c:crossAx val="327124552"/>
        <c:crosses val="autoZero"/>
        <c:crossBetween val="midCat"/>
      </c:valAx>
      <c:valAx>
        <c:axId val="327124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fi-FI"/>
                  <a:t>C02  kg / year</a:t>
                </a: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vert="horz"/>
          <a:lstStyle/>
          <a:p>
            <a:pPr>
              <a:defRPr sz="1100"/>
            </a:pPr>
            <a:endParaRPr lang="fi-FI"/>
          </a:p>
        </c:txPr>
        <c:crossAx val="327121272"/>
        <c:crosses val="autoZero"/>
        <c:crossBetween val="midCat"/>
      </c:valAx>
    </c:plotArea>
    <c:legend>
      <c:legendPos val="r"/>
      <c:layout>
        <c:manualLayout>
          <c:xMode val="edge"/>
          <c:yMode val="edge"/>
          <c:x val="0.75770793794204072"/>
          <c:y val="0.26301127959623788"/>
          <c:w val="0.22533653445279467"/>
          <c:h val="0.27909943884290989"/>
        </c:manualLayout>
      </c:layout>
      <c:overlay val="0"/>
    </c:legend>
    <c:plotVisOnly val="1"/>
    <c:dispBlanksAs val="gap"/>
    <c:showDLblsOverMax val="0"/>
    <c:extLst/>
  </c:chart>
  <c:txPr>
    <a:bodyPr/>
    <a:lstStyle/>
    <a:p>
      <a:pPr marL="0" marR="0" lvl="0" indent="0" algn="ctr" defTabSz="914400" rtl="0" eaLnBrk="1" fontAlgn="auto" latinLnBrk="0" hangingPunct="1">
        <a:lnSpc>
          <a:spcPct val="100000"/>
        </a:lnSpc>
        <a:spcBef>
          <a:spcPts val="0"/>
        </a:spcBef>
        <a:spcAft>
          <a:spcPts val="0"/>
        </a:spcAft>
        <a:buClrTx/>
        <a:buSzTx/>
        <a:buFontTx/>
        <a:buNone/>
        <a:tabLst/>
        <a:defRPr lang="en-US" sz="1200" b="1" i="0" u="none" strike="noStrike" kern="1200" baseline="0">
          <a:solidFill>
            <a:sysClr val="windowText" lastClr="000000"/>
          </a:solidFill>
          <a:effectLst/>
          <a:latin typeface="+mn-lt"/>
          <a:ea typeface="+mn-ea"/>
          <a:cs typeface="+mn-cs"/>
        </a:defRPr>
      </a:pPr>
      <a:endParaRPr lang="fi-FI"/>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1400"/>
            </a:pPr>
            <a:r>
              <a:rPr lang="en-US" sz="1400"/>
              <a:t>Cumulative CO2 Stored - Turkish Pine</a:t>
            </a:r>
          </a:p>
        </c:rich>
      </c:tx>
      <c:overlay val="0"/>
      <c:spPr>
        <a:noFill/>
        <a:ln>
          <a:noFill/>
        </a:ln>
        <a:effectLst/>
      </c:spPr>
    </c:title>
    <c:autoTitleDeleted val="0"/>
    <c:plotArea>
      <c:layout>
        <c:manualLayout>
          <c:layoutTarget val="inner"/>
          <c:xMode val="edge"/>
          <c:yMode val="edge"/>
          <c:x val="0.10821022378861794"/>
          <c:y val="0.11047617678250837"/>
          <c:w val="0.68668707683205854"/>
          <c:h val="0.70500352269972166"/>
        </c:manualLayout>
      </c:layout>
      <c:scatterChart>
        <c:scatterStyle val="smoothMarker"/>
        <c:varyColors val="0"/>
        <c:ser>
          <c:idx val="0"/>
          <c:order val="0"/>
          <c:tx>
            <c:strRef>
              <c:f>Tree4!$G$8</c:f>
              <c:strCache>
                <c:ptCount val="1"/>
                <c:pt idx="0">
                  <c:v>Cumulative CO2
 Stored</c:v>
                </c:pt>
              </c:strCache>
            </c:strRef>
          </c:tx>
          <c:marker>
            <c:symbol val="none"/>
          </c:marker>
          <c:xVal>
            <c:numRef>
              <c:f>Tree4!$A$10:$A$108</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Tree4!$G$10:$G$108</c:f>
              <c:numCache>
                <c:formatCode>General</c:formatCode>
                <c:ptCount val="99"/>
                <c:pt idx="0">
                  <c:v>1.607315912389879</c:v>
                </c:pt>
                <c:pt idx="1">
                  <c:v>3.2146318247797581</c:v>
                </c:pt>
                <c:pt idx="2">
                  <c:v>4.8219477371696371</c:v>
                </c:pt>
                <c:pt idx="3">
                  <c:v>6.4292636495595161</c:v>
                </c:pt>
                <c:pt idx="4">
                  <c:v>8.0365795619493952</c:v>
                </c:pt>
                <c:pt idx="5">
                  <c:v>9.6438954743392742</c:v>
                </c:pt>
                <c:pt idx="6">
                  <c:v>11.251211386729153</c:v>
                </c:pt>
                <c:pt idx="7">
                  <c:v>41.416157993016725</c:v>
                </c:pt>
                <c:pt idx="8">
                  <c:v>88.585451357555883</c:v>
                </c:pt>
                <c:pt idx="9">
                  <c:v>150.15771396720959</c:v>
                </c:pt>
                <c:pt idx="10">
                  <c:v>223.25868417117874</c:v>
                </c:pt>
                <c:pt idx="11">
                  <c:v>305.08487352647433</c:v>
                </c:pt>
                <c:pt idx="12">
                  <c:v>393.14605766637067</c:v>
                </c:pt>
                <c:pt idx="13">
                  <c:v>485.40132519849567</c:v>
                </c:pt>
                <c:pt idx="14">
                  <c:v>580.30003922822038</c:v>
                </c:pt>
                <c:pt idx="15">
                  <c:v>676.75017856523641</c:v>
                </c:pt>
                <c:pt idx="16">
                  <c:v>774.04148878652222</c:v>
                </c:pt>
                <c:pt idx="17">
                  <c:v>871.75009046650121</c:v>
                </c:pt>
                <c:pt idx="18">
                  <c:v>969.64594999761482</c:v>
                </c:pt>
                <c:pt idx="19">
                  <c:v>1067.6168225268598</c:v>
                </c:pt>
                <c:pt idx="20">
                  <c:v>1165.6140701682684</c:v>
                </c:pt>
                <c:pt idx="21">
                  <c:v>1263.619030337007</c:v>
                </c:pt>
                <c:pt idx="22">
                  <c:v>1361.6243847189569</c:v>
                </c:pt>
                <c:pt idx="23">
                  <c:v>1459.6227008040328</c:v>
                </c:pt>
                <c:pt idx="24">
                  <c:v>1557.5910070740092</c:v>
                </c:pt>
                <c:pt idx="25" formatCode="0.00">
                  <c:v>1610.0414842931511</c:v>
                </c:pt>
                <c:pt idx="26" formatCode="0.00">
                  <c:v>1662.4919615122931</c:v>
                </c:pt>
                <c:pt idx="27" formatCode="0.00">
                  <c:v>1714.942438731435</c:v>
                </c:pt>
                <c:pt idx="28" formatCode="0.00">
                  <c:v>1767.3929159505769</c:v>
                </c:pt>
                <c:pt idx="29" formatCode="0.00">
                  <c:v>1819.8433931697189</c:v>
                </c:pt>
                <c:pt idx="30" formatCode="0.00">
                  <c:v>1872.2938703888608</c:v>
                </c:pt>
                <c:pt idx="31" formatCode="0.00">
                  <c:v>1924.7443476080027</c:v>
                </c:pt>
                <c:pt idx="32" formatCode="0.00">
                  <c:v>1977.1948248271447</c:v>
                </c:pt>
                <c:pt idx="33" formatCode="0.00">
                  <c:v>2029.6453020462866</c:v>
                </c:pt>
                <c:pt idx="34" formatCode="0.00">
                  <c:v>2082.0957792654285</c:v>
                </c:pt>
                <c:pt idx="35" formatCode="0.00">
                  <c:v>2134.5462564845702</c:v>
                </c:pt>
                <c:pt idx="36" formatCode="0.00">
                  <c:v>2186.9967337037119</c:v>
                </c:pt>
                <c:pt idx="37" formatCode="0.00">
                  <c:v>2239.4472109228536</c:v>
                </c:pt>
                <c:pt idx="38" formatCode="0.00">
                  <c:v>2291.8976881419953</c:v>
                </c:pt>
                <c:pt idx="39" formatCode="0.00">
                  <c:v>2344.348165361137</c:v>
                </c:pt>
                <c:pt idx="40" formatCode="0.00">
                  <c:v>2396.7986425802787</c:v>
                </c:pt>
                <c:pt idx="41" formatCode="0.00">
                  <c:v>2449.2491197994204</c:v>
                </c:pt>
                <c:pt idx="42" formatCode="0.00">
                  <c:v>2501.6995970185621</c:v>
                </c:pt>
                <c:pt idx="43" formatCode="0.00">
                  <c:v>2554.1500742377038</c:v>
                </c:pt>
                <c:pt idx="44" formatCode="0.00">
                  <c:v>2606.6005514568456</c:v>
                </c:pt>
                <c:pt idx="45" formatCode="0.00">
                  <c:v>2659.0510286759873</c:v>
                </c:pt>
                <c:pt idx="46" formatCode="0.00">
                  <c:v>2711.501505895129</c:v>
                </c:pt>
                <c:pt idx="47" formatCode="0.00">
                  <c:v>2763.9519831142707</c:v>
                </c:pt>
                <c:pt idx="48" formatCode="0.00">
                  <c:v>2816.4024603334124</c:v>
                </c:pt>
                <c:pt idx="49" formatCode="0.00">
                  <c:v>2868.8529375525541</c:v>
                </c:pt>
                <c:pt idx="50" formatCode="0.00">
                  <c:v>2921.3034147716958</c:v>
                </c:pt>
                <c:pt idx="51" formatCode="0.00">
                  <c:v>2973.7538919908375</c:v>
                </c:pt>
                <c:pt idx="52" formatCode="0.00">
                  <c:v>3026.2043692099792</c:v>
                </c:pt>
                <c:pt idx="53" formatCode="0.00">
                  <c:v>3078.6548464291209</c:v>
                </c:pt>
                <c:pt idx="54" formatCode="0.00">
                  <c:v>3131.1053236482626</c:v>
                </c:pt>
                <c:pt idx="55" formatCode="0.00">
                  <c:v>3183.5558008674043</c:v>
                </c:pt>
                <c:pt idx="56" formatCode="0.00">
                  <c:v>3236.006278086546</c:v>
                </c:pt>
                <c:pt idx="57" formatCode="0.00">
                  <c:v>3288.4567553056877</c:v>
                </c:pt>
                <c:pt idx="58" formatCode="0.00">
                  <c:v>3340.9072325248294</c:v>
                </c:pt>
                <c:pt idx="59" formatCode="0.00">
                  <c:v>3393.3577097439711</c:v>
                </c:pt>
                <c:pt idx="60" formatCode="0.00">
                  <c:v>3445.8081869631128</c:v>
                </c:pt>
                <c:pt idx="61" formatCode="0.00">
                  <c:v>3498.2586641822545</c:v>
                </c:pt>
                <c:pt idx="62" formatCode="0.00">
                  <c:v>3550.7091414013962</c:v>
                </c:pt>
                <c:pt idx="63" formatCode="0.00">
                  <c:v>3603.1596186205379</c:v>
                </c:pt>
                <c:pt idx="64" formatCode="0.00">
                  <c:v>3655.6100958396796</c:v>
                </c:pt>
                <c:pt idx="65" formatCode="0.00">
                  <c:v>3708.0605730588213</c:v>
                </c:pt>
                <c:pt idx="66" formatCode="0.00">
                  <c:v>3760.511050277963</c:v>
                </c:pt>
                <c:pt idx="67" formatCode="0.00">
                  <c:v>3812.9615274971047</c:v>
                </c:pt>
                <c:pt idx="68" formatCode="0.00">
                  <c:v>3865.4120047162464</c:v>
                </c:pt>
                <c:pt idx="69" formatCode="0.00">
                  <c:v>3917.8624819353881</c:v>
                </c:pt>
                <c:pt idx="70" formatCode="0.00">
                  <c:v>3970.3129591545298</c:v>
                </c:pt>
                <c:pt idx="71" formatCode="0.00">
                  <c:v>4022.7634363736715</c:v>
                </c:pt>
                <c:pt idx="72" formatCode="0.00">
                  <c:v>4075.2139135928132</c:v>
                </c:pt>
                <c:pt idx="73" formatCode="0.00">
                  <c:v>4127.6643908119549</c:v>
                </c:pt>
                <c:pt idx="74" formatCode="0.00">
                  <c:v>4180.1148680310971</c:v>
                </c:pt>
                <c:pt idx="75" formatCode="0.00">
                  <c:v>4232.5653452502393</c:v>
                </c:pt>
                <c:pt idx="76" formatCode="0.00">
                  <c:v>4285.0158224693814</c:v>
                </c:pt>
                <c:pt idx="77" formatCode="0.00">
                  <c:v>4337.4662996885236</c:v>
                </c:pt>
                <c:pt idx="78" formatCode="0.00">
                  <c:v>4389.9167769076657</c:v>
                </c:pt>
                <c:pt idx="79" formatCode="0.00">
                  <c:v>4442.3672541268079</c:v>
                </c:pt>
              </c:numCache>
            </c:numRef>
          </c:yVal>
          <c:smooth val="1"/>
          <c:extLst>
            <c:ext xmlns:c16="http://schemas.microsoft.com/office/drawing/2014/chart" uri="{C3380CC4-5D6E-409C-BE32-E72D297353CC}">
              <c16:uniqueId val="{00000000-A454-40B6-AA5C-A62F2498C2EA}"/>
            </c:ext>
          </c:extLst>
        </c:ser>
        <c:ser>
          <c:idx val="1"/>
          <c:order val="1"/>
          <c:tx>
            <c:strRef>
              <c:f>Tree4!$I$8</c:f>
              <c:strCache>
                <c:ptCount val="1"/>
                <c:pt idx="0">
                  <c:v>New Cumulative CO2 Stored</c:v>
                </c:pt>
              </c:strCache>
            </c:strRef>
          </c:tx>
          <c:marker>
            <c:symbol val="none"/>
          </c:marker>
          <c:xVal>
            <c:numRef>
              <c:f>Tree4!$A$10:$A$89</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Tree4!$I$10:$I$89</c:f>
              <c:numCache>
                <c:formatCode>General</c:formatCode>
                <c:ptCount val="80"/>
                <c:pt idx="0">
                  <c:v>1.607315912389879</c:v>
                </c:pt>
                <c:pt idx="1">
                  <c:v>3.2146318247797581</c:v>
                </c:pt>
                <c:pt idx="2">
                  <c:v>4.8219477371696371</c:v>
                </c:pt>
                <c:pt idx="3">
                  <c:v>6.4292636495595161</c:v>
                </c:pt>
                <c:pt idx="4">
                  <c:v>8.0365795619493952</c:v>
                </c:pt>
                <c:pt idx="5">
                  <c:v>9.6438954743392742</c:v>
                </c:pt>
                <c:pt idx="6">
                  <c:v>11.251211386729153</c:v>
                </c:pt>
                <c:pt idx="7">
                  <c:v>41.416157993016725</c:v>
                </c:pt>
                <c:pt idx="8">
                  <c:v>88.585451357555883</c:v>
                </c:pt>
                <c:pt idx="9">
                  <c:v>150.15771396720959</c:v>
                </c:pt>
                <c:pt idx="10">
                  <c:v>223.25868417117874</c:v>
                </c:pt>
                <c:pt idx="11">
                  <c:v>305.08487352647433</c:v>
                </c:pt>
                <c:pt idx="12">
                  <c:v>393.14605766637067</c:v>
                </c:pt>
                <c:pt idx="13">
                  <c:v>485.40132519849567</c:v>
                </c:pt>
                <c:pt idx="14">
                  <c:v>580.30003922822038</c:v>
                </c:pt>
                <c:pt idx="15">
                  <c:v>676.75017856523641</c:v>
                </c:pt>
                <c:pt idx="16">
                  <c:v>774.04148878652222</c:v>
                </c:pt>
                <c:pt idx="17">
                  <c:v>871.75009046650121</c:v>
                </c:pt>
                <c:pt idx="18">
                  <c:v>969.64594999761482</c:v>
                </c:pt>
                <c:pt idx="19">
                  <c:v>1067.6168225268598</c:v>
                </c:pt>
                <c:pt idx="20">
                  <c:v>1165.6140701682684</c:v>
                </c:pt>
                <c:pt idx="21">
                  <c:v>1263.619030337007</c:v>
                </c:pt>
                <c:pt idx="22">
                  <c:v>1361.6243847189569</c:v>
                </c:pt>
                <c:pt idx="23">
                  <c:v>1459.6227008040328</c:v>
                </c:pt>
                <c:pt idx="24">
                  <c:v>1557.5910070740092</c:v>
                </c:pt>
                <c:pt idx="25">
                  <c:v>1655.5593133439857</c:v>
                </c:pt>
                <c:pt idx="26">
                  <c:v>1750.5593133439857</c:v>
                </c:pt>
                <c:pt idx="27">
                  <c:v>1843.7367264846355</c:v>
                </c:pt>
                <c:pt idx="28">
                  <c:v>1935.0915527659351</c:v>
                </c:pt>
                <c:pt idx="29">
                  <c:v>2024.6237921878846</c:v>
                </c:pt>
                <c:pt idx="30">
                  <c:v>2112.333444750484</c:v>
                </c:pt>
                <c:pt idx="31">
                  <c:v>2198.2205104537334</c:v>
                </c:pt>
                <c:pt idx="32">
                  <c:v>2282.2849892976324</c:v>
                </c:pt>
                <c:pt idx="33">
                  <c:v>2364.5268812821814</c:v>
                </c:pt>
                <c:pt idx="34">
                  <c:v>2444.9461864073801</c:v>
                </c:pt>
                <c:pt idx="35">
                  <c:v>2523.5429046732288</c:v>
                </c:pt>
                <c:pt idx="36">
                  <c:v>2600.3170360797271</c:v>
                </c:pt>
                <c:pt idx="37">
                  <c:v>2675.2685806268755</c:v>
                </c:pt>
                <c:pt idx="38">
                  <c:v>2748.3975383146735</c:v>
                </c:pt>
                <c:pt idx="39">
                  <c:v>2819.7039091431216</c:v>
                </c:pt>
                <c:pt idx="40">
                  <c:v>2889.1876931122192</c:v>
                </c:pt>
                <c:pt idx="41">
                  <c:v>2956.8488902219669</c:v>
                </c:pt>
                <c:pt idx="42">
                  <c:v>3022.6875004723643</c:v>
                </c:pt>
                <c:pt idx="43">
                  <c:v>3086.7035238634116</c:v>
                </c:pt>
                <c:pt idx="44">
                  <c:v>3148.8969603951086</c:v>
                </c:pt>
                <c:pt idx="45">
                  <c:v>3209.2678100674552</c:v>
                </c:pt>
                <c:pt idx="46">
                  <c:v>3267.8160728804519</c:v>
                </c:pt>
                <c:pt idx="47">
                  <c:v>3324.5417488340981</c:v>
                </c:pt>
                <c:pt idx="48">
                  <c:v>3379.4448379283945</c:v>
                </c:pt>
                <c:pt idx="49">
                  <c:v>3432.5253401633404</c:v>
                </c:pt>
                <c:pt idx="50">
                  <c:v>3484.9758173824821</c:v>
                </c:pt>
                <c:pt idx="51" formatCode="0.00">
                  <c:v>3537.4262946016238</c:v>
                </c:pt>
                <c:pt idx="52" formatCode="0.00">
                  <c:v>3589.8767718207655</c:v>
                </c:pt>
                <c:pt idx="53">
                  <c:v>3642.3272490399072</c:v>
                </c:pt>
                <c:pt idx="54">
                  <c:v>3694.7777262590489</c:v>
                </c:pt>
                <c:pt idx="55">
                  <c:v>3747.2282034781906</c:v>
                </c:pt>
                <c:pt idx="56">
                  <c:v>3799.6786806973323</c:v>
                </c:pt>
                <c:pt idx="57">
                  <c:v>3852.129157916474</c:v>
                </c:pt>
                <c:pt idx="58">
                  <c:v>3904.5796351356157</c:v>
                </c:pt>
                <c:pt idx="59">
                  <c:v>3957.0301123547574</c:v>
                </c:pt>
                <c:pt idx="60">
                  <c:v>4009.4805895738991</c:v>
                </c:pt>
                <c:pt idx="61">
                  <c:v>4061.9310667930408</c:v>
                </c:pt>
                <c:pt idx="62">
                  <c:v>4114.3815440121825</c:v>
                </c:pt>
                <c:pt idx="63">
                  <c:v>4166.8320212313247</c:v>
                </c:pt>
                <c:pt idx="64">
                  <c:v>4219.2824984504659</c:v>
                </c:pt>
                <c:pt idx="65">
                  <c:v>4271.7329756696072</c:v>
                </c:pt>
                <c:pt idx="66">
                  <c:v>4324.1834528887484</c:v>
                </c:pt>
                <c:pt idx="67">
                  <c:v>4376.6339301078897</c:v>
                </c:pt>
                <c:pt idx="68">
                  <c:v>4429.0844073270309</c:v>
                </c:pt>
                <c:pt idx="69">
                  <c:v>4481.5348845461722</c:v>
                </c:pt>
                <c:pt idx="70">
                  <c:v>4533.9853617653134</c:v>
                </c:pt>
                <c:pt idx="71">
                  <c:v>4586.4358389844547</c:v>
                </c:pt>
                <c:pt idx="72">
                  <c:v>4638.8863162035959</c:v>
                </c:pt>
                <c:pt idx="73">
                  <c:v>4691.3367934227372</c:v>
                </c:pt>
                <c:pt idx="74">
                  <c:v>4743.7872706418784</c:v>
                </c:pt>
                <c:pt idx="75">
                  <c:v>4796.2377478610197</c:v>
                </c:pt>
                <c:pt idx="76">
                  <c:v>4848.6882250801609</c:v>
                </c:pt>
                <c:pt idx="77">
                  <c:v>4901.1387022993022</c:v>
                </c:pt>
                <c:pt idx="78">
                  <c:v>4953.5891795184434</c:v>
                </c:pt>
                <c:pt idx="79">
                  <c:v>5004.2170698782347</c:v>
                </c:pt>
              </c:numCache>
            </c:numRef>
          </c:yVal>
          <c:smooth val="1"/>
          <c:extLst>
            <c:ext xmlns:c16="http://schemas.microsoft.com/office/drawing/2014/chart" uri="{C3380CC4-5D6E-409C-BE32-E72D297353CC}">
              <c16:uniqueId val="{00000001-7604-4B99-8A36-2C46CF220B04}"/>
            </c:ext>
          </c:extLst>
        </c:ser>
        <c:dLbls>
          <c:showLegendKey val="0"/>
          <c:showVal val="0"/>
          <c:showCatName val="0"/>
          <c:showSerName val="0"/>
          <c:showPercent val="0"/>
          <c:showBubbleSize val="0"/>
        </c:dLbls>
        <c:axId val="327121272"/>
        <c:axId val="327124552"/>
      </c:scatterChart>
      <c:valAx>
        <c:axId val="327121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a:pPr>
                <a:r>
                  <a:rPr lang="fi-FI"/>
                  <a:t>Age</a:t>
                </a:r>
              </a:p>
              <a:p>
                <a:pPr>
                  <a:defRPr/>
                </a:pPr>
                <a:endParaRPr lang="fi-FI"/>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vert="horz"/>
          <a:lstStyle/>
          <a:p>
            <a:pPr>
              <a:defRPr sz="1000"/>
            </a:pPr>
            <a:endParaRPr lang="fi-FI"/>
          </a:p>
        </c:txPr>
        <c:crossAx val="327124552"/>
        <c:crosses val="autoZero"/>
        <c:crossBetween val="midCat"/>
      </c:valAx>
      <c:valAx>
        <c:axId val="327124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solidFill>
                      <a:sysClr val="windowText" lastClr="000000"/>
                    </a:solidFill>
                  </a:defRPr>
                </a:pPr>
                <a:r>
                  <a:rPr lang="fi-FI">
                    <a:solidFill>
                      <a:sysClr val="windowText" lastClr="000000"/>
                    </a:solidFill>
                  </a:rPr>
                  <a:t>CO2  kg /age</a:t>
                </a:r>
              </a:p>
            </c:rich>
          </c:tx>
          <c:layout>
            <c:manualLayout>
              <c:xMode val="edge"/>
              <c:yMode val="edge"/>
              <c:x val="1.5762797234762593E-2"/>
              <c:y val="0.35648038434590346"/>
            </c:manualLayout>
          </c:layout>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vert="horz"/>
          <a:lstStyle/>
          <a:p>
            <a:pPr>
              <a:defRPr sz="1000"/>
            </a:pPr>
            <a:endParaRPr lang="fi-FI"/>
          </a:p>
        </c:txPr>
        <c:crossAx val="327121272"/>
        <c:crosses val="autoZero"/>
        <c:crossBetween val="midCat"/>
      </c:valAx>
    </c:plotArea>
    <c:legend>
      <c:legendPos val="r"/>
      <c:layout>
        <c:manualLayout>
          <c:xMode val="edge"/>
          <c:yMode val="edge"/>
          <c:x val="0.81429354387788222"/>
          <c:y val="0.25491309491129288"/>
          <c:w val="0.17778959142993786"/>
          <c:h val="0.29240566583008804"/>
        </c:manualLayout>
      </c:layout>
      <c:overlay val="0"/>
    </c:legend>
    <c:plotVisOnly val="1"/>
    <c:dispBlanksAs val="gap"/>
    <c:showDLblsOverMax val="0"/>
    <c:extLst/>
  </c:chart>
  <c:txPr>
    <a:bodyPr/>
    <a:lstStyle/>
    <a:p>
      <a:pPr marL="0" marR="0" lvl="0" indent="0" algn="ctr" defTabSz="914400" rtl="0" eaLnBrk="1" fontAlgn="auto" latinLnBrk="0" hangingPunct="1">
        <a:lnSpc>
          <a:spcPct val="100000"/>
        </a:lnSpc>
        <a:spcBef>
          <a:spcPts val="0"/>
        </a:spcBef>
        <a:spcAft>
          <a:spcPts val="0"/>
        </a:spcAft>
        <a:buClrTx/>
        <a:buSzTx/>
        <a:buFontTx/>
        <a:buNone/>
        <a:tabLst/>
        <a:defRPr lang="en-US" sz="1200" b="1" i="0" u="none" strike="noStrike" kern="1200" baseline="0">
          <a:solidFill>
            <a:sysClr val="windowText" lastClr="000000"/>
          </a:solidFill>
          <a:effectLst/>
          <a:latin typeface="+mn-lt"/>
          <a:ea typeface="+mn-ea"/>
          <a:cs typeface="+mn-cs"/>
        </a:defRPr>
      </a:pPr>
      <a:endParaRPr lang="fi-FI"/>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CO2 sequestration vs Age</a:t>
            </a:r>
          </a:p>
        </c:rich>
      </c:tx>
      <c:overlay val="0"/>
      <c:spPr>
        <a:noFill/>
        <a:ln>
          <a:noFill/>
        </a:ln>
        <a:effectLst/>
      </c:spPr>
    </c:title>
    <c:autoTitleDeleted val="0"/>
    <c:plotArea>
      <c:layout/>
      <c:scatterChart>
        <c:scatterStyle val="smoothMarker"/>
        <c:varyColors val="0"/>
        <c:ser>
          <c:idx val="0"/>
          <c:order val="0"/>
          <c:tx>
            <c:strRef>
              <c:f>Tree5!$F$7:$F$8</c:f>
              <c:strCache>
                <c:ptCount val="2"/>
                <c:pt idx="1">
                  <c:v>CO2 
Sequestration Rate</c:v>
                </c:pt>
              </c:strCache>
            </c:strRef>
          </c:tx>
          <c:spPr>
            <a:ln w="19050" cap="rnd">
              <a:solidFill>
                <a:schemeClr val="accent1"/>
              </a:solidFill>
              <a:round/>
            </a:ln>
            <a:effectLst/>
          </c:spPr>
          <c:marker>
            <c:symbol val="none"/>
          </c:marker>
          <c:xVal>
            <c:numRef>
              <c:f>Tree5!$A$10:$A$108</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Tree5!$F$10:$F$108</c:f>
              <c:numCache>
                <c:formatCode>General</c:formatCode>
                <c:ptCount val="99"/>
                <c:pt idx="0">
                  <c:v>9.2478874784592797</c:v>
                </c:pt>
                <c:pt idx="1">
                  <c:v>15.181594194585571</c:v>
                </c:pt>
                <c:pt idx="2">
                  <c:v>20.876384771104888</c:v>
                </c:pt>
                <c:pt idx="3">
                  <c:v>26.34037396883047</c:v>
                </c:pt>
                <c:pt idx="4">
                  <c:v>31.593570537897953</c:v>
                </c:pt>
                <c:pt idx="5">
                  <c:v>36.656578586797778</c:v>
                </c:pt>
                <c:pt idx="6">
                  <c:v>41.548003024487322</c:v>
                </c:pt>
                <c:pt idx="7">
                  <c:v>46.284046762173055</c:v>
                </c:pt>
                <c:pt idx="8">
                  <c:v>50.878691449842243</c:v>
                </c:pt>
                <c:pt idx="9">
                  <c:v>55.344007241120558</c:v>
                </c:pt>
                <c:pt idx="10">
                  <c:v>59.690457833073928</c:v>
                </c:pt>
                <c:pt idx="11">
                  <c:v>63.927165197664415</c:v>
                </c:pt>
                <c:pt idx="12">
                  <c:v>68.06212948240514</c:v>
                </c:pt>
                <c:pt idx="13">
                  <c:v>72.102408831626704</c:v>
                </c:pt>
                <c:pt idx="14">
                  <c:v>76.054265871066363</c:v>
                </c:pt>
                <c:pt idx="15">
                  <c:v>79.92328723607541</c:v>
                </c:pt>
                <c:pt idx="16">
                  <c:v>83.714481527700087</c:v>
                </c:pt>
                <c:pt idx="17">
                  <c:v>87.432360040312446</c:v>
                </c:pt>
                <c:pt idx="18">
                  <c:v>91.081003699807795</c:v>
                </c:pt>
                <c:pt idx="19">
                  <c:v>94.664118916788439</c:v>
                </c:pt>
                <c:pt idx="20">
                  <c:v>98.185084480051941</c:v>
                </c:pt>
                <c:pt idx="21">
                  <c:v>101.64699116492876</c:v>
                </c:pt>
                <c:pt idx="22">
                  <c:v>105.05267538159707</c:v>
                </c:pt>
                <c:pt idx="23">
                  <c:v>108.4047479175761</c:v>
                </c:pt>
                <c:pt idx="24">
                  <c:v>111.70561861790631</c:v>
                </c:pt>
                <c:pt idx="25">
                  <c:v>114.95751768197422</c:v>
                </c:pt>
                <c:pt idx="26">
                  <c:v>118.1625141267499</c:v>
                </c:pt>
                <c:pt idx="27">
                  <c:v>121.32253186422174</c:v>
                </c:pt>
                <c:pt idx="28">
                  <c:v>124.43936375983661</c:v>
                </c:pt>
                <c:pt idx="29">
                  <c:v>127.51468397408375</c:v>
                </c:pt>
                <c:pt idx="30">
                  <c:v>130.55005883742345</c:v>
                </c:pt>
                <c:pt idx="31">
                  <c:v>133.54695646680563</c:v>
                </c:pt>
                <c:pt idx="32">
                  <c:v>136.50675529796368</c:v>
                </c:pt>
                <c:pt idx="33">
                  <c:v>139.43075167984742</c:v>
                </c:pt>
                <c:pt idx="34">
                  <c:v>142.32016665474575</c:v>
                </c:pt>
                <c:pt idx="35" formatCode="0.00">
                  <c:v>73.856821085521915</c:v>
                </c:pt>
                <c:pt idx="36" formatCode="0.00">
                  <c:v>54.983401013201728</c:v>
                </c:pt>
                <c:pt idx="37" formatCode="0.00">
                  <c:v>54.983401013201728</c:v>
                </c:pt>
                <c:pt idx="38" formatCode="0.00">
                  <c:v>54.983401013201728</c:v>
                </c:pt>
                <c:pt idx="39" formatCode="0.00">
                  <c:v>54.983401013201728</c:v>
                </c:pt>
                <c:pt idx="40" formatCode="0.00">
                  <c:v>54.983401013201728</c:v>
                </c:pt>
                <c:pt idx="41" formatCode="0.00">
                  <c:v>54.983401013201728</c:v>
                </c:pt>
                <c:pt idx="42" formatCode="0.00">
                  <c:v>54.983401013201728</c:v>
                </c:pt>
                <c:pt idx="43" formatCode="0.00">
                  <c:v>54.983401013201728</c:v>
                </c:pt>
                <c:pt idx="44" formatCode="0.00">
                  <c:v>54.983401013201728</c:v>
                </c:pt>
                <c:pt idx="45" formatCode="0.00">
                  <c:v>54.983401013201728</c:v>
                </c:pt>
                <c:pt idx="46" formatCode="0.00">
                  <c:v>54.983401013201728</c:v>
                </c:pt>
                <c:pt idx="47" formatCode="0.00">
                  <c:v>54.983401013201728</c:v>
                </c:pt>
                <c:pt idx="48" formatCode="0.00">
                  <c:v>54.983401013201728</c:v>
                </c:pt>
                <c:pt idx="49" formatCode="0.00">
                  <c:v>54.983401013201728</c:v>
                </c:pt>
                <c:pt idx="50" formatCode="0.00">
                  <c:v>54.983401013201728</c:v>
                </c:pt>
                <c:pt idx="51" formatCode="0.00">
                  <c:v>54.983401013201728</c:v>
                </c:pt>
                <c:pt idx="52" formatCode="0.00">
                  <c:v>54.983401013201728</c:v>
                </c:pt>
                <c:pt idx="53" formatCode="0.00">
                  <c:v>54.983401013201728</c:v>
                </c:pt>
                <c:pt idx="54" formatCode="0.00">
                  <c:v>54.983401013201728</c:v>
                </c:pt>
                <c:pt idx="55" formatCode="0.00">
                  <c:v>54.983401013202183</c:v>
                </c:pt>
                <c:pt idx="56" formatCode="0.00">
                  <c:v>54.983401013201728</c:v>
                </c:pt>
                <c:pt idx="57" formatCode="0.00">
                  <c:v>54.983401013201728</c:v>
                </c:pt>
                <c:pt idx="58" formatCode="0.00">
                  <c:v>54.983401013201728</c:v>
                </c:pt>
                <c:pt idx="59" formatCode="0.00">
                  <c:v>54.983401013201728</c:v>
                </c:pt>
                <c:pt idx="60" formatCode="0.00">
                  <c:v>54.983401013201728</c:v>
                </c:pt>
                <c:pt idx="61" formatCode="0.00">
                  <c:v>54.983401013201728</c:v>
                </c:pt>
                <c:pt idx="62" formatCode="0.00">
                  <c:v>54.983401013201728</c:v>
                </c:pt>
                <c:pt idx="63" formatCode="0.00">
                  <c:v>54.983401013201728</c:v>
                </c:pt>
                <c:pt idx="64" formatCode="0.00">
                  <c:v>54.983401013201728</c:v>
                </c:pt>
                <c:pt idx="65" formatCode="0.00">
                  <c:v>54.983401013201728</c:v>
                </c:pt>
                <c:pt idx="66" formatCode="0.00">
                  <c:v>54.983401013201728</c:v>
                </c:pt>
                <c:pt idx="67" formatCode="0.00">
                  <c:v>54.983401013201728</c:v>
                </c:pt>
                <c:pt idx="68" formatCode="0.00">
                  <c:v>54.983401013201728</c:v>
                </c:pt>
                <c:pt idx="69" formatCode="0.00">
                  <c:v>54.983401013201728</c:v>
                </c:pt>
                <c:pt idx="70" formatCode="0.00">
                  <c:v>54.983401013201728</c:v>
                </c:pt>
                <c:pt idx="71" formatCode="0.00">
                  <c:v>54.983401013201728</c:v>
                </c:pt>
                <c:pt idx="72" formatCode="0.00">
                  <c:v>54.983401013201728</c:v>
                </c:pt>
                <c:pt idx="73" formatCode="0.00">
                  <c:v>54.983401013201728</c:v>
                </c:pt>
                <c:pt idx="74" formatCode="0.00">
                  <c:v>54.983401013201728</c:v>
                </c:pt>
                <c:pt idx="75" formatCode="0.00">
                  <c:v>54.983401013201728</c:v>
                </c:pt>
                <c:pt idx="76" formatCode="0.00">
                  <c:v>54.983401013201728</c:v>
                </c:pt>
                <c:pt idx="77" formatCode="0.00">
                  <c:v>54.983401013201728</c:v>
                </c:pt>
                <c:pt idx="78" formatCode="0.00">
                  <c:v>54.983401013201728</c:v>
                </c:pt>
                <c:pt idx="79" formatCode="0.00">
                  <c:v>54.983401013201728</c:v>
                </c:pt>
              </c:numCache>
            </c:numRef>
          </c:yVal>
          <c:smooth val="1"/>
          <c:extLst>
            <c:ext xmlns:c16="http://schemas.microsoft.com/office/drawing/2014/chart" uri="{C3380CC4-5D6E-409C-BE32-E72D297353CC}">
              <c16:uniqueId val="{00000000-C1DE-4C0B-B14E-C36FF6D8835D}"/>
            </c:ext>
          </c:extLst>
        </c:ser>
        <c:ser>
          <c:idx val="1"/>
          <c:order val="1"/>
          <c:tx>
            <c:strRef>
              <c:f>Tree5!$H$8</c:f>
              <c:strCache>
                <c:ptCount val="1"/>
                <c:pt idx="0">
                  <c:v>New CO2 
Sequestration Rate</c:v>
                </c:pt>
              </c:strCache>
            </c:strRef>
          </c:tx>
          <c:marker>
            <c:symbol val="none"/>
          </c:marker>
          <c:xVal>
            <c:numRef>
              <c:f>Tree5!$A$10:$A$89</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Tree5!$H$10:$H$89</c:f>
              <c:numCache>
                <c:formatCode>General</c:formatCode>
                <c:ptCount val="80"/>
                <c:pt idx="0">
                  <c:v>9.2478874784592797</c:v>
                </c:pt>
                <c:pt idx="1">
                  <c:v>15.181594194585571</c:v>
                </c:pt>
                <c:pt idx="2">
                  <c:v>20.876384771104892</c:v>
                </c:pt>
                <c:pt idx="3">
                  <c:v>26.340373968830463</c:v>
                </c:pt>
                <c:pt idx="4">
                  <c:v>31.593570537897961</c:v>
                </c:pt>
                <c:pt idx="5">
                  <c:v>36.656578586797764</c:v>
                </c:pt>
                <c:pt idx="6">
                  <c:v>41.548003024487315</c:v>
                </c:pt>
                <c:pt idx="7">
                  <c:v>46.284046762173062</c:v>
                </c:pt>
                <c:pt idx="8">
                  <c:v>50.878691449842222</c:v>
                </c:pt>
                <c:pt idx="9">
                  <c:v>55.344007241120551</c:v>
                </c:pt>
                <c:pt idx="10">
                  <c:v>59.690457833073935</c:v>
                </c:pt>
                <c:pt idx="11">
                  <c:v>63.927165197664408</c:v>
                </c:pt>
                <c:pt idx="12">
                  <c:v>68.062129482405169</c:v>
                </c:pt>
                <c:pt idx="13">
                  <c:v>72.10240883162669</c:v>
                </c:pt>
                <c:pt idx="14">
                  <c:v>76.054265871066377</c:v>
                </c:pt>
                <c:pt idx="15">
                  <c:v>79.923287236075453</c:v>
                </c:pt>
                <c:pt idx="16">
                  <c:v>83.714481527700059</c:v>
                </c:pt>
                <c:pt idx="17">
                  <c:v>87.43236004031246</c:v>
                </c:pt>
                <c:pt idx="18">
                  <c:v>91.081003699807752</c:v>
                </c:pt>
                <c:pt idx="19">
                  <c:v>94.664118916788539</c:v>
                </c:pt>
                <c:pt idx="20">
                  <c:v>98.185084480051955</c:v>
                </c:pt>
                <c:pt idx="21">
                  <c:v>101.64699116492875</c:v>
                </c:pt>
                <c:pt idx="22">
                  <c:v>105.05267538159706</c:v>
                </c:pt>
                <c:pt idx="23">
                  <c:v>108.40474791757606</c:v>
                </c:pt>
                <c:pt idx="24">
                  <c:v>111.70561861790634</c:v>
                </c:pt>
                <c:pt idx="25">
                  <c:v>114.9575176819742</c:v>
                </c:pt>
                <c:pt idx="26">
                  <c:v>118.16251412675001</c:v>
                </c:pt>
                <c:pt idx="27">
                  <c:v>121.32253186422167</c:v>
                </c:pt>
                <c:pt idx="28">
                  <c:v>124.4393637598364</c:v>
                </c:pt>
                <c:pt idx="29">
                  <c:v>127.51468397408371</c:v>
                </c:pt>
                <c:pt idx="30">
                  <c:v>130.55005883742342</c:v>
                </c:pt>
                <c:pt idx="31">
                  <c:v>133.54695646680557</c:v>
                </c:pt>
                <c:pt idx="32">
                  <c:v>136.50675529796354</c:v>
                </c:pt>
                <c:pt idx="33">
                  <c:v>139.43075167984762</c:v>
                </c:pt>
                <c:pt idx="34">
                  <c:v>142.32016665474566</c:v>
                </c:pt>
                <c:pt idx="35">
                  <c:v>142.32016665474566</c:v>
                </c:pt>
                <c:pt idx="36">
                  <c:v>142.32016665474566</c:v>
                </c:pt>
                <c:pt idx="37">
                  <c:v>138.68024843021783</c:v>
                </c:pt>
                <c:pt idx="38">
                  <c:v>135.04033020569</c:v>
                </c:pt>
                <c:pt idx="39">
                  <c:v>131.40041198116216</c:v>
                </c:pt>
                <c:pt idx="40">
                  <c:v>127.76049375663433</c:v>
                </c:pt>
                <c:pt idx="41">
                  <c:v>124.1205755321065</c:v>
                </c:pt>
                <c:pt idx="42">
                  <c:v>120.48065730757867</c:v>
                </c:pt>
                <c:pt idx="43">
                  <c:v>116.84073908305083</c:v>
                </c:pt>
                <c:pt idx="44">
                  <c:v>113.200820858523</c:v>
                </c:pt>
                <c:pt idx="45">
                  <c:v>109.56090263399517</c:v>
                </c:pt>
                <c:pt idx="46">
                  <c:v>105.92098440946734</c:v>
                </c:pt>
                <c:pt idx="47">
                  <c:v>102.2810661849395</c:v>
                </c:pt>
                <c:pt idx="48">
                  <c:v>98.641147960411672</c:v>
                </c:pt>
                <c:pt idx="49">
                  <c:v>95.00122973588384</c:v>
                </c:pt>
                <c:pt idx="50">
                  <c:v>91.361311511356007</c:v>
                </c:pt>
                <c:pt idx="51">
                  <c:v>87.721393286828174</c:v>
                </c:pt>
                <c:pt idx="52">
                  <c:v>84.081475062300342</c:v>
                </c:pt>
                <c:pt idx="53">
                  <c:v>80.441556837772509</c:v>
                </c:pt>
                <c:pt idx="54">
                  <c:v>76.801638613244677</c:v>
                </c:pt>
                <c:pt idx="55">
                  <c:v>73.161720388716844</c:v>
                </c:pt>
                <c:pt idx="56">
                  <c:v>69.521802164189012</c:v>
                </c:pt>
                <c:pt idx="57">
                  <c:v>65.881883939661179</c:v>
                </c:pt>
                <c:pt idx="58">
                  <c:v>62.241965715133347</c:v>
                </c:pt>
                <c:pt idx="59">
                  <c:v>54.983401013201728</c:v>
                </c:pt>
                <c:pt idx="60">
                  <c:v>54.983401013201728</c:v>
                </c:pt>
                <c:pt idx="61">
                  <c:v>54.983401013201728</c:v>
                </c:pt>
                <c:pt idx="62">
                  <c:v>54.983401013201728</c:v>
                </c:pt>
                <c:pt idx="63">
                  <c:v>54.983401013201728</c:v>
                </c:pt>
                <c:pt idx="64">
                  <c:v>54.983401013201728</c:v>
                </c:pt>
                <c:pt idx="65">
                  <c:v>54.983401013201728</c:v>
                </c:pt>
                <c:pt idx="66">
                  <c:v>54.983401013201728</c:v>
                </c:pt>
                <c:pt idx="67">
                  <c:v>54.983401013201728</c:v>
                </c:pt>
                <c:pt idx="68">
                  <c:v>54.983401013201728</c:v>
                </c:pt>
                <c:pt idx="69">
                  <c:v>54.983401013201728</c:v>
                </c:pt>
                <c:pt idx="70">
                  <c:v>54.983401013201728</c:v>
                </c:pt>
                <c:pt idx="71">
                  <c:v>54.983401013201728</c:v>
                </c:pt>
                <c:pt idx="72">
                  <c:v>54.983401013201728</c:v>
                </c:pt>
                <c:pt idx="73">
                  <c:v>54.983401013201728</c:v>
                </c:pt>
                <c:pt idx="74">
                  <c:v>54.983401013201728</c:v>
                </c:pt>
                <c:pt idx="75">
                  <c:v>54.983401013201728</c:v>
                </c:pt>
                <c:pt idx="76">
                  <c:v>54.983401013201728</c:v>
                </c:pt>
                <c:pt idx="77">
                  <c:v>54.983401013201728</c:v>
                </c:pt>
                <c:pt idx="78">
                  <c:v>54.983401013201728</c:v>
                </c:pt>
                <c:pt idx="79">
                  <c:v>54.983401013201728</c:v>
                </c:pt>
              </c:numCache>
            </c:numRef>
          </c:yVal>
          <c:smooth val="1"/>
          <c:extLst>
            <c:ext xmlns:c16="http://schemas.microsoft.com/office/drawing/2014/chart" uri="{C3380CC4-5D6E-409C-BE32-E72D297353CC}">
              <c16:uniqueId val="{00000001-72D3-4248-B9B4-C667997DF196}"/>
            </c:ext>
          </c:extLst>
        </c:ser>
        <c:dLbls>
          <c:showLegendKey val="0"/>
          <c:showVal val="0"/>
          <c:showCatName val="0"/>
          <c:showSerName val="0"/>
          <c:showPercent val="0"/>
          <c:showBubbleSize val="0"/>
        </c:dLbls>
        <c:axId val="327121272"/>
        <c:axId val="327124552"/>
      </c:scatterChart>
      <c:valAx>
        <c:axId val="327121272"/>
        <c:scaling>
          <c:orientation val="minMax"/>
        </c:scaling>
        <c:delete val="0"/>
        <c:axPos val="b"/>
        <c:majorGridlines>
          <c:spPr>
            <a:ln w="9525" cap="flat" cmpd="sng" algn="ctr">
              <a:solidFill>
                <a:schemeClr val="tx1">
                  <a:lumMod val="15000"/>
                  <a:lumOff val="85000"/>
                </a:schemeClr>
              </a:solidFill>
              <a:round/>
            </a:ln>
            <a:effectLst/>
          </c:spPr>
        </c:majorGridlines>
        <c:title>
          <c:tx>
            <c:rich>
              <a:bodyPr/>
              <a:lstStyle/>
              <a:p>
                <a:pPr>
                  <a:defRPr/>
                </a:pPr>
                <a:r>
                  <a:rPr lang="fi-FI"/>
                  <a:t>Years</a:t>
                </a:r>
              </a:p>
              <a:p>
                <a:pPr>
                  <a:defRPr/>
                </a:pPr>
                <a:endParaRPr lang="fi-FI"/>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vert="horz"/>
          <a:lstStyle/>
          <a:p>
            <a:pPr>
              <a:defRPr sz="1000"/>
            </a:pPr>
            <a:endParaRPr lang="fi-FI"/>
          </a:p>
        </c:txPr>
        <c:crossAx val="327124552"/>
        <c:crosses val="autoZero"/>
        <c:crossBetween val="midCat"/>
      </c:valAx>
      <c:valAx>
        <c:axId val="327124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a:pPr>
                <a:r>
                  <a:rPr lang="fi-FI"/>
                  <a:t>C02  kg / year</a:t>
                </a:r>
              </a:p>
            </c:rich>
          </c:tx>
          <c:overlay val="0"/>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vert="horz"/>
          <a:lstStyle/>
          <a:p>
            <a:pPr>
              <a:defRPr sz="1000"/>
            </a:pPr>
            <a:endParaRPr lang="fi-FI"/>
          </a:p>
        </c:txPr>
        <c:crossAx val="327121272"/>
        <c:crosses val="autoZero"/>
        <c:crossBetween val="midCat"/>
      </c:valAx>
    </c:plotArea>
    <c:legend>
      <c:legendPos val="r"/>
      <c:overlay val="0"/>
    </c:legend>
    <c:plotVisOnly val="1"/>
    <c:dispBlanksAs val="gap"/>
    <c:showDLblsOverMax val="0"/>
    <c:extLst/>
  </c:chart>
  <c:txPr>
    <a:bodyPr/>
    <a:lstStyle/>
    <a:p>
      <a:pPr marL="0" marR="0" lvl="0" indent="0" algn="ctr" defTabSz="914400" rtl="0" eaLnBrk="1" fontAlgn="auto" latinLnBrk="0" hangingPunct="1">
        <a:lnSpc>
          <a:spcPct val="100000"/>
        </a:lnSpc>
        <a:spcBef>
          <a:spcPts val="0"/>
        </a:spcBef>
        <a:spcAft>
          <a:spcPts val="0"/>
        </a:spcAft>
        <a:buClrTx/>
        <a:buSzTx/>
        <a:buFontTx/>
        <a:buNone/>
        <a:tabLst/>
        <a:defRPr lang="en-US" sz="1200" b="1" i="0" u="none" strike="noStrike" kern="1200" baseline="0">
          <a:solidFill>
            <a:sysClr val="windowText" lastClr="000000"/>
          </a:solidFill>
          <a:effectLst/>
          <a:latin typeface="+mn-lt"/>
          <a:ea typeface="+mn-ea"/>
          <a:cs typeface="+mn-cs"/>
        </a:defRPr>
      </a:pPr>
      <a:endParaRPr lang="fi-FI"/>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13</xdr:col>
      <xdr:colOff>4689</xdr:colOff>
      <xdr:row>29</xdr:row>
      <xdr:rowOff>96998</xdr:rowOff>
    </xdr:from>
    <xdr:to>
      <xdr:col>23</xdr:col>
      <xdr:colOff>94562</xdr:colOff>
      <xdr:row>56</xdr:row>
      <xdr:rowOff>87862</xdr:rowOff>
    </xdr:to>
    <xdr:graphicFrame macro="">
      <xdr:nvGraphicFramePr>
        <xdr:cNvPr id="2" name="Chart 1">
          <a:extLst>
            <a:ext uri="{FF2B5EF4-FFF2-40B4-BE49-F238E27FC236}">
              <a16:creationId xmlns:a16="http://schemas.microsoft.com/office/drawing/2014/main" id="{B53F9765-AE6A-442C-ADBB-1689B852FC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1723572</xdr:colOff>
      <xdr:row>3</xdr:row>
      <xdr:rowOff>167936</xdr:rowOff>
    </xdr:from>
    <xdr:to>
      <xdr:col>23</xdr:col>
      <xdr:colOff>369035</xdr:colOff>
      <xdr:row>26</xdr:row>
      <xdr:rowOff>166688</xdr:rowOff>
    </xdr:to>
    <xdr:graphicFrame macro="">
      <xdr:nvGraphicFramePr>
        <xdr:cNvPr id="3" name="Chart 2">
          <a:extLst>
            <a:ext uri="{FF2B5EF4-FFF2-40B4-BE49-F238E27FC236}">
              <a16:creationId xmlns:a16="http://schemas.microsoft.com/office/drawing/2014/main" id="{947A8AE2-0384-4CE4-973C-7F311C0B4F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27</xdr:col>
      <xdr:colOff>326024</xdr:colOff>
      <xdr:row>13</xdr:row>
      <xdr:rowOff>107736</xdr:rowOff>
    </xdr:from>
    <xdr:to>
      <xdr:col>42</xdr:col>
      <xdr:colOff>178820</xdr:colOff>
      <xdr:row>47</xdr:row>
      <xdr:rowOff>6859</xdr:rowOff>
    </xdr:to>
    <xdr:graphicFrame macro="">
      <xdr:nvGraphicFramePr>
        <xdr:cNvPr id="2" name="Chart 1">
          <a:extLst>
            <a:ext uri="{FF2B5EF4-FFF2-40B4-BE49-F238E27FC236}">
              <a16:creationId xmlns:a16="http://schemas.microsoft.com/office/drawing/2014/main" id="{5AE678CC-7DFB-46D9-BC63-7B3755901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49</xdr:col>
      <xdr:colOff>402648</xdr:colOff>
      <xdr:row>20</xdr:row>
      <xdr:rowOff>169719</xdr:rowOff>
    </xdr:from>
    <xdr:to>
      <xdr:col>57</xdr:col>
      <xdr:colOff>125557</xdr:colOff>
      <xdr:row>32</xdr:row>
      <xdr:rowOff>55419</xdr:rowOff>
    </xdr:to>
    <xdr:graphicFrame macro="">
      <xdr:nvGraphicFramePr>
        <xdr:cNvPr id="3" name="Chart 2">
          <a:extLst>
            <a:ext uri="{FF2B5EF4-FFF2-40B4-BE49-F238E27FC236}">
              <a16:creationId xmlns:a16="http://schemas.microsoft.com/office/drawing/2014/main" id="{3C4351F8-09CF-474F-8460-8F584D581A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604742</xdr:colOff>
      <xdr:row>8</xdr:row>
      <xdr:rowOff>34424</xdr:rowOff>
    </xdr:from>
    <xdr:to>
      <xdr:col>25</xdr:col>
      <xdr:colOff>513462</xdr:colOff>
      <xdr:row>37</xdr:row>
      <xdr:rowOff>1</xdr:rowOff>
    </xdr:to>
    <xdr:graphicFrame macro="">
      <xdr:nvGraphicFramePr>
        <xdr:cNvPr id="2" name="Chart 1">
          <a:extLst>
            <a:ext uri="{FF2B5EF4-FFF2-40B4-BE49-F238E27FC236}">
              <a16:creationId xmlns:a16="http://schemas.microsoft.com/office/drawing/2014/main" id="{944500BE-38F9-452C-BD06-5C30BA822B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572824</xdr:colOff>
      <xdr:row>39</xdr:row>
      <xdr:rowOff>8466</xdr:rowOff>
    </xdr:from>
    <xdr:to>
      <xdr:col>22</xdr:col>
      <xdr:colOff>452438</xdr:colOff>
      <xdr:row>67</xdr:row>
      <xdr:rowOff>1322</xdr:rowOff>
    </xdr:to>
    <xdr:graphicFrame macro="">
      <xdr:nvGraphicFramePr>
        <xdr:cNvPr id="3" name="Chart 2">
          <a:extLst>
            <a:ext uri="{FF2B5EF4-FFF2-40B4-BE49-F238E27FC236}">
              <a16:creationId xmlns:a16="http://schemas.microsoft.com/office/drawing/2014/main" id="{33AC8A9E-A850-4667-AA57-2F39654FF9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20</xdr:col>
      <xdr:colOff>561975</xdr:colOff>
      <xdr:row>5</xdr:row>
      <xdr:rowOff>2379</xdr:rowOff>
    </xdr:from>
    <xdr:to>
      <xdr:col>36</xdr:col>
      <xdr:colOff>391990</xdr:colOff>
      <xdr:row>24</xdr:row>
      <xdr:rowOff>116184</xdr:rowOff>
    </xdr:to>
    <xdr:graphicFrame macro="">
      <xdr:nvGraphicFramePr>
        <xdr:cNvPr id="2" name="Chart 1">
          <a:extLst>
            <a:ext uri="{FF2B5EF4-FFF2-40B4-BE49-F238E27FC236}">
              <a16:creationId xmlns:a16="http://schemas.microsoft.com/office/drawing/2014/main" id="{798FAD83-3DF1-46CA-A77A-21E9154BF8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595365</xdr:colOff>
      <xdr:row>26</xdr:row>
      <xdr:rowOff>156</xdr:rowOff>
    </xdr:from>
    <xdr:to>
      <xdr:col>37</xdr:col>
      <xdr:colOff>549310</xdr:colOff>
      <xdr:row>50</xdr:row>
      <xdr:rowOff>157006</xdr:rowOff>
    </xdr:to>
    <xdr:graphicFrame macro="">
      <xdr:nvGraphicFramePr>
        <xdr:cNvPr id="3" name="Chart 2">
          <a:extLst>
            <a:ext uri="{FF2B5EF4-FFF2-40B4-BE49-F238E27FC236}">
              <a16:creationId xmlns:a16="http://schemas.microsoft.com/office/drawing/2014/main" id="{3045C653-5C99-47D4-83CD-0190102284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14</xdr:col>
      <xdr:colOff>12231</xdr:colOff>
      <xdr:row>6</xdr:row>
      <xdr:rowOff>152212</xdr:rowOff>
    </xdr:from>
    <xdr:to>
      <xdr:col>27</xdr:col>
      <xdr:colOff>321067</xdr:colOff>
      <xdr:row>26</xdr:row>
      <xdr:rowOff>139129</xdr:rowOff>
    </xdr:to>
    <xdr:graphicFrame macro="">
      <xdr:nvGraphicFramePr>
        <xdr:cNvPr id="3" name="Chart 2">
          <a:extLst>
            <a:ext uri="{FF2B5EF4-FFF2-40B4-BE49-F238E27FC236}">
              <a16:creationId xmlns:a16="http://schemas.microsoft.com/office/drawing/2014/main" id="{925263C1-2184-4169-918C-4DBF416D7A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583689</xdr:colOff>
      <xdr:row>28</xdr:row>
      <xdr:rowOff>16772</xdr:rowOff>
    </xdr:from>
    <xdr:to>
      <xdr:col>27</xdr:col>
      <xdr:colOff>342470</xdr:colOff>
      <xdr:row>49</xdr:row>
      <xdr:rowOff>149833</xdr:rowOff>
    </xdr:to>
    <xdr:graphicFrame macro="">
      <xdr:nvGraphicFramePr>
        <xdr:cNvPr id="4" name="Chart 3">
          <a:extLst>
            <a:ext uri="{FF2B5EF4-FFF2-40B4-BE49-F238E27FC236}">
              <a16:creationId xmlns:a16="http://schemas.microsoft.com/office/drawing/2014/main" id="{CAF44044-537F-48D7-B588-EBDDD90111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13</xdr:col>
      <xdr:colOff>9719</xdr:colOff>
      <xdr:row>7</xdr:row>
      <xdr:rowOff>2266995</xdr:rowOff>
    </xdr:from>
    <xdr:to>
      <xdr:col>23</xdr:col>
      <xdr:colOff>35719</xdr:colOff>
      <xdr:row>28</xdr:row>
      <xdr:rowOff>123621</xdr:rowOff>
    </xdr:to>
    <xdr:graphicFrame macro="">
      <xdr:nvGraphicFramePr>
        <xdr:cNvPr id="2" name="Chart 1">
          <a:extLst>
            <a:ext uri="{FF2B5EF4-FFF2-40B4-BE49-F238E27FC236}">
              <a16:creationId xmlns:a16="http://schemas.microsoft.com/office/drawing/2014/main" id="{EDC37A44-1C41-4010-9391-730DD562F6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40822</xdr:colOff>
      <xdr:row>29</xdr:row>
      <xdr:rowOff>185933</xdr:rowOff>
    </xdr:from>
    <xdr:to>
      <xdr:col>26</xdr:col>
      <xdr:colOff>131308</xdr:colOff>
      <xdr:row>51</xdr:row>
      <xdr:rowOff>28770</xdr:rowOff>
    </xdr:to>
    <xdr:graphicFrame macro="">
      <xdr:nvGraphicFramePr>
        <xdr:cNvPr id="3" name="Chart 2">
          <a:extLst>
            <a:ext uri="{FF2B5EF4-FFF2-40B4-BE49-F238E27FC236}">
              <a16:creationId xmlns:a16="http://schemas.microsoft.com/office/drawing/2014/main" id="{E5D8AA45-7BEB-46BD-BCBF-4875038BA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12</xdr:col>
      <xdr:colOff>611421</xdr:colOff>
      <xdr:row>2</xdr:row>
      <xdr:rowOff>179831</xdr:rowOff>
    </xdr:from>
    <xdr:to>
      <xdr:col>25</xdr:col>
      <xdr:colOff>453010</xdr:colOff>
      <xdr:row>27</xdr:row>
      <xdr:rowOff>67719</xdr:rowOff>
    </xdr:to>
    <xdr:graphicFrame macro="">
      <xdr:nvGraphicFramePr>
        <xdr:cNvPr id="2" name="Chart 1">
          <a:extLst>
            <a:ext uri="{FF2B5EF4-FFF2-40B4-BE49-F238E27FC236}">
              <a16:creationId xmlns:a16="http://schemas.microsoft.com/office/drawing/2014/main" id="{85D75223-49D7-4E06-87B9-149D19FFE7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54865</xdr:colOff>
      <xdr:row>28</xdr:row>
      <xdr:rowOff>144915</xdr:rowOff>
    </xdr:from>
    <xdr:to>
      <xdr:col>26</xdr:col>
      <xdr:colOff>109974</xdr:colOff>
      <xdr:row>49</xdr:row>
      <xdr:rowOff>96610</xdr:rowOff>
    </xdr:to>
    <xdr:graphicFrame macro="">
      <xdr:nvGraphicFramePr>
        <xdr:cNvPr id="3" name="Chart 2">
          <a:extLst>
            <a:ext uri="{FF2B5EF4-FFF2-40B4-BE49-F238E27FC236}">
              <a16:creationId xmlns:a16="http://schemas.microsoft.com/office/drawing/2014/main" id="{CB5B7999-9403-46A1-A14B-7FAD373E81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4500</xdr:colOff>
      <xdr:row>11</xdr:row>
      <xdr:rowOff>112446</xdr:rowOff>
    </xdr:from>
    <xdr:to>
      <xdr:col>23</xdr:col>
      <xdr:colOff>440268</xdr:colOff>
      <xdr:row>38</xdr:row>
      <xdr:rowOff>105304</xdr:rowOff>
    </xdr:to>
    <xdr:graphicFrame macro="">
      <xdr:nvGraphicFramePr>
        <xdr:cNvPr id="2" name="Chart 1">
          <a:extLst>
            <a:ext uri="{FF2B5EF4-FFF2-40B4-BE49-F238E27FC236}">
              <a16:creationId xmlns:a16="http://schemas.microsoft.com/office/drawing/2014/main" id="{18BF83E4-B12C-4EC1-91D0-1111B4545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76465</xdr:colOff>
      <xdr:row>43</xdr:row>
      <xdr:rowOff>101070</xdr:rowOff>
    </xdr:from>
    <xdr:to>
      <xdr:col>24</xdr:col>
      <xdr:colOff>111920</xdr:colOff>
      <xdr:row>64</xdr:row>
      <xdr:rowOff>134408</xdr:rowOff>
    </xdr:to>
    <xdr:graphicFrame macro="">
      <xdr:nvGraphicFramePr>
        <xdr:cNvPr id="3" name="Chart 2">
          <a:extLst>
            <a:ext uri="{FF2B5EF4-FFF2-40B4-BE49-F238E27FC236}">
              <a16:creationId xmlns:a16="http://schemas.microsoft.com/office/drawing/2014/main" id="{6DDD4479-3984-4BC1-8708-E26220B0A4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12</xdr:col>
      <xdr:colOff>57417</xdr:colOff>
      <xdr:row>2</xdr:row>
      <xdr:rowOff>2288116</xdr:rowOff>
    </xdr:from>
    <xdr:to>
      <xdr:col>24</xdr:col>
      <xdr:colOff>572559</xdr:colOff>
      <xdr:row>29</xdr:row>
      <xdr:rowOff>156898</xdr:rowOff>
    </xdr:to>
    <xdr:graphicFrame macro="">
      <xdr:nvGraphicFramePr>
        <xdr:cNvPr id="2" name="Chart 1">
          <a:extLst>
            <a:ext uri="{FF2B5EF4-FFF2-40B4-BE49-F238E27FC236}">
              <a16:creationId xmlns:a16="http://schemas.microsoft.com/office/drawing/2014/main" id="{82C15786-4580-4817-AB33-413788CC3D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597694</xdr:colOff>
      <xdr:row>30</xdr:row>
      <xdr:rowOff>102393</xdr:rowOff>
    </xdr:from>
    <xdr:to>
      <xdr:col>25</xdr:col>
      <xdr:colOff>111919</xdr:colOff>
      <xdr:row>51</xdr:row>
      <xdr:rowOff>135731</xdr:rowOff>
    </xdr:to>
    <xdr:graphicFrame macro="">
      <xdr:nvGraphicFramePr>
        <xdr:cNvPr id="3" name="Chart 2">
          <a:extLst>
            <a:ext uri="{FF2B5EF4-FFF2-40B4-BE49-F238E27FC236}">
              <a16:creationId xmlns:a16="http://schemas.microsoft.com/office/drawing/2014/main" id="{05DCA7EC-25EF-43F0-8139-90BF7FC80E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13</xdr:col>
      <xdr:colOff>19049</xdr:colOff>
      <xdr:row>4</xdr:row>
      <xdr:rowOff>180975</xdr:rowOff>
    </xdr:from>
    <xdr:to>
      <xdr:col>25</xdr:col>
      <xdr:colOff>533400</xdr:colOff>
      <xdr:row>28</xdr:row>
      <xdr:rowOff>9525</xdr:rowOff>
    </xdr:to>
    <xdr:graphicFrame macro="">
      <xdr:nvGraphicFramePr>
        <xdr:cNvPr id="2" name="Chart 1">
          <a:extLst>
            <a:ext uri="{FF2B5EF4-FFF2-40B4-BE49-F238E27FC236}">
              <a16:creationId xmlns:a16="http://schemas.microsoft.com/office/drawing/2014/main" id="{9927B0A2-9840-4523-AD43-B7A72600E8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843EC-8101-4500-BEF8-BD4019ABFD13}">
  <dimension ref="A1:N22"/>
  <sheetViews>
    <sheetView tabSelected="1" workbookViewId="0">
      <selection activeCell="A3" sqref="A3"/>
    </sheetView>
  </sheetViews>
  <sheetFormatPr defaultRowHeight="15" x14ac:dyDescent="0.25"/>
  <cols>
    <col min="1" max="1" width="55.7109375" bestFit="1" customWidth="1"/>
    <col min="2" max="2" width="39.140625" customWidth="1"/>
  </cols>
  <sheetData>
    <row r="1" spans="1:2" ht="18.75" x14ac:dyDescent="0.25">
      <c r="A1" s="134" t="s">
        <v>506</v>
      </c>
    </row>
    <row r="3" spans="1:2" ht="18.75" x14ac:dyDescent="0.25">
      <c r="A3" s="134" t="s">
        <v>539</v>
      </c>
    </row>
    <row r="4" spans="1:2" ht="15.75" x14ac:dyDescent="0.25">
      <c r="A4" s="135" t="s">
        <v>501</v>
      </c>
    </row>
    <row r="5" spans="1:2" ht="17.25" x14ac:dyDescent="0.25">
      <c r="A5" s="136" t="s">
        <v>502</v>
      </c>
    </row>
    <row r="7" spans="1:2" x14ac:dyDescent="0.25">
      <c r="A7" s="8" t="s">
        <v>480</v>
      </c>
    </row>
    <row r="9" spans="1:2" x14ac:dyDescent="0.25">
      <c r="A9" s="133" t="s">
        <v>481</v>
      </c>
      <c r="B9" t="s">
        <v>486</v>
      </c>
    </row>
    <row r="10" spans="1:2" x14ac:dyDescent="0.25">
      <c r="A10" s="9" t="s">
        <v>482</v>
      </c>
      <c r="B10" t="s">
        <v>487</v>
      </c>
    </row>
    <row r="11" spans="1:2" x14ac:dyDescent="0.25">
      <c r="A11" s="9" t="s">
        <v>219</v>
      </c>
      <c r="B11" t="s">
        <v>488</v>
      </c>
    </row>
    <row r="12" spans="1:2" x14ac:dyDescent="0.25">
      <c r="A12" s="9" t="s">
        <v>220</v>
      </c>
      <c r="B12" t="s">
        <v>489</v>
      </c>
    </row>
    <row r="13" spans="1:2" x14ac:dyDescent="0.25">
      <c r="A13" s="9" t="s">
        <v>222</v>
      </c>
      <c r="B13" t="s">
        <v>490</v>
      </c>
    </row>
    <row r="14" spans="1:2" x14ac:dyDescent="0.25">
      <c r="A14" s="9" t="s">
        <v>223</v>
      </c>
      <c r="B14" t="s">
        <v>491</v>
      </c>
    </row>
    <row r="15" spans="1:2" x14ac:dyDescent="0.25">
      <c r="A15" s="9" t="s">
        <v>224</v>
      </c>
      <c r="B15" t="s">
        <v>492</v>
      </c>
    </row>
    <row r="16" spans="1:2" x14ac:dyDescent="0.25">
      <c r="A16" s="9" t="s">
        <v>225</v>
      </c>
      <c r="B16" t="s">
        <v>493</v>
      </c>
    </row>
    <row r="17" spans="1:14" x14ac:dyDescent="0.25">
      <c r="A17" s="9" t="s">
        <v>227</v>
      </c>
      <c r="B17" t="s">
        <v>494</v>
      </c>
    </row>
    <row r="18" spans="1:14" x14ac:dyDescent="0.25">
      <c r="A18" s="9" t="s">
        <v>228</v>
      </c>
      <c r="B18" t="s">
        <v>495</v>
      </c>
    </row>
    <row r="19" spans="1:14" ht="18" x14ac:dyDescent="0.35">
      <c r="A19" s="9" t="s">
        <v>534</v>
      </c>
      <c r="B19" s="43" t="s">
        <v>535</v>
      </c>
      <c r="C19" s="43"/>
      <c r="D19" s="43"/>
      <c r="E19" s="43"/>
      <c r="F19" s="43"/>
      <c r="G19" s="43"/>
      <c r="H19" s="43"/>
      <c r="I19" s="43"/>
      <c r="J19" s="43"/>
      <c r="K19" s="43"/>
      <c r="L19" s="43"/>
      <c r="M19" s="43"/>
      <c r="N19" s="43"/>
    </row>
    <row r="20" spans="1:14" x14ac:dyDescent="0.25">
      <c r="A20" s="9" t="s">
        <v>483</v>
      </c>
      <c r="B20" t="s">
        <v>496</v>
      </c>
    </row>
    <row r="21" spans="1:14" x14ac:dyDescent="0.25">
      <c r="A21" s="9" t="s">
        <v>484</v>
      </c>
      <c r="B21" t="s">
        <v>498</v>
      </c>
    </row>
    <row r="22" spans="1:14" x14ac:dyDescent="0.25">
      <c r="A22" s="9" t="s">
        <v>485</v>
      </c>
      <c r="B22" t="s">
        <v>497</v>
      </c>
    </row>
  </sheetData>
  <hyperlinks>
    <hyperlink ref="A9" location="'Notes on tree allometry'!A1" display="Notes on tree allometry" xr:uid="{4114E7DA-47DA-40E9-8343-9843730083F4}"/>
    <hyperlink ref="A10" location="KeyParameters!A1" display="KeyParameters" xr:uid="{B5F9BF60-794B-4A5D-86A7-CFDDB66252D1}"/>
    <hyperlink ref="A11" location="Tree1!A1" display="Tree1" xr:uid="{117379B5-634C-4E5B-BB66-15432D439305}"/>
    <hyperlink ref="A12" location="Tree2!A1" display="Tree2" xr:uid="{8F6A07AF-C34F-4229-A845-B30BDFFDB843}"/>
    <hyperlink ref="A13" location="Tree3!A1" display="Tree3" xr:uid="{C1A4950A-910E-455B-B857-FDAF23F2DE6B}"/>
    <hyperlink ref="A14" location="Tree4!A1" display="Tree4" xr:uid="{47C7DC96-0733-4925-AC72-A16712F08EAC}"/>
    <hyperlink ref="A15" location="Tree5!A1" display="Tree5" xr:uid="{68558630-8F3E-44DA-BD1A-67D7FD31E973}"/>
    <hyperlink ref="A16" location="Tree6!A1" display="Tree6" xr:uid="{6B886321-B4D0-4E52-8FE7-514A0214EA57}"/>
    <hyperlink ref="A17" location="Tree7!A1" display="Tree7" xr:uid="{613BF92B-06AE-4C0A-A60C-87F0708C8C4C}"/>
    <hyperlink ref="A18" location="Tree8!A1" display="Tree8" xr:uid="{FE9C506C-08CD-4B76-AFD3-F11BA5EDEA52}"/>
    <hyperlink ref="A20" location="Validation!A1" display="Validation" xr:uid="{E8F33762-6C6A-47BA-B372-7F00891983B7}"/>
    <hyperlink ref="A21" location="'Regional Breakdown'!A1" display="Regional Breakdown" xr:uid="{CFA709AB-26EE-4FD2-BFFC-3631CF96B75B}"/>
    <hyperlink ref="A22" location="References!A1" display="References" xr:uid="{F6FA5FD2-3733-4280-A139-AB36AC356723}"/>
    <hyperlink ref="A19" location="ImpactOnCO2Emissions!A1" display="Impact On CO2 Emissions" xr:uid="{2645E499-ABB2-4A74-8AD5-4CA1F450B779}"/>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1E438-06B7-45B4-A246-0D3AEECB5FFC}">
  <sheetPr codeName="Sheet14"/>
  <dimension ref="A1:I106"/>
  <sheetViews>
    <sheetView zoomScale="80" zoomScaleNormal="80" workbookViewId="0">
      <selection activeCell="I1" sqref="I1:I1048576"/>
    </sheetView>
  </sheetViews>
  <sheetFormatPr defaultRowHeight="15" x14ac:dyDescent="0.25"/>
  <cols>
    <col min="1" max="1" width="35.85546875" bestFit="1" customWidth="1"/>
    <col min="2" max="2" width="64.7109375" bestFit="1" customWidth="1"/>
    <col min="3" max="3" width="14" bestFit="1" customWidth="1"/>
    <col min="4" max="4" width="15.42578125" bestFit="1" customWidth="1"/>
    <col min="5" max="5" width="14.7109375" bestFit="1" customWidth="1"/>
    <col min="6" max="6" width="32.28515625" bestFit="1" customWidth="1"/>
    <col min="7" max="7" width="31.28515625" bestFit="1" customWidth="1"/>
    <col min="8" max="8" width="15.7109375" customWidth="1"/>
    <col min="9" max="9" width="26" customWidth="1"/>
  </cols>
  <sheetData>
    <row r="1" spans="1:9" x14ac:dyDescent="0.25">
      <c r="A1" s="21" t="s">
        <v>15</v>
      </c>
      <c r="B1" s="21" t="s">
        <v>38</v>
      </c>
      <c r="C1" s="50" t="s">
        <v>132</v>
      </c>
      <c r="H1" s="1"/>
    </row>
    <row r="2" spans="1:9" x14ac:dyDescent="0.25">
      <c r="A2" s="8"/>
      <c r="B2" t="s">
        <v>135</v>
      </c>
      <c r="H2" s="1"/>
    </row>
    <row r="3" spans="1:9" ht="15.75" thickBot="1" x14ac:dyDescent="0.3">
      <c r="A3" s="8"/>
      <c r="B3" s="8"/>
      <c r="C3" s="8"/>
      <c r="H3" s="1"/>
    </row>
    <row r="4" spans="1:9" s="19" customFormat="1" ht="60" x14ac:dyDescent="0.25">
      <c r="A4" s="106" t="s">
        <v>13</v>
      </c>
      <c r="B4" s="107" t="s">
        <v>12</v>
      </c>
      <c r="C4" s="108" t="s">
        <v>11</v>
      </c>
      <c r="D4" s="108" t="s">
        <v>10</v>
      </c>
      <c r="E4" s="108" t="s">
        <v>9</v>
      </c>
      <c r="F4" s="107" t="s">
        <v>8</v>
      </c>
      <c r="G4" s="107" t="s">
        <v>7</v>
      </c>
      <c r="H4" s="108" t="s">
        <v>6</v>
      </c>
      <c r="I4" s="108" t="s">
        <v>230</v>
      </c>
    </row>
    <row r="5" spans="1:9" ht="17.25" x14ac:dyDescent="0.25">
      <c r="A5" s="109" t="s">
        <v>5</v>
      </c>
      <c r="B5" s="109" t="s">
        <v>4</v>
      </c>
      <c r="C5" s="110" t="s">
        <v>3</v>
      </c>
      <c r="D5" s="110" t="s">
        <v>3</v>
      </c>
      <c r="E5" s="110" t="s">
        <v>2</v>
      </c>
      <c r="F5" s="109" t="s">
        <v>1</v>
      </c>
      <c r="G5" s="109" t="s">
        <v>0</v>
      </c>
      <c r="H5" s="111"/>
      <c r="I5" s="109" t="s">
        <v>0</v>
      </c>
    </row>
    <row r="6" spans="1:9" x14ac:dyDescent="0.25">
      <c r="A6" s="111">
        <v>1</v>
      </c>
      <c r="B6" s="111">
        <f>2.38911 + 1.11176* A6  - 0.00166*A6^2</f>
        <v>3.4992099999999997</v>
      </c>
      <c r="C6" s="123">
        <f xml:space="preserve"> 2.85092+0.17322 * B6 -
0.00063 * B6^2</f>
        <v>3.4493391397068169</v>
      </c>
      <c r="D6" s="61">
        <f xml:space="preserve"> -0.10751 + B6 * 0.32917 - 0.00353* B6^2+ 0.00002*B6^3</f>
        <v>1.0019588938779782</v>
      </c>
      <c r="E6" s="111">
        <f xml:space="preserve">  3.14*(D6/2)^2</f>
        <v>0.78807847564162758</v>
      </c>
      <c r="F6" s="61">
        <f xml:space="preserve"> 0.3688 * C6^2.25</f>
        <v>5.9799379725147723</v>
      </c>
      <c r="G6" s="61">
        <f>F6</f>
        <v>5.9799379725147723</v>
      </c>
      <c r="H6" s="63">
        <f t="shared" ref="H6:H37" si="0">(G6/E6)*12/44</f>
        <v>2.0694540261290499</v>
      </c>
      <c r="I6" s="64">
        <f>G6*(1+KeyParameters!$B$37)*(1+KeyParameters!$B$34)</f>
        <v>8.9699069587721585</v>
      </c>
    </row>
    <row r="7" spans="1:9" x14ac:dyDescent="0.25">
      <c r="A7" s="111">
        <v>2</v>
      </c>
      <c r="B7" s="111">
        <f t="shared" ref="B7:B70" si="1">2.38911 + 1.11176* A7  - 0.00166*A7^2</f>
        <v>4.6059900000000003</v>
      </c>
      <c r="C7" s="123">
        <f t="shared" ref="C7:C70" si="2" xml:space="preserve"> 2.85092+0.17322 * B7 -
0.00063 * B7^2</f>
        <v>3.6354040471555371</v>
      </c>
      <c r="D7" s="61">
        <f t="shared" ref="D7:D50" si="3" xml:space="preserve"> -0.10751 + B7 * 0.32917 - 0.00353* B7^2+ 0.00002*B7^3</f>
        <v>1.3357086052144533</v>
      </c>
      <c r="E7" s="111">
        <f t="shared" ref="E7:E50" si="4" xml:space="preserve">  3.14*(D7/2)^2</f>
        <v>1.4005322202644932</v>
      </c>
      <c r="F7" s="61">
        <f t="shared" ref="F7:F50" si="5" xml:space="preserve"> 0.3688 * C7^2.25</f>
        <v>6.7303005202317037</v>
      </c>
      <c r="G7" s="61">
        <f xml:space="preserve"> G6+F7</f>
        <v>12.710238492746477</v>
      </c>
      <c r="H7" s="63">
        <f t="shared" si="0"/>
        <v>2.4750795659562241</v>
      </c>
      <c r="I7" s="64">
        <f>G7*(1+KeyParameters!$B$37)*(1+KeyParameters!$B$34)</f>
        <v>19.065357739119715</v>
      </c>
    </row>
    <row r="8" spans="1:9" x14ac:dyDescent="0.25">
      <c r="A8" s="111">
        <v>3</v>
      </c>
      <c r="B8" s="111">
        <f t="shared" si="1"/>
        <v>5.7094499999999995</v>
      </c>
      <c r="C8" s="123">
        <f t="shared" si="2"/>
        <v>3.8193743028394249</v>
      </c>
      <c r="D8" s="61">
        <f t="shared" si="3"/>
        <v>1.6605216667505081</v>
      </c>
      <c r="E8" s="111">
        <f t="shared" si="4"/>
        <v>2.1645057815120898</v>
      </c>
      <c r="F8" s="61">
        <f t="shared" si="5"/>
        <v>7.5209622947524934</v>
      </c>
      <c r="G8" s="61">
        <f t="shared" ref="G8:G71" si="6" xml:space="preserve"> G7+F8</f>
        <v>20.23120078749897</v>
      </c>
      <c r="H8" s="63">
        <f t="shared" si="0"/>
        <v>2.5491270394842456</v>
      </c>
      <c r="I8" s="64">
        <f>G8*(1+KeyParameters!$B$37)*(1+KeyParameters!$B$34)</f>
        <v>30.346801181248455</v>
      </c>
    </row>
    <row r="9" spans="1:9" x14ac:dyDescent="0.25">
      <c r="A9" s="111">
        <v>4</v>
      </c>
      <c r="B9" s="111">
        <f t="shared" si="1"/>
        <v>6.80959</v>
      </c>
      <c r="C9" s="123">
        <f t="shared" si="2"/>
        <v>4.0012637547400969</v>
      </c>
      <c r="D9" s="61">
        <f t="shared" si="3"/>
        <v>1.9766301029692315</v>
      </c>
      <c r="E9" s="111">
        <f t="shared" si="4"/>
        <v>3.0670472527118613</v>
      </c>
      <c r="F9" s="61">
        <f t="shared" si="5"/>
        <v>8.3509246978651941</v>
      </c>
      <c r="G9" s="61">
        <f t="shared" si="6"/>
        <v>28.582125485364166</v>
      </c>
      <c r="H9" s="63">
        <f t="shared" si="0"/>
        <v>2.5415732103506561</v>
      </c>
      <c r="I9" s="64">
        <f>G9*(1+KeyParameters!$B$37)*(1+KeyParameters!$B$34)</f>
        <v>42.873188228046253</v>
      </c>
    </row>
    <row r="10" spans="1:9" x14ac:dyDescent="0.25">
      <c r="A10" s="111">
        <v>5</v>
      </c>
      <c r="B10" s="111">
        <f t="shared" si="1"/>
        <v>7.9064100000000002</v>
      </c>
      <c r="C10" s="123">
        <f t="shared" si="2"/>
        <v>4.1810862091744969</v>
      </c>
      <c r="D10" s="61">
        <f t="shared" si="3"/>
        <v>2.2842628256860342</v>
      </c>
      <c r="E10" s="111">
        <f t="shared" si="4"/>
        <v>4.0960174755967493</v>
      </c>
      <c r="F10" s="61">
        <f t="shared" si="5"/>
        <v>9.219161809704131</v>
      </c>
      <c r="G10" s="61">
        <f t="shared" si="6"/>
        <v>37.801287295068299</v>
      </c>
      <c r="H10" s="63">
        <f t="shared" si="0"/>
        <v>2.5169428721888201</v>
      </c>
      <c r="I10" s="64">
        <f>G10*(1+KeyParameters!$B$37)*(1+KeyParameters!$B$34)</f>
        <v>56.701930942602452</v>
      </c>
    </row>
    <row r="11" spans="1:9" x14ac:dyDescent="0.25">
      <c r="A11" s="111">
        <v>6</v>
      </c>
      <c r="B11" s="111">
        <f t="shared" si="1"/>
        <v>8.9999099999999999</v>
      </c>
      <c r="C11" s="123">
        <f t="shared" si="2"/>
        <v>4.3588554307948968</v>
      </c>
      <c r="D11" s="61">
        <f t="shared" si="3"/>
        <v>2.5836456558757814</v>
      </c>
      <c r="E11" s="111">
        <f t="shared" si="4"/>
        <v>5.2400515269737511</v>
      </c>
      <c r="F11" s="61">
        <f t="shared" si="5"/>
        <v>10.124625285885246</v>
      </c>
      <c r="G11" s="61">
        <f t="shared" si="6"/>
        <v>47.925912580953543</v>
      </c>
      <c r="H11" s="63">
        <f t="shared" si="0"/>
        <v>2.4943845234891757</v>
      </c>
      <c r="I11" s="64">
        <f>G11*(1+KeyParameters!$B$37)*(1+KeyParameters!$B$34)</f>
        <v>71.888868871430304</v>
      </c>
    </row>
    <row r="12" spans="1:9" x14ac:dyDescent="0.25">
      <c r="A12" s="111">
        <v>7</v>
      </c>
      <c r="B12" s="111">
        <f t="shared" si="1"/>
        <v>10.09009</v>
      </c>
      <c r="C12" s="123">
        <f t="shared" si="2"/>
        <v>4.534585142588897</v>
      </c>
      <c r="D12" s="61">
        <f t="shared" si="3"/>
        <v>2.8750013454340508</v>
      </c>
      <c r="E12" s="111">
        <f t="shared" si="4"/>
        <v>6.4885216979543676</v>
      </c>
      <c r="F12" s="61">
        <f t="shared" si="5"/>
        <v>11.06624864488939</v>
      </c>
      <c r="G12" s="61">
        <f t="shared" si="6"/>
        <v>58.992161225842935</v>
      </c>
      <c r="H12" s="63">
        <f t="shared" si="0"/>
        <v>2.4795742377626642</v>
      </c>
      <c r="I12" s="64">
        <f>G12*(1+KeyParameters!$B$37)*(1+KeyParameters!$B$34)</f>
        <v>88.488241838764409</v>
      </c>
    </row>
    <row r="13" spans="1:9" x14ac:dyDescent="0.25">
      <c r="A13" s="111">
        <v>8</v>
      </c>
      <c r="B13" s="111">
        <f t="shared" si="1"/>
        <v>11.176950000000001</v>
      </c>
      <c r="C13" s="123">
        <f t="shared" si="2"/>
        <v>4.7082890258794254</v>
      </c>
      <c r="D13" s="61">
        <f t="shared" si="3"/>
        <v>3.1585495988725252</v>
      </c>
      <c r="E13" s="111">
        <f t="shared" si="4"/>
        <v>7.8315019213021655</v>
      </c>
      <c r="F13" s="61">
        <f t="shared" si="5"/>
        <v>12.042951041314337</v>
      </c>
      <c r="G13" s="61">
        <f t="shared" si="6"/>
        <v>71.035112267157274</v>
      </c>
      <c r="H13" s="63">
        <f t="shared" si="0"/>
        <v>2.4737544127775943</v>
      </c>
      <c r="I13" s="64">
        <f>G13*(1+KeyParameters!$B$37)*(1+KeyParameters!$B$34)</f>
        <v>106.55266840073591</v>
      </c>
    </row>
    <row r="14" spans="1:9" x14ac:dyDescent="0.25">
      <c r="A14" s="111">
        <v>9</v>
      </c>
      <c r="B14" s="111">
        <f t="shared" si="1"/>
        <v>12.260490000000001</v>
      </c>
      <c r="C14" s="123">
        <f t="shared" si="2"/>
        <v>4.8799807203247374</v>
      </c>
      <c r="D14" s="61">
        <f t="shared" si="3"/>
        <v>3.4345070949485073</v>
      </c>
      <c r="E14" s="111">
        <f t="shared" si="4"/>
        <v>9.2597336034225339</v>
      </c>
      <c r="F14" s="61">
        <f t="shared" si="5"/>
        <v>13.053640601848182</v>
      </c>
      <c r="G14" s="61">
        <f t="shared" si="6"/>
        <v>84.088752869005461</v>
      </c>
      <c r="H14" s="63">
        <f t="shared" si="0"/>
        <v>2.4766691158938965</v>
      </c>
      <c r="I14" s="64">
        <f>G14*(1+KeyParameters!$B$37)*(1+KeyParameters!$B$34)</f>
        <v>126.13312930350818</v>
      </c>
    </row>
    <row r="15" spans="1:9" x14ac:dyDescent="0.25">
      <c r="A15" s="111">
        <v>10</v>
      </c>
      <c r="B15" s="111">
        <f t="shared" si="1"/>
        <v>13.340710000000001</v>
      </c>
      <c r="C15" s="123">
        <f t="shared" si="2"/>
        <v>5.0496738239184173</v>
      </c>
      <c r="D15" s="61">
        <f t="shared" si="3"/>
        <v>3.7030875082285757</v>
      </c>
      <c r="E15" s="111">
        <f t="shared" si="4"/>
        <v>10.76459281847484</v>
      </c>
      <c r="F15" s="61">
        <f t="shared" si="5"/>
        <v>14.097217386402518</v>
      </c>
      <c r="G15" s="61">
        <f t="shared" si="6"/>
        <v>98.18597025540798</v>
      </c>
      <c r="H15" s="63">
        <f t="shared" si="0"/>
        <v>2.4875991446588248</v>
      </c>
      <c r="I15" s="64">
        <f>G15*(1+KeyParameters!$B$37)*(1+KeyParameters!$B$34)</f>
        <v>147.27895538311196</v>
      </c>
    </row>
    <row r="16" spans="1:9" x14ac:dyDescent="0.25">
      <c r="A16" s="111">
        <v>11</v>
      </c>
      <c r="B16" s="111">
        <f t="shared" si="1"/>
        <v>14.417610000000002</v>
      </c>
      <c r="C16" s="123">
        <f t="shared" si="2"/>
        <v>5.2173818929893763</v>
      </c>
      <c r="D16" s="61">
        <f t="shared" si="3"/>
        <v>3.9645015305863627</v>
      </c>
      <c r="E16" s="111">
        <f t="shared" si="4"/>
        <v>12.338058823026966</v>
      </c>
      <c r="F16" s="61">
        <f t="shared" si="5"/>
        <v>15.172576025634827</v>
      </c>
      <c r="G16" s="61">
        <f t="shared" si="6"/>
        <v>113.35854628104281</v>
      </c>
      <c r="H16" s="63">
        <f t="shared" si="0"/>
        <v>2.5057399718225968</v>
      </c>
      <c r="I16" s="64">
        <f>G16*(1+KeyParameters!$B$37)*(1+KeyParameters!$B$34)</f>
        <v>170.03781942156419</v>
      </c>
    </row>
    <row r="17" spans="1:9" x14ac:dyDescent="0.25">
      <c r="A17" s="111">
        <v>12</v>
      </c>
      <c r="B17" s="111">
        <f t="shared" si="1"/>
        <v>15.491190000000001</v>
      </c>
      <c r="C17" s="123">
        <f t="shared" si="2"/>
        <v>5.383118442201857</v>
      </c>
      <c r="D17" s="61">
        <f t="shared" si="3"/>
        <v>4.2189568926344636</v>
      </c>
      <c r="E17" s="111">
        <f t="shared" si="4"/>
        <v>13.972683850597662</v>
      </c>
      <c r="F17" s="61">
        <f t="shared" si="5"/>
        <v>16.278608077272231</v>
      </c>
      <c r="G17" s="61">
        <f t="shared" si="6"/>
        <v>129.63715435831503</v>
      </c>
      <c r="H17" s="63">
        <f t="shared" si="0"/>
        <v>2.530336185253018</v>
      </c>
      <c r="I17" s="64">
        <f>G17*(1+KeyParameters!$B$37)*(1+KeyParameters!$B$34)</f>
        <v>194.45573153747253</v>
      </c>
    </row>
    <row r="18" spans="1:9" x14ac:dyDescent="0.25">
      <c r="A18" s="111">
        <v>13</v>
      </c>
      <c r="B18" s="111">
        <f t="shared" si="1"/>
        <v>16.561450000000001</v>
      </c>
      <c r="C18" s="123">
        <f t="shared" si="2"/>
        <v>5.5468969445554261</v>
      </c>
      <c r="D18" s="61">
        <f t="shared" si="3"/>
        <v>4.4666583850904811</v>
      </c>
      <c r="E18" s="111">
        <f t="shared" si="4"/>
        <v>15.661564146342799</v>
      </c>
      <c r="F18" s="61">
        <f t="shared" si="5"/>
        <v>17.41420413664018</v>
      </c>
      <c r="G18" s="61">
        <f t="shared" si="6"/>
        <v>147.0513584949552</v>
      </c>
      <c r="H18" s="63">
        <f t="shared" si="0"/>
        <v>2.5607222610989768</v>
      </c>
      <c r="I18" s="64">
        <f>G18*(1+KeyParameters!$B$37)*(1+KeyParameters!$B$34)</f>
        <v>220.57703774243276</v>
      </c>
    </row>
    <row r="19" spans="1:9" x14ac:dyDescent="0.25">
      <c r="A19" s="111">
        <v>14</v>
      </c>
      <c r="B19" s="111">
        <f t="shared" si="1"/>
        <v>17.62839</v>
      </c>
      <c r="C19" s="123">
        <f t="shared" si="2"/>
        <v>5.7087308313849769</v>
      </c>
      <c r="D19" s="61">
        <f t="shared" si="3"/>
        <v>4.7078078800771861</v>
      </c>
      <c r="E19" s="111">
        <f t="shared" si="4"/>
        <v>17.39831220303773</v>
      </c>
      <c r="F19" s="61">
        <f t="shared" si="5"/>
        <v>18.578255731175034</v>
      </c>
      <c r="G19" s="61">
        <f t="shared" si="6"/>
        <v>165.62961422613023</v>
      </c>
      <c r="H19" s="63">
        <f t="shared" si="0"/>
        <v>2.5963273013847772</v>
      </c>
      <c r="I19" s="64">
        <f>G19*(1+KeyParameters!$B$37)*(1+KeyParameters!$B$34)</f>
        <v>248.44442133919534</v>
      </c>
    </row>
    <row r="20" spans="1:9" x14ac:dyDescent="0.25">
      <c r="A20" s="111">
        <v>15</v>
      </c>
      <c r="B20" s="111">
        <f t="shared" si="1"/>
        <v>18.69201</v>
      </c>
      <c r="C20" s="123">
        <f t="shared" si="2"/>
        <v>5.8686334923607371</v>
      </c>
      <c r="D20" s="61">
        <f t="shared" si="3"/>
        <v>4.9426043523568373</v>
      </c>
      <c r="E20" s="111">
        <f t="shared" si="4"/>
        <v>19.177030160390352</v>
      </c>
      <c r="F20" s="61">
        <f t="shared" si="5"/>
        <v>19.769657024145157</v>
      </c>
      <c r="G20" s="61">
        <f t="shared" si="6"/>
        <v>185.39927125027538</v>
      </c>
      <c r="H20" s="63">
        <f t="shared" si="0"/>
        <v>2.6366667409299329</v>
      </c>
      <c r="I20" s="64">
        <f>G20*(1+KeyParameters!$B$37)*(1+KeyParameters!$B$34)</f>
        <v>278.09890687541309</v>
      </c>
    </row>
    <row r="21" spans="1:9" x14ac:dyDescent="0.25">
      <c r="A21" s="111">
        <v>16</v>
      </c>
      <c r="B21" s="111">
        <f t="shared" si="1"/>
        <v>19.752310000000001</v>
      </c>
      <c r="C21" s="123">
        <f t="shared" si="2"/>
        <v>6.0266182754882571</v>
      </c>
      <c r="D21" s="61">
        <f t="shared" si="3"/>
        <v>5.1712439004995927</v>
      </c>
      <c r="E21" s="111">
        <f t="shared" si="4"/>
        <v>20.992284330586582</v>
      </c>
      <c r="F21" s="61">
        <f t="shared" si="5"/>
        <v>20.987306349086619</v>
      </c>
      <c r="G21" s="61">
        <f t="shared" si="6"/>
        <v>206.386577599362</v>
      </c>
      <c r="H21" s="63">
        <f t="shared" si="0"/>
        <v>2.6813303187865505</v>
      </c>
      <c r="I21" s="64">
        <f>G21*(1+KeyParameters!$B$37)*(1+KeyParameters!$B$34)</f>
        <v>309.579866399043</v>
      </c>
    </row>
    <row r="22" spans="1:9" x14ac:dyDescent="0.25">
      <c r="A22" s="111">
        <v>17</v>
      </c>
      <c r="B22" s="111">
        <f t="shared" si="1"/>
        <v>20.809290000000001</v>
      </c>
      <c r="C22" s="123">
        <f t="shared" si="2"/>
        <v>6.182698487108417</v>
      </c>
      <c r="D22" s="61">
        <f t="shared" si="3"/>
        <v>5.3939197679860795</v>
      </c>
      <c r="E22" s="111">
        <f t="shared" si="4"/>
        <v>22.839080813824737</v>
      </c>
      <c r="F22" s="61">
        <f t="shared" si="5"/>
        <v>22.230107593401616</v>
      </c>
      <c r="G22" s="61">
        <f t="shared" si="6"/>
        <v>228.61668519276361</v>
      </c>
      <c r="H22" s="63">
        <f t="shared" si="0"/>
        <v>2.7299699826286696</v>
      </c>
      <c r="I22" s="64">
        <f>G22*(1+KeyParameters!$B$37)*(1+KeyParameters!$B$34)</f>
        <v>342.92502778914542</v>
      </c>
    </row>
    <row r="23" spans="1:9" x14ac:dyDescent="0.25">
      <c r="A23" s="111">
        <v>18</v>
      </c>
      <c r="B23" s="111">
        <f t="shared" si="1"/>
        <v>21.862950000000001</v>
      </c>
      <c r="C23" s="123">
        <f t="shared" si="2"/>
        <v>6.3368873918974256</v>
      </c>
      <c r="D23" s="61">
        <f t="shared" si="3"/>
        <v>5.610822364244088</v>
      </c>
      <c r="E23" s="111">
        <f t="shared" si="4"/>
        <v>24.712842168434772</v>
      </c>
      <c r="F23" s="61">
        <f t="shared" si="5"/>
        <v>23.49697144703277</v>
      </c>
      <c r="G23" s="61">
        <f t="shared" si="6"/>
        <v>252.11365663979637</v>
      </c>
      <c r="H23" s="63">
        <f t="shared" si="0"/>
        <v>2.7822890432447029</v>
      </c>
      <c r="I23" s="64">
        <f>G23*(1+KeyParameters!$B$37)*(1+KeyParameters!$B$34)</f>
        <v>378.17048495969453</v>
      </c>
    </row>
    <row r="24" spans="1:9" x14ac:dyDescent="0.25">
      <c r="A24" s="111">
        <v>19</v>
      </c>
      <c r="B24" s="111">
        <f t="shared" si="1"/>
        <v>22.91329</v>
      </c>
      <c r="C24" s="123">
        <f t="shared" si="2"/>
        <v>6.4891982128668175</v>
      </c>
      <c r="D24" s="61">
        <f t="shared" si="3"/>
        <v>5.8221392856193885</v>
      </c>
      <c r="E24" s="111">
        <f t="shared" si="4"/>
        <v>26.609385101004829</v>
      </c>
      <c r="F24" s="61">
        <f t="shared" si="5"/>
        <v>24.786816530013638</v>
      </c>
      <c r="G24" s="61">
        <f t="shared" si="6"/>
        <v>276.90047316981003</v>
      </c>
      <c r="H24" s="63">
        <f t="shared" si="0"/>
        <v>2.8380329187554922</v>
      </c>
      <c r="I24" s="64">
        <f>G24*(1+KeyParameters!$B$37)*(1+KeyParameters!$B$34)</f>
        <v>415.35070975471507</v>
      </c>
    </row>
    <row r="25" spans="1:9" x14ac:dyDescent="0.25">
      <c r="A25" s="111">
        <v>20</v>
      </c>
      <c r="B25" s="111">
        <f t="shared" si="1"/>
        <v>23.96031</v>
      </c>
      <c r="C25" s="123">
        <f t="shared" si="2"/>
        <v>6.6396441313634567</v>
      </c>
      <c r="D25" s="61">
        <f t="shared" si="3"/>
        <v>6.0280553362806817</v>
      </c>
      <c r="E25" s="111">
        <f t="shared" si="4"/>
        <v>28.524899142750673</v>
      </c>
      <c r="F25" s="61">
        <f t="shared" si="5"/>
        <v>26.098570410921688</v>
      </c>
      <c r="G25" s="61">
        <f t="shared" si="6"/>
        <v>302.99904358073172</v>
      </c>
      <c r="H25" s="63">
        <f t="shared" si="0"/>
        <v>2.8969814189771181</v>
      </c>
      <c r="I25" s="64">
        <f>G25*(1+KeyParameters!$B$37)*(1+KeyParameters!$B$34)</f>
        <v>454.49856537109758</v>
      </c>
    </row>
    <row r="26" spans="1:9" x14ac:dyDescent="0.25">
      <c r="A26" s="111">
        <v>21</v>
      </c>
      <c r="B26" s="111">
        <f t="shared" si="1"/>
        <v>25.004010000000001</v>
      </c>
      <c r="C26" s="123">
        <f t="shared" si="2"/>
        <v>6.7882382870695386</v>
      </c>
      <c r="D26" s="61">
        <f t="shared" si="3"/>
        <v>6.2287525490586884</v>
      </c>
      <c r="E26" s="111">
        <f t="shared" si="4"/>
        <v>30.455926279163009</v>
      </c>
      <c r="F26" s="61">
        <f t="shared" si="5"/>
        <v>27.431170526763111</v>
      </c>
      <c r="G26" s="61">
        <f t="shared" si="6"/>
        <v>330.43021410749486</v>
      </c>
      <c r="H26" s="63">
        <f t="shared" si="0"/>
        <v>2.9589423842899607</v>
      </c>
      <c r="I26" s="64">
        <f>G26*(1+KeyParameters!$B$37)*(1+KeyParameters!$B$34)</f>
        <v>495.64532116124229</v>
      </c>
    </row>
    <row r="27" spans="1:9" x14ac:dyDescent="0.25">
      <c r="A27" s="111">
        <v>22</v>
      </c>
      <c r="B27" s="111">
        <f t="shared" si="1"/>
        <v>26.044390000000003</v>
      </c>
      <c r="C27" s="123">
        <f t="shared" si="2"/>
        <v>6.9349937780025774</v>
      </c>
      <c r="D27" s="61">
        <f t="shared" si="3"/>
        <v>6.42441020621935</v>
      </c>
      <c r="E27" s="111">
        <f t="shared" si="4"/>
        <v>32.399341500753657</v>
      </c>
      <c r="F27" s="61">
        <f t="shared" si="5"/>
        <v>28.783565013547808</v>
      </c>
      <c r="G27" s="61">
        <f t="shared" si="6"/>
        <v>359.21377912104265</v>
      </c>
      <c r="H27" s="63">
        <f t="shared" si="0"/>
        <v>3.0237464642131702</v>
      </c>
      <c r="I27" s="64">
        <f>G27*(1+KeyParameters!$B$37)*(1+KeyParameters!$B$34)</f>
        <v>538.82066868156392</v>
      </c>
    </row>
    <row r="28" spans="1:9" x14ac:dyDescent="0.25">
      <c r="A28" s="111">
        <v>23</v>
      </c>
      <c r="B28" s="111">
        <f t="shared" si="1"/>
        <v>27.081450000000004</v>
      </c>
      <c r="C28" s="123">
        <f t="shared" si="2"/>
        <v>7.0799236605154254</v>
      </c>
      <c r="D28" s="61">
        <f t="shared" si="3"/>
        <v>6.6152048601711799</v>
      </c>
      <c r="E28" s="111">
        <f t="shared" si="4"/>
        <v>34.352334243495434</v>
      </c>
      <c r="F28" s="61">
        <f t="shared" si="5"/>
        <v>30.154713455729578</v>
      </c>
      <c r="G28" s="61">
        <f t="shared" si="6"/>
        <v>389.36849257677221</v>
      </c>
      <c r="H28" s="63">
        <f t="shared" si="0"/>
        <v>3.0912428341459677</v>
      </c>
      <c r="I28" s="64">
        <f>G28*(1+KeyParameters!$B$37)*(1+KeyParameters!$B$34)</f>
        <v>584.05273886515829</v>
      </c>
    </row>
    <row r="29" spans="1:9" x14ac:dyDescent="0.25">
      <c r="A29" s="111">
        <v>24</v>
      </c>
      <c r="B29" s="111">
        <f t="shared" si="1"/>
        <v>28.115189999999998</v>
      </c>
      <c r="C29" s="123">
        <f t="shared" si="2"/>
        <v>7.2230409492962568</v>
      </c>
      <c r="D29" s="61">
        <f t="shared" si="3"/>
        <v>6.8013103541067297</v>
      </c>
      <c r="E29" s="111">
        <f t="shared" si="4"/>
        <v>36.312390688310337</v>
      </c>
      <c r="F29" s="61">
        <f t="shared" si="5"/>
        <v>31.543587561756389</v>
      </c>
      <c r="G29" s="61">
        <f t="shared" si="6"/>
        <v>420.91208013852861</v>
      </c>
      <c r="H29" s="63">
        <f t="shared" si="0"/>
        <v>3.1612956761642974</v>
      </c>
      <c r="I29" s="64">
        <f>G29*(1+KeyParameters!$B$37)*(1+KeyParameters!$B$34)</f>
        <v>631.36812020779291</v>
      </c>
    </row>
    <row r="30" spans="1:9" x14ac:dyDescent="0.25">
      <c r="A30" s="111">
        <v>25</v>
      </c>
      <c r="B30" s="111">
        <f t="shared" si="1"/>
        <v>29.145609999999998</v>
      </c>
      <c r="C30" s="123">
        <f t="shared" si="2"/>
        <v>7.3643586173685769</v>
      </c>
      <c r="D30" s="61">
        <f t="shared" si="3"/>
        <v>6.9828978425781996</v>
      </c>
      <c r="E30" s="111">
        <f t="shared" si="4"/>
        <v>38.277276889708375</v>
      </c>
      <c r="F30" s="61">
        <f t="shared" si="5"/>
        <v>32.94917177217615</v>
      </c>
      <c r="G30" s="61">
        <f t="shared" si="6"/>
        <v>453.86125191070477</v>
      </c>
      <c r="H30" s="63">
        <f t="shared" si="0"/>
        <v>3.2337812793436482</v>
      </c>
      <c r="I30" s="64">
        <f>G30*(1+KeyParameters!$B$37)*(1+KeyParameters!$B$34)</f>
        <v>680.79187786605712</v>
      </c>
    </row>
    <row r="31" spans="1:9" x14ac:dyDescent="0.25">
      <c r="A31" s="111">
        <v>26</v>
      </c>
      <c r="B31" s="111">
        <f t="shared" si="1"/>
        <v>30.172709999999999</v>
      </c>
      <c r="C31" s="123">
        <f t="shared" si="2"/>
        <v>7.5038895960912164</v>
      </c>
      <c r="D31" s="61">
        <f t="shared" si="3"/>
        <v>7.1601358120071543</v>
      </c>
      <c r="E31" s="111">
        <f t="shared" si="4"/>
        <v>40.245022704414076</v>
      </c>
      <c r="F31" s="61">
        <f t="shared" si="5"/>
        <v>34.370463806050545</v>
      </c>
      <c r="G31" s="61">
        <f t="shared" si="6"/>
        <v>488.23171571675533</v>
      </c>
      <c r="H31" s="63">
        <f t="shared" si="0"/>
        <v>3.3085856421142847</v>
      </c>
      <c r="I31" s="64">
        <f>G31*(1+KeyParameters!$B$37)*(1+KeyParameters!$B$34)</f>
        <v>732.34757357513297</v>
      </c>
    </row>
    <row r="32" spans="1:9" x14ac:dyDescent="0.25">
      <c r="A32" s="111">
        <v>27</v>
      </c>
      <c r="B32" s="111">
        <f t="shared" si="1"/>
        <v>31.196490000000001</v>
      </c>
      <c r="C32" s="123">
        <f t="shared" si="2"/>
        <v>7.6416467751583381</v>
      </c>
      <c r="D32" s="61">
        <f t="shared" si="3"/>
        <v>7.3331901011284106</v>
      </c>
      <c r="E32" s="111">
        <f t="shared" si="4"/>
        <v>42.213906491540854</v>
      </c>
      <c r="F32" s="61">
        <f t="shared" si="5"/>
        <v>35.806475150829023</v>
      </c>
      <c r="G32" s="61">
        <f t="shared" si="6"/>
        <v>524.03819086758438</v>
      </c>
      <c r="H32" s="63">
        <f t="shared" si="0"/>
        <v>3.385602482179412</v>
      </c>
      <c r="I32" s="64">
        <f>G32*(1+KeyParameters!$B$37)*(1+KeyParameters!$B$34)</f>
        <v>786.05728630137662</v>
      </c>
    </row>
    <row r="33" spans="1:9" x14ac:dyDescent="0.25">
      <c r="A33" s="111">
        <v>28</v>
      </c>
      <c r="B33" s="111">
        <f t="shared" si="1"/>
        <v>32.216950000000004</v>
      </c>
      <c r="C33" s="123">
        <f t="shared" si="2"/>
        <v>7.7776430025994259</v>
      </c>
      <c r="D33" s="61">
        <f t="shared" si="3"/>
        <v>7.5022239213680022</v>
      </c>
      <c r="E33" s="111">
        <f t="shared" si="4"/>
        <v>44.182440556581831</v>
      </c>
      <c r="F33" s="61">
        <f t="shared" si="5"/>
        <v>37.256231500310193</v>
      </c>
      <c r="G33" s="61">
        <f t="shared" si="6"/>
        <v>561.29442236789453</v>
      </c>
      <c r="H33" s="63">
        <f t="shared" si="0"/>
        <v>3.4647315784510577</v>
      </c>
      <c r="I33" s="64">
        <f>G33*(1+KeyParameters!$B$37)*(1+KeyParameters!$B$34)</f>
        <v>841.94163355184185</v>
      </c>
    </row>
    <row r="34" spans="1:9" x14ac:dyDescent="0.25">
      <c r="A34" s="111">
        <v>29</v>
      </c>
      <c r="B34" s="111">
        <f t="shared" si="1"/>
        <v>33.234090000000009</v>
      </c>
      <c r="C34" s="123">
        <f t="shared" si="2"/>
        <v>7.911891084779298</v>
      </c>
      <c r="D34" s="61">
        <f t="shared" si="3"/>
        <v>7.6673978771553237</v>
      </c>
      <c r="E34" s="111">
        <f t="shared" si="4"/>
        <v>46.149357312185685</v>
      </c>
      <c r="F34" s="61">
        <f t="shared" si="5"/>
        <v>38.718773144859519</v>
      </c>
      <c r="G34" s="61">
        <f t="shared" si="6"/>
        <v>600.01319551275401</v>
      </c>
      <c r="H34" s="63">
        <f t="shared" si="0"/>
        <v>3.5458773847184291</v>
      </c>
      <c r="I34" s="64">
        <f>G34*(1+KeyParameters!$B$37)*(1+KeyParameters!$B$34)</f>
        <v>900.01979326913101</v>
      </c>
    </row>
    <row r="35" spans="1:9" x14ac:dyDescent="0.25">
      <c r="A35" s="111">
        <v>30</v>
      </c>
      <c r="B35" s="111">
        <f t="shared" si="1"/>
        <v>34.247910000000005</v>
      </c>
      <c r="C35" s="123">
        <f t="shared" si="2"/>
        <v>8.0444037863980977</v>
      </c>
      <c r="D35" s="61">
        <f t="shared" si="3"/>
        <v>7.8288699861693711</v>
      </c>
      <c r="E35" s="111">
        <f t="shared" si="4"/>
        <v>48.113596129369732</v>
      </c>
      <c r="F35" s="61">
        <f t="shared" si="5"/>
        <v>40.193155317649456</v>
      </c>
      <c r="G35" s="61">
        <f t="shared" si="6"/>
        <v>640.20635083040349</v>
      </c>
      <c r="H35" s="63">
        <f t="shared" si="0"/>
        <v>3.6289478669434616</v>
      </c>
      <c r="I35" s="64">
        <f>G35*(1+KeyParameters!$B$37)*(1+KeyParameters!$B$34)</f>
        <v>960.30952624560518</v>
      </c>
    </row>
    <row r="36" spans="1:9" x14ac:dyDescent="0.25">
      <c r="A36" s="111">
        <v>31</v>
      </c>
      <c r="B36" s="111">
        <f t="shared" si="1"/>
        <v>35.258410000000005</v>
      </c>
      <c r="C36" s="123">
        <f t="shared" si="2"/>
        <v>8.175193830491299</v>
      </c>
      <c r="D36" s="61">
        <f t="shared" si="3"/>
        <v>7.9867956995191367</v>
      </c>
      <c r="E36" s="111">
        <f t="shared" si="4"/>
        <v>50.074290853498042</v>
      </c>
      <c r="F36" s="61">
        <f t="shared" si="5"/>
        <v>41.678448500332927</v>
      </c>
      <c r="G36" s="61">
        <f t="shared" si="6"/>
        <v>681.88479933073643</v>
      </c>
      <c r="H36" s="63">
        <f t="shared" si="0"/>
        <v>3.7138535257492151</v>
      </c>
      <c r="I36" s="64">
        <f>G36*(1+KeyParameters!$B$37)*(1+KeyParameters!$B$34)</f>
        <v>1022.8271989961046</v>
      </c>
    </row>
    <row r="37" spans="1:9" x14ac:dyDescent="0.25">
      <c r="A37" s="111">
        <v>32</v>
      </c>
      <c r="B37" s="111">
        <f t="shared" si="1"/>
        <v>36.265590000000003</v>
      </c>
      <c r="C37" s="123">
        <f t="shared" si="2"/>
        <v>8.3042738984296971</v>
      </c>
      <c r="D37" s="61">
        <f t="shared" si="3"/>
        <v>8.1413279218581085</v>
      </c>
      <c r="E37" s="111">
        <f t="shared" si="4"/>
        <v>52.030757960012778</v>
      </c>
      <c r="F37" s="61">
        <f t="shared" si="5"/>
        <v>43.173738691247436</v>
      </c>
      <c r="G37" s="61">
        <f t="shared" si="6"/>
        <v>725.05853802198385</v>
      </c>
      <c r="H37" s="63">
        <f t="shared" si="0"/>
        <v>3.8005065733297774</v>
      </c>
      <c r="I37" s="64">
        <f>G37*(1+KeyParameters!$B$37)*(1+KeyParameters!$B$34)</f>
        <v>1087.5878070329757</v>
      </c>
    </row>
    <row r="38" spans="1:9" x14ac:dyDescent="0.25">
      <c r="A38" s="111">
        <v>33</v>
      </c>
      <c r="B38" s="111">
        <f t="shared" si="1"/>
        <v>37.269449999999999</v>
      </c>
      <c r="C38" s="123">
        <f t="shared" si="2"/>
        <v>8.4316566299194253</v>
      </c>
      <c r="D38" s="61">
        <f t="shared" si="3"/>
        <v>8.2926170314329237</v>
      </c>
      <c r="E38" s="111">
        <f t="shared" si="4"/>
        <v>53.982485325558955</v>
      </c>
      <c r="F38" s="61">
        <f t="shared" si="5"/>
        <v>44.678127638968697</v>
      </c>
      <c r="G38" s="61">
        <f t="shared" si="6"/>
        <v>769.73666566095255</v>
      </c>
      <c r="H38" s="63">
        <f t="shared" ref="H38:H69" si="7">(G38/E38)*12/44</f>
        <v>3.8888202400807574</v>
      </c>
      <c r="I38" s="64">
        <f>G38*(1+KeyParameters!$B$37)*(1+KeyParameters!$B$34)</f>
        <v>1154.6049984914287</v>
      </c>
    </row>
    <row r="39" spans="1:9" x14ac:dyDescent="0.25">
      <c r="A39" s="111">
        <v>34</v>
      </c>
      <c r="B39" s="111">
        <f t="shared" si="1"/>
        <v>38.269990000000007</v>
      </c>
      <c r="C39" s="123">
        <f t="shared" si="2"/>
        <v>8.5573546230019382</v>
      </c>
      <c r="D39" s="61">
        <f t="shared" si="3"/>
        <v>8.4408109000661398</v>
      </c>
      <c r="E39" s="111">
        <f t="shared" si="4"/>
        <v>55.929121590780156</v>
      </c>
      <c r="F39" s="61">
        <f t="shared" si="5"/>
        <v>46.190733043784874</v>
      </c>
      <c r="G39" s="61">
        <f t="shared" si="6"/>
        <v>815.92739870473747</v>
      </c>
      <c r="H39" s="63">
        <f t="shared" si="7"/>
        <v>3.9787081910631006</v>
      </c>
      <c r="I39" s="64">
        <f>G39*(1+KeyParameters!$B$37)*(1+KeyParameters!$B$34)</f>
        <v>1223.8910980571061</v>
      </c>
    </row>
    <row r="40" spans="1:9" x14ac:dyDescent="0.25">
      <c r="A40" s="111">
        <v>35</v>
      </c>
      <c r="B40" s="111">
        <f t="shared" si="1"/>
        <v>39.267210000000006</v>
      </c>
      <c r="C40" s="123">
        <f t="shared" si="2"/>
        <v>8.6813804340540184</v>
      </c>
      <c r="D40" s="61">
        <f t="shared" si="3"/>
        <v>8.5860549130731307</v>
      </c>
      <c r="E40" s="111">
        <f t="shared" si="4"/>
        <v>57.870466091691199</v>
      </c>
      <c r="F40" s="61">
        <f t="shared" si="5"/>
        <v>47.71068872944263</v>
      </c>
      <c r="G40" s="61">
        <f t="shared" si="6"/>
        <v>863.63808743418008</v>
      </c>
      <c r="H40" s="63">
        <f t="shared" si="7"/>
        <v>4.0700840362358752</v>
      </c>
      <c r="I40" s="64">
        <f>G40*(1+KeyParameters!$B$37)*(1+KeyParameters!$B$34)</f>
        <v>1295.4571311512702</v>
      </c>
    </row>
    <row r="41" spans="1:9" x14ac:dyDescent="0.25">
      <c r="A41" s="111">
        <v>36</v>
      </c>
      <c r="B41" s="111">
        <f t="shared" si="1"/>
        <v>40.261110000000009</v>
      </c>
      <c r="C41" s="123">
        <f t="shared" si="2"/>
        <v>8.8037465777877788</v>
      </c>
      <c r="D41" s="61">
        <f t="shared" si="3"/>
        <v>8.7284919891131381</v>
      </c>
      <c r="E41" s="111">
        <f t="shared" si="4"/>
        <v>59.806459337149597</v>
      </c>
      <c r="F41" s="61">
        <f t="shared" si="5"/>
        <v>49.237144787318535</v>
      </c>
      <c r="G41" s="61">
        <f t="shared" si="6"/>
        <v>912.87523222149866</v>
      </c>
      <c r="H41" s="63">
        <f t="shared" si="7"/>
        <v>4.1628609214355627</v>
      </c>
      <c r="I41" s="64">
        <f>G41*(1+KeyParameters!$B$37)*(1+KeyParameters!$B$34)</f>
        <v>1369.312848332248</v>
      </c>
    </row>
    <row r="42" spans="1:9" x14ac:dyDescent="0.25">
      <c r="A42" s="111">
        <v>37</v>
      </c>
      <c r="B42" s="111">
        <f t="shared" si="1"/>
        <v>41.251690000000004</v>
      </c>
      <c r="C42" s="123">
        <f t="shared" si="2"/>
        <v>8.924465527250657</v>
      </c>
      <c r="D42" s="61">
        <f t="shared" si="3"/>
        <v>8.8682625999744129</v>
      </c>
      <c r="E42" s="111">
        <f t="shared" si="4"/>
        <v>61.73717401055238</v>
      </c>
      <c r="F42" s="61">
        <f t="shared" si="5"/>
        <v>50.769267694990894</v>
      </c>
      <c r="G42" s="61">
        <f t="shared" si="6"/>
        <v>963.64449991648951</v>
      </c>
      <c r="H42" s="63">
        <f t="shared" si="7"/>
        <v>4.2569511895043952</v>
      </c>
      <c r="I42" s="64">
        <f>G42*(1+KeyParameters!$B$37)*(1+KeyParameters!$B$34)</f>
        <v>1445.4667498747342</v>
      </c>
    </row>
    <row r="43" spans="1:9" x14ac:dyDescent="0.25">
      <c r="A43" s="111">
        <v>38</v>
      </c>
      <c r="B43" s="111">
        <f t="shared" si="1"/>
        <v>42.23895000000001</v>
      </c>
      <c r="C43" s="123">
        <f t="shared" si="2"/>
        <v>9.0435497138254259</v>
      </c>
      <c r="D43" s="61">
        <f t="shared" si="3"/>
        <v>9.0055047902935303</v>
      </c>
      <c r="E43" s="111">
        <f t="shared" si="4"/>
        <v>63.662806474479787</v>
      </c>
      <c r="F43" s="61">
        <f t="shared" si="5"/>
        <v>52.306240411031439</v>
      </c>
      <c r="G43" s="61">
        <f t="shared" si="6"/>
        <v>1015.950740327521</v>
      </c>
      <c r="H43" s="63">
        <f t="shared" si="7"/>
        <v>4.3522661029065564</v>
      </c>
      <c r="I43" s="64">
        <f>G43*(1+KeyParameters!$B$37)*(1+KeyParameters!$B$34)</f>
        <v>1523.9261104912814</v>
      </c>
    </row>
    <row r="44" spans="1:9" x14ac:dyDescent="0.25">
      <c r="A44" s="111">
        <v>39</v>
      </c>
      <c r="B44" s="111">
        <f t="shared" si="1"/>
        <v>43.222890000000007</v>
      </c>
      <c r="C44" s="123">
        <f t="shared" si="2"/>
        <v>9.161011527230178</v>
      </c>
      <c r="D44" s="61">
        <f t="shared" si="3"/>
        <v>9.1403541972087972</v>
      </c>
      <c r="E44" s="111">
        <f t="shared" si="4"/>
        <v>65.583668757589493</v>
      </c>
      <c r="F44" s="61">
        <f t="shared" si="5"/>
        <v>53.847262447688564</v>
      </c>
      <c r="G44" s="61">
        <f t="shared" si="6"/>
        <v>1069.7980027752096</v>
      </c>
      <c r="H44" s="63">
        <f t="shared" si="7"/>
        <v>4.4487156207192635</v>
      </c>
      <c r="I44" s="64">
        <f>G44*(1+KeyParameters!$B$37)*(1+KeyParameters!$B$34)</f>
        <v>1604.6970041628142</v>
      </c>
    </row>
    <row r="45" spans="1:9" x14ac:dyDescent="0.25">
      <c r="A45" s="111">
        <v>40</v>
      </c>
      <c r="B45" s="111">
        <f t="shared" si="1"/>
        <v>44.203510000000009</v>
      </c>
      <c r="C45" s="123">
        <f t="shared" si="2"/>
        <v>9.2768633155183373</v>
      </c>
      <c r="D45" s="61">
        <f t="shared" si="3"/>
        <v>9.2729440699478189</v>
      </c>
      <c r="E45" s="111">
        <f t="shared" si="4"/>
        <v>67.50018100363863</v>
      </c>
      <c r="F45" s="61">
        <f t="shared" si="5"/>
        <v>55.391549923008967</v>
      </c>
      <c r="G45" s="61">
        <f t="shared" si="6"/>
        <v>1125.1895526982187</v>
      </c>
      <c r="H45" s="63">
        <f t="shared" si="7"/>
        <v>4.5462082241240678</v>
      </c>
      <c r="I45" s="64">
        <f>G45*(1+KeyParameters!$B$37)*(1+KeyParameters!$B$34)</f>
        <v>1687.7843290473281</v>
      </c>
    </row>
    <row r="46" spans="1:9" x14ac:dyDescent="0.25">
      <c r="A46" s="111">
        <v>41</v>
      </c>
      <c r="B46" s="111">
        <f t="shared" si="1"/>
        <v>45.180810000000001</v>
      </c>
      <c r="C46" s="123">
        <f t="shared" si="2"/>
        <v>9.3911173850786582</v>
      </c>
      <c r="D46" s="61">
        <f t="shared" si="3"/>
        <v>9.4034052893491733</v>
      </c>
      <c r="E46" s="111">
        <f t="shared" si="4"/>
        <v>69.412864363071606</v>
      </c>
      <c r="F46" s="61">
        <f t="shared" si="5"/>
        <v>56.938335593824213</v>
      </c>
      <c r="G46" s="61">
        <f t="shared" si="6"/>
        <v>1182.1278882920428</v>
      </c>
      <c r="H46" s="63">
        <f t="shared" si="7"/>
        <v>4.6446507855143127</v>
      </c>
      <c r="I46" s="64">
        <f>G46*(1+KeyParameters!$B$37)*(1+KeyParameters!$B$34)</f>
        <v>1773.1918324380642</v>
      </c>
    </row>
    <row r="47" spans="1:9" x14ac:dyDescent="0.25">
      <c r="A47" s="111">
        <v>42</v>
      </c>
      <c r="B47" s="111">
        <f t="shared" si="1"/>
        <v>46.154790000000006</v>
      </c>
      <c r="C47" s="123">
        <f t="shared" si="2"/>
        <v>9.5037860006352179</v>
      </c>
      <c r="D47" s="61">
        <f t="shared" si="3"/>
        <v>9.5318663873182388</v>
      </c>
      <c r="E47" s="111">
        <f t="shared" si="4"/>
        <v>71.3223343081645</v>
      </c>
      <c r="F47" s="61">
        <f t="shared" si="5"/>
        <v>58.48686887092358</v>
      </c>
      <c r="G47" s="61">
        <f t="shared" si="6"/>
        <v>1240.6147571629665</v>
      </c>
      <c r="H47" s="63">
        <f t="shared" si="7"/>
        <v>4.7439484771256524</v>
      </c>
      <c r="I47" s="64">
        <f>G47*(1+KeyParameters!$B$37)*(1+KeyParameters!$B$34)</f>
        <v>1860.9221357444496</v>
      </c>
    </row>
    <row r="48" spans="1:9" x14ac:dyDescent="0.25">
      <c r="A48" s="111">
        <v>43</v>
      </c>
      <c r="B48" s="111">
        <f t="shared" si="1"/>
        <v>47.125450000000008</v>
      </c>
      <c r="C48" s="123">
        <f t="shared" si="2"/>
        <v>9.6148813852474273</v>
      </c>
      <c r="D48" s="61">
        <f t="shared" si="3"/>
        <v>9.6584535662171227</v>
      </c>
      <c r="E48" s="111">
        <f t="shared" si="4"/>
        <v>73.229294353256222</v>
      </c>
      <c r="F48" s="61">
        <f t="shared" si="5"/>
        <v>60.03641581763889</v>
      </c>
      <c r="G48" s="61">
        <f t="shared" si="6"/>
        <v>1300.6511729806055</v>
      </c>
      <c r="H48" s="63">
        <f t="shared" si="7"/>
        <v>4.8440047157269328</v>
      </c>
      <c r="I48" s="64">
        <f>G48*(1+KeyParameters!$B$37)*(1+KeyParameters!$B$34)</f>
        <v>1950.9767594709081</v>
      </c>
    </row>
    <row r="49" spans="1:9" x14ac:dyDescent="0.25">
      <c r="A49" s="111">
        <v>44</v>
      </c>
      <c r="B49" s="111">
        <f t="shared" si="1"/>
        <v>48.092790000000008</v>
      </c>
      <c r="C49" s="123">
        <f t="shared" si="2"/>
        <v>9.7244157203100183</v>
      </c>
      <c r="D49" s="61">
        <f t="shared" si="3"/>
        <v>9.783290718188745</v>
      </c>
      <c r="E49" s="111">
        <f t="shared" si="4"/>
        <v>75.134530162129465</v>
      </c>
      <c r="F49" s="61">
        <f t="shared" si="5"/>
        <v>61.586259132977631</v>
      </c>
      <c r="G49" s="61">
        <f t="shared" si="6"/>
        <v>1362.2374321135831</v>
      </c>
      <c r="H49" s="63">
        <f t="shared" si="7"/>
        <v>4.9447211404084888</v>
      </c>
      <c r="I49" s="64">
        <f>G49*(1+KeyParameters!$B$37)*(1+KeyParameters!$B$34)</f>
        <v>2043.3561481703746</v>
      </c>
    </row>
    <row r="50" spans="1:9" x14ac:dyDescent="0.25">
      <c r="A50" s="111">
        <v>45</v>
      </c>
      <c r="B50" s="111">
        <f t="shared" si="1"/>
        <v>49.056810000000006</v>
      </c>
      <c r="C50" s="123">
        <f t="shared" si="2"/>
        <v>9.8324011455530584</v>
      </c>
      <c r="D50" s="61">
        <f t="shared" si="3"/>
        <v>9.9064994444150436</v>
      </c>
      <c r="E50" s="111">
        <f t="shared" si="4"/>
        <v>77.038904025123514</v>
      </c>
      <c r="F50" s="61">
        <f t="shared" si="5"/>
        <v>63.135698120362726</v>
      </c>
      <c r="G50" s="61">
        <f t="shared" si="6"/>
        <v>1425.3731302339459</v>
      </c>
      <c r="H50" s="63">
        <f t="shared" si="7"/>
        <v>5.0459976208990023</v>
      </c>
      <c r="I50" s="64">
        <f>G50*(1+KeyParameters!$B$37)*(1+KeyParameters!$B$34)</f>
        <v>2138.0596953509184</v>
      </c>
    </row>
    <row r="51" spans="1:9" x14ac:dyDescent="0.25">
      <c r="A51" s="111">
        <v>46</v>
      </c>
      <c r="B51" s="111">
        <f t="shared" si="1"/>
        <v>50.017510000000009</v>
      </c>
      <c r="C51" s="123">
        <f t="shared" si="2"/>
        <v>9.938849759041938</v>
      </c>
      <c r="D51" s="61">
        <f t="shared" ref="D51:D76" si="8" xml:space="preserve"> -0.10751 + B51 * 0.32917 - 0.00353* B51^2+ 0.00002*B51^3</f>
        <v>10.02819907430932</v>
      </c>
      <c r="E51" s="111">
        <f t="shared" ref="E51:E76" si="9" xml:space="preserve">  3.14*(D51/2)^2</f>
        <v>78.943349689072974</v>
      </c>
      <c r="F51" s="61">
        <f t="shared" ref="F51:F76" si="10" xml:space="preserve"> 0.3688 * C51^2.25</f>
        <v>64.68404864296113</v>
      </c>
      <c r="G51" s="61">
        <f t="shared" si="6"/>
        <v>1490.0571788769071</v>
      </c>
      <c r="H51" s="63">
        <f t="shared" si="7"/>
        <v>5.1477322941496908</v>
      </c>
      <c r="I51" s="64">
        <f>G51*(1+KeyParameters!$B$37)*(1+KeyParameters!$B$34)</f>
        <v>2235.0857683153604</v>
      </c>
    </row>
    <row r="52" spans="1:9" x14ac:dyDescent="0.25">
      <c r="A52" s="111">
        <v>47</v>
      </c>
      <c r="B52" s="111">
        <f t="shared" si="1"/>
        <v>50.974890000000009</v>
      </c>
      <c r="C52" s="123">
        <f t="shared" si="2"/>
        <v>10.043773617177379</v>
      </c>
      <c r="D52" s="61">
        <f t="shared" si="8"/>
        <v>10.148506684642669</v>
      </c>
      <c r="E52" s="111">
        <f t="shared" si="9"/>
        <v>80.848867523666001</v>
      </c>
      <c r="F52" s="61">
        <f t="shared" si="10"/>
        <v>66.230643066519434</v>
      </c>
      <c r="G52" s="61">
        <f t="shared" si="6"/>
        <v>1556.2878219434265</v>
      </c>
      <c r="H52" s="63">
        <f t="shared" si="7"/>
        <v>5.2498216271620119</v>
      </c>
      <c r="I52" s="64">
        <f>G52*(1+KeyParameters!$B$37)*(1+KeyParameters!$B$34)</f>
        <v>2334.4317329151395</v>
      </c>
    </row>
    <row r="53" spans="1:9" x14ac:dyDescent="0.25">
      <c r="A53" s="111">
        <v>48</v>
      </c>
      <c r="B53" s="111">
        <f t="shared" si="1"/>
        <v>51.92895</v>
      </c>
      <c r="C53" s="123">
        <f t="shared" si="2"/>
        <v>10.147184734695426</v>
      </c>
      <c r="D53" s="61">
        <f t="shared" si="8"/>
        <v>10.26753711860462</v>
      </c>
      <c r="E53" s="111">
        <f t="shared" si="9"/>
        <v>82.756520008310076</v>
      </c>
      <c r="F53" s="61">
        <f t="shared" si="10"/>
        <v>67.774830190561104</v>
      </c>
      <c r="G53" s="61">
        <f t="shared" si="6"/>
        <v>1624.0626521339875</v>
      </c>
      <c r="H53" s="63">
        <f t="shared" si="7"/>
        <v>5.3521605042146172</v>
      </c>
      <c r="I53" s="64">
        <f>G53*(1+KeyParameters!$B$37)*(1+KeyParameters!$B$34)</f>
        <v>2436.0939782009809</v>
      </c>
    </row>
    <row r="54" spans="1:9" x14ac:dyDescent="0.25">
      <c r="A54" s="111">
        <v>49</v>
      </c>
      <c r="B54" s="111">
        <f t="shared" si="1"/>
        <v>52.879690000000004</v>
      </c>
      <c r="C54" s="123">
        <f t="shared" si="2"/>
        <v>10.249095084667458</v>
      </c>
      <c r="D54" s="61">
        <f t="shared" si="8"/>
        <v>10.385403004797833</v>
      </c>
      <c r="E54" s="111">
        <f t="shared" si="9"/>
        <v>84.667427524070135</v>
      </c>
      <c r="F54" s="61">
        <f t="shared" si="10"/>
        <v>69.315975168744743</v>
      </c>
      <c r="G54" s="61">
        <f t="shared" si="6"/>
        <v>1693.3786273027322</v>
      </c>
      <c r="H54" s="63">
        <f t="shared" si="7"/>
        <v>5.4546423367786039</v>
      </c>
      <c r="I54" s="64">
        <f>G54*(1+KeyParameters!$B$37)*(1+KeyParameters!$B$34)</f>
        <v>2540.0679409540985</v>
      </c>
    </row>
    <row r="55" spans="1:9" x14ac:dyDescent="0.25">
      <c r="A55" s="111">
        <v>50</v>
      </c>
      <c r="B55" s="111">
        <f t="shared" si="1"/>
        <v>53.827110000000005</v>
      </c>
      <c r="C55" s="123">
        <f t="shared" si="2"/>
        <v>10.349516598500179</v>
      </c>
      <c r="D55" s="61">
        <f t="shared" si="8"/>
        <v>10.502214776166957</v>
      </c>
      <c r="E55" s="111">
        <f t="shared" si="9"/>
        <v>86.582764435720563</v>
      </c>
      <c r="F55" s="61">
        <f t="shared" si="10"/>
        <v>70.85345941912972</v>
      </c>
      <c r="G55" s="61">
        <f t="shared" si="6"/>
        <v>1764.2320867218618</v>
      </c>
      <c r="H55" s="63">
        <f t="shared" si="7"/>
        <v>5.5571591945046954</v>
      </c>
      <c r="I55" s="64">
        <f>G55*(1+KeyParameters!$B$37)*(1+KeyParameters!$B$34)</f>
        <v>2646.348130082793</v>
      </c>
    </row>
    <row r="56" spans="1:9" x14ac:dyDescent="0.25">
      <c r="A56" s="111">
        <v>51</v>
      </c>
      <c r="B56" s="111">
        <f t="shared" si="1"/>
        <v>54.771210000000011</v>
      </c>
      <c r="C56" s="123">
        <f t="shared" si="2"/>
        <v>10.448461165935619</v>
      </c>
      <c r="D56" s="61">
        <f t="shared" si="8"/>
        <v>10.618080688861628</v>
      </c>
      <c r="E56" s="111">
        <f t="shared" si="9"/>
        <v>88.503755449413347</v>
      </c>
      <c r="F56" s="61">
        <f t="shared" si="10"/>
        <v>72.38668052504903</v>
      </c>
      <c r="G56" s="61">
        <f t="shared" si="6"/>
        <v>1836.6187672469109</v>
      </c>
      <c r="H56" s="63">
        <f t="shared" si="7"/>
        <v>5.659601955730297</v>
      </c>
      <c r="I56" s="64">
        <f>G56*(1+KeyParameters!$B$37)*(1+KeyParameters!$B$34)</f>
        <v>2754.9281508703666</v>
      </c>
    </row>
    <row r="57" spans="1:9" x14ac:dyDescent="0.25">
      <c r="A57" s="111">
        <v>52</v>
      </c>
      <c r="B57" s="111">
        <f t="shared" si="1"/>
        <v>55.71199</v>
      </c>
      <c r="C57" s="123">
        <f t="shared" si="2"/>
        <v>10.545940635051139</v>
      </c>
      <c r="D57" s="61">
        <f t="shared" si="8"/>
        <v>10.733106841033573</v>
      </c>
      <c r="E57" s="111">
        <f t="shared" si="9"/>
        <v>90.43167223191773</v>
      </c>
      <c r="F57" s="61">
        <f t="shared" si="10"/>
        <v>73.915052127243726</v>
      </c>
      <c r="G57" s="61">
        <f t="shared" si="6"/>
        <v>1910.5338193741547</v>
      </c>
      <c r="H57" s="63">
        <f t="shared" si="7"/>
        <v>5.7618604759940251</v>
      </c>
      <c r="I57" s="64">
        <f>G57*(1+KeyParameters!$B$37)*(1+KeyParameters!$B$34)</f>
        <v>2865.8007290612318</v>
      </c>
    </row>
    <row r="58" spans="1:9" x14ac:dyDescent="0.25">
      <c r="A58" s="111">
        <v>53</v>
      </c>
      <c r="B58" s="111">
        <f t="shared" si="1"/>
        <v>56.649450000000009</v>
      </c>
      <c r="C58" s="123">
        <f t="shared" si="2"/>
        <v>10.641966812259428</v>
      </c>
      <c r="D58" s="61">
        <f t="shared" si="8"/>
        <v>10.84739719156787</v>
      </c>
      <c r="E58" s="111">
        <f t="shared" si="9"/>
        <v>92.367830277833093</v>
      </c>
      <c r="F58" s="61">
        <f t="shared" si="10"/>
        <v>75.438003807873812</v>
      </c>
      <c r="G58" s="61">
        <f t="shared" si="6"/>
        <v>1985.9718231820286</v>
      </c>
      <c r="H58" s="63">
        <f t="shared" si="7"/>
        <v>5.8638237730655787</v>
      </c>
      <c r="I58" s="64">
        <f>G58*(1+KeyParameters!$B$37)*(1+KeyParameters!$B$34)</f>
        <v>2978.9577347730428</v>
      </c>
    </row>
    <row r="59" spans="1:9" x14ac:dyDescent="0.25">
      <c r="A59" s="111">
        <v>54</v>
      </c>
      <c r="B59" s="111">
        <f t="shared" si="1"/>
        <v>57.583590000000001</v>
      </c>
      <c r="C59" s="123">
        <f t="shared" si="2"/>
        <v>10.736551462308498</v>
      </c>
      <c r="D59" s="61">
        <f t="shared" si="8"/>
        <v>10.961053578748301</v>
      </c>
      <c r="E59" s="111">
        <f t="shared" si="9"/>
        <v>94.313586011609885</v>
      </c>
      <c r="F59" s="61">
        <f t="shared" si="10"/>
        <v>76.954980966980457</v>
      </c>
      <c r="G59" s="61">
        <f t="shared" si="6"/>
        <v>2062.9268041490091</v>
      </c>
      <c r="H59" s="63">
        <f t="shared" si="7"/>
        <v>5.9653802270045215</v>
      </c>
      <c r="I59" s="64">
        <f>G59*(1+KeyParameters!$B$37)*(1+KeyParameters!$B$34)</f>
        <v>3094.3902062235134</v>
      </c>
    </row>
    <row r="60" spans="1:9" x14ac:dyDescent="0.25">
      <c r="A60" s="111">
        <v>55</v>
      </c>
      <c r="B60" s="111">
        <f t="shared" si="1"/>
        <v>58.514410000000012</v>
      </c>
      <c r="C60" s="123">
        <f t="shared" si="2"/>
        <v>10.8297063082817</v>
      </c>
      <c r="D60" s="61">
        <f t="shared" si="8"/>
        <v>11.074175738856884</v>
      </c>
      <c r="E60" s="111">
        <f t="shared" si="9"/>
        <v>96.270334111642825</v>
      </c>
      <c r="F60" s="61">
        <f t="shared" si="10"/>
        <v>78.465444691943873</v>
      </c>
      <c r="G60" s="61">
        <f t="shared" si="6"/>
        <v>2141.392248840953</v>
      </c>
      <c r="H60" s="63">
        <f t="shared" si="7"/>
        <v>6.0664177937560959</v>
      </c>
      <c r="I60" s="64">
        <f>G60*(1+KeyParameters!$B$37)*(1+KeyParameters!$B$34)</f>
        <v>3212.0883732614298</v>
      </c>
    </row>
    <row r="61" spans="1:9" x14ac:dyDescent="0.25">
      <c r="A61" s="111">
        <v>56</v>
      </c>
      <c r="B61" s="111">
        <f t="shared" si="1"/>
        <v>59.441910000000007</v>
      </c>
      <c r="C61" s="123">
        <f t="shared" si="2"/>
        <v>10.921443031597699</v>
      </c>
      <c r="D61" s="61">
        <f t="shared" si="8"/>
        <v>11.18686132470749</v>
      </c>
      <c r="E61" s="111">
        <f t="shared" si="9"/>
        <v>98.239505044115432</v>
      </c>
      <c r="F61" s="61">
        <f t="shared" si="10"/>
        <v>79.968871620442144</v>
      </c>
      <c r="G61" s="61">
        <f t="shared" si="6"/>
        <v>2221.3611204613953</v>
      </c>
      <c r="H61" s="63">
        <f t="shared" si="7"/>
        <v>6.1668242307794907</v>
      </c>
      <c r="I61" s="64">
        <f>G61*(1+KeyParameters!$B$37)*(1+KeyParameters!$B$34)</f>
        <v>3332.041680692093</v>
      </c>
    </row>
    <row r="62" spans="1:9" x14ac:dyDescent="0.25">
      <c r="A62" s="111">
        <v>57</v>
      </c>
      <c r="B62" s="111">
        <f t="shared" si="1"/>
        <v>60.366090000000007</v>
      </c>
      <c r="C62" s="123">
        <f t="shared" si="2"/>
        <v>11.011773272010499</v>
      </c>
      <c r="D62" s="61">
        <f t="shared" si="8"/>
        <v>11.299205924113625</v>
      </c>
      <c r="E62" s="111">
        <f t="shared" si="9"/>
        <v>100.2225627946867</v>
      </c>
      <c r="F62" s="61">
        <f t="shared" si="10"/>
        <v>81.464753797393215</v>
      </c>
      <c r="G62" s="61">
        <f t="shared" si="6"/>
        <v>2302.8258742587886</v>
      </c>
      <c r="H62" s="63">
        <f t="shared" si="7"/>
        <v>6.2664873331865412</v>
      </c>
      <c r="I62" s="64">
        <f>G62*(1+KeyParameters!$B$37)*(1+KeyParameters!$B$34)</f>
        <v>3454.238811388183</v>
      </c>
    </row>
    <row r="63" spans="1:9" x14ac:dyDescent="0.25">
      <c r="A63" s="111">
        <v>58</v>
      </c>
      <c r="B63" s="111">
        <f t="shared" si="1"/>
        <v>61.286950000000012</v>
      </c>
      <c r="C63" s="123">
        <f t="shared" si="2"/>
        <v>11.100708627609427</v>
      </c>
      <c r="D63" s="61">
        <f t="shared" si="8"/>
        <v>11.411303078290322</v>
      </c>
      <c r="E63" s="111">
        <f t="shared" si="9"/>
        <v>102.22100278650959</v>
      </c>
      <c r="F63" s="61">
        <f t="shared" si="10"/>
        <v>82.952598526328316</v>
      </c>
      <c r="G63" s="61">
        <f t="shared" si="6"/>
        <v>2385.7784727851172</v>
      </c>
      <c r="H63" s="63">
        <f t="shared" si="7"/>
        <v>6.365295178849423</v>
      </c>
      <c r="I63" s="64">
        <f>G63*(1+KeyParameters!$B$37)*(1+KeyParameters!$B$34)</f>
        <v>3578.667709177676</v>
      </c>
    </row>
    <row r="64" spans="1:9" x14ac:dyDescent="0.25">
      <c r="A64" s="111">
        <v>59</v>
      </c>
      <c r="B64" s="111">
        <f t="shared" si="1"/>
        <v>62.20449</v>
      </c>
      <c r="C64" s="123">
        <f t="shared" si="2"/>
        <v>11.188260654819139</v>
      </c>
      <c r="D64" s="61">
        <f t="shared" si="8"/>
        <v>11.523244300190154</v>
      </c>
      <c r="E64" s="111">
        <f t="shared" si="9"/>
        <v>104.23634997346393</v>
      </c>
      <c r="F64" s="61">
        <f t="shared" si="10"/>
        <v>84.431928215623174</v>
      </c>
      <c r="G64" s="61">
        <f t="shared" si="6"/>
        <v>2470.2104010007401</v>
      </c>
      <c r="H64" s="63">
        <f t="shared" si="7"/>
        <v>6.4631363809168372</v>
      </c>
      <c r="I64" s="64">
        <f>G64*(1+KeyParameters!$B$37)*(1+KeyParameters!$B$34)</f>
        <v>3705.31560150111</v>
      </c>
    </row>
    <row r="65" spans="1:9" x14ac:dyDescent="0.25">
      <c r="A65" s="111">
        <v>60</v>
      </c>
      <c r="B65" s="111">
        <f t="shared" si="1"/>
        <v>63.118710000000007</v>
      </c>
      <c r="C65" s="123">
        <f t="shared" si="2"/>
        <v>11.274440868399619</v>
      </c>
      <c r="D65" s="61">
        <f t="shared" si="8"/>
        <v>11.635119092773405</v>
      </c>
      <c r="E65" s="111">
        <f t="shared" si="9"/>
        <v>106.27015709787086</v>
      </c>
      <c r="F65" s="61">
        <f t="shared" si="10"/>
        <v>85.90228021998648</v>
      </c>
      <c r="G65" s="61">
        <f t="shared" si="6"/>
        <v>2556.1126812207267</v>
      </c>
      <c r="H65" s="63">
        <f t="shared" si="7"/>
        <v>6.5599003461611751</v>
      </c>
      <c r="I65" s="64">
        <f>G65*(1+KeyParameters!$B$37)*(1+KeyParameters!$B$34)</f>
        <v>3834.1690218310896</v>
      </c>
    </row>
    <row r="66" spans="1:9" x14ac:dyDescent="0.25">
      <c r="A66" s="111">
        <v>61</v>
      </c>
      <c r="B66" s="111">
        <f t="shared" si="1"/>
        <v>64.029610000000005</v>
      </c>
      <c r="C66" s="123">
        <f t="shared" si="2"/>
        <v>11.359260741446178</v>
      </c>
      <c r="D66" s="61">
        <f t="shared" si="8"/>
        <v>11.747014967212362</v>
      </c>
      <c r="E66" s="111">
        <f t="shared" si="9"/>
        <v>108.32400310233034</v>
      </c>
      <c r="F66" s="61">
        <f t="shared" si="10"/>
        <v>87.363206677583634</v>
      </c>
      <c r="G66" s="61">
        <f t="shared" si="6"/>
        <v>2643.4758878983102</v>
      </c>
      <c r="H66" s="63">
        <f t="shared" si="7"/>
        <v>6.6554775375662096</v>
      </c>
      <c r="I66" s="64">
        <f>G66*(1+KeyParameters!$B$37)*(1+KeyParameters!$B$34)</f>
        <v>3965.2138318474654</v>
      </c>
    </row>
    <row r="67" spans="1:9" x14ac:dyDescent="0.25">
      <c r="A67" s="111">
        <v>62</v>
      </c>
      <c r="B67" s="111">
        <f t="shared" si="1"/>
        <v>64.937190000000015</v>
      </c>
      <c r="C67" s="123">
        <f t="shared" si="2"/>
        <v>11.442731705389459</v>
      </c>
      <c r="D67" s="61">
        <f t="shared" si="8"/>
        <v>11.859017461029731</v>
      </c>
      <c r="E67" s="111">
        <f t="shared" si="9"/>
        <v>110.39949168569132</v>
      </c>
      <c r="F67" s="61">
        <f t="shared" si="10"/>
        <v>88.814274343151226</v>
      </c>
      <c r="G67" s="61">
        <f t="shared" si="6"/>
        <v>2732.2901622414615</v>
      </c>
      <c r="H67" s="63">
        <f t="shared" si="7"/>
        <v>6.7497597395573106</v>
      </c>
      <c r="I67" s="64">
        <f>G67*(1+KeyParameters!$B$37)*(1+KeyParameters!$B$34)</f>
        <v>4098.4352433621916</v>
      </c>
    </row>
    <row r="68" spans="1:9" x14ac:dyDescent="0.25">
      <c r="A68" s="111">
        <v>63</v>
      </c>
      <c r="B68" s="111">
        <f t="shared" si="1"/>
        <v>65.841450000000009</v>
      </c>
      <c r="C68" s="123">
        <f t="shared" si="2"/>
        <v>11.524865149995428</v>
      </c>
      <c r="D68" s="61">
        <f t="shared" si="8"/>
        <v>11.971210156171153</v>
      </c>
      <c r="E68" s="111">
        <f t="shared" si="9"/>
        <v>112.49824999352408</v>
      </c>
      <c r="F68" s="61">
        <f t="shared" si="10"/>
        <v>90.255064417440678</v>
      </c>
      <c r="G68" s="61">
        <f t="shared" si="6"/>
        <v>2822.5452266589023</v>
      </c>
      <c r="H68" s="63">
        <f t="shared" si="7"/>
        <v>6.8426403242750586</v>
      </c>
      <c r="I68" s="64">
        <f>G68*(1+KeyParameters!$B$37)*(1+KeyParameters!$B$34)</f>
        <v>4233.8178399883527</v>
      </c>
    </row>
    <row r="69" spans="1:9" x14ac:dyDescent="0.25">
      <c r="A69" s="111">
        <v>64</v>
      </c>
      <c r="B69" s="111">
        <f t="shared" si="1"/>
        <v>66.74239</v>
      </c>
      <c r="C69" s="123">
        <f t="shared" si="2"/>
        <v>11.605672423365377</v>
      </c>
      <c r="D69" s="61">
        <f t="shared" si="8"/>
        <v>12.083674697011929</v>
      </c>
      <c r="E69" s="111">
        <f t="shared" si="9"/>
        <v>114.62192743381699</v>
      </c>
      <c r="F69" s="61">
        <f t="shared" si="10"/>
        <v>91.685172373306756</v>
      </c>
      <c r="G69" s="61">
        <f t="shared" si="6"/>
        <v>2914.2303990322089</v>
      </c>
      <c r="H69" s="63">
        <f t="shared" si="7"/>
        <v>6.9340145172997554</v>
      </c>
      <c r="I69" s="64">
        <f>G69*(1+KeyParameters!$B$37)*(1+KeyParameters!$B$34)</f>
        <v>4371.3455985483133</v>
      </c>
    </row>
    <row r="70" spans="1:9" x14ac:dyDescent="0.25">
      <c r="A70" s="111">
        <v>65</v>
      </c>
      <c r="B70" s="111">
        <f t="shared" si="1"/>
        <v>67.640010000000018</v>
      </c>
      <c r="C70" s="123">
        <f t="shared" si="2"/>
        <v>11.685164831935939</v>
      </c>
      <c r="D70" s="61">
        <f t="shared" si="8"/>
        <v>12.196490808297817</v>
      </c>
      <c r="E70" s="111">
        <f t="shared" si="9"/>
        <v>116.77219460896113</v>
      </c>
      <c r="F70" s="61">
        <f t="shared" si="10"/>
        <v>93.104207778743643</v>
      </c>
      <c r="G70" s="61">
        <f t="shared" si="6"/>
        <v>3007.3346068109527</v>
      </c>
      <c r="H70" s="63">
        <f t="shared" ref="H70:H97" si="11">(G70/E70)*12/44</f>
        <v>7.0237796612495549</v>
      </c>
      <c r="I70" s="64">
        <f>G70*(1+KeyParameters!$B$37)*(1+KeyParameters!$B$34)</f>
        <v>4511.0019102164288</v>
      </c>
    </row>
    <row r="71" spans="1:9" x14ac:dyDescent="0.25">
      <c r="A71" s="111">
        <v>66</v>
      </c>
      <c r="B71" s="111">
        <f t="shared" ref="B71:B85" si="12">2.38911 + 1.11176* A71  - 0.00166*A71^2</f>
        <v>68.534310000000005</v>
      </c>
      <c r="C71" s="123">
        <f t="shared" ref="C71:C85" si="13" xml:space="preserve"> 2.85092+0.17322 * B71 -
0.00063 * B71^2</f>
        <v>11.763353640479059</v>
      </c>
      <c r="D71" s="61">
        <f t="shared" si="8"/>
        <v>12.309736313019918</v>
      </c>
      <c r="E71" s="111">
        <f t="shared" si="9"/>
        <v>118.95074235542376</v>
      </c>
      <c r="F71" s="61">
        <f t="shared" si="10"/>
        <v>94.51179411715016</v>
      </c>
      <c r="G71" s="61">
        <f t="shared" si="6"/>
        <v>3101.8464009281029</v>
      </c>
      <c r="H71" s="63">
        <f t="shared" si="11"/>
        <v>7.111835475698947</v>
      </c>
      <c r="I71" s="64">
        <f>G71*(1+KeyParameters!$B$37)*(1+KeyParameters!$B$34)</f>
        <v>4652.7696013921541</v>
      </c>
    </row>
    <row r="72" spans="1:9" x14ac:dyDescent="0.25">
      <c r="A72" s="111">
        <v>67</v>
      </c>
      <c r="B72" s="111">
        <f t="shared" si="12"/>
        <v>69.425290000000004</v>
      </c>
      <c r="C72" s="123">
        <f t="shared" si="13"/>
        <v>11.84025007210202</v>
      </c>
      <c r="D72" s="61">
        <f t="shared" si="8"/>
        <v>12.423487150223821</v>
      </c>
      <c r="E72" s="111">
        <f t="shared" si="9"/>
        <v>121.15928088284447</v>
      </c>
      <c r="F72" s="61">
        <f t="shared" si="10"/>
        <v>95.907568605096117</v>
      </c>
      <c r="G72" s="61">
        <f t="shared" ref="G72:G105" si="14" xml:space="preserve"> G71+F72</f>
        <v>3197.7539695331989</v>
      </c>
      <c r="H72" s="63">
        <f t="shared" si="11"/>
        <v>7.1980843118976177</v>
      </c>
      <c r="I72" s="64">
        <f>G72*(1+KeyParameters!$B$37)*(1+KeyParameters!$B$34)</f>
        <v>4796.6309542997978</v>
      </c>
    </row>
    <row r="73" spans="1:9" x14ac:dyDescent="0.25">
      <c r="A73" s="111">
        <v>68</v>
      </c>
      <c r="B73" s="111">
        <f t="shared" si="12"/>
        <v>70.312950000000015</v>
      </c>
      <c r="C73" s="123">
        <f t="shared" si="13"/>
        <v>11.915865308247426</v>
      </c>
      <c r="D73" s="61">
        <f t="shared" si="8"/>
        <v>12.537817392752755</v>
      </c>
      <c r="E73" s="111">
        <f t="shared" si="9"/>
        <v>123.3995390046006</v>
      </c>
      <c r="F73" s="61">
        <f t="shared" si="10"/>
        <v>97.291182007841101</v>
      </c>
      <c r="G73" s="61">
        <f t="shared" si="14"/>
        <v>3295.04515154104</v>
      </c>
      <c r="H73" s="63">
        <f t="shared" si="11"/>
        <v>7.2824314008134783</v>
      </c>
      <c r="I73" s="64">
        <f>G73*(1+KeyParameters!$B$37)*(1+KeyParameters!$B$34)</f>
        <v>4942.5677273115598</v>
      </c>
    </row>
    <row r="74" spans="1:9" x14ac:dyDescent="0.25">
      <c r="A74" s="111">
        <v>69</v>
      </c>
      <c r="B74" s="111">
        <f t="shared" si="12"/>
        <v>71.19729000000001</v>
      </c>
      <c r="C74" s="123">
        <f t="shared" si="13"/>
        <v>11.990210488693219</v>
      </c>
      <c r="D74" s="61">
        <f t="shared" si="8"/>
        <v>12.652799264924923</v>
      </c>
      <c r="E74" s="111">
        <f t="shared" si="9"/>
        <v>125.67326345221048</v>
      </c>
      <c r="F74" s="61">
        <f t="shared" si="10"/>
        <v>98.66229845284937</v>
      </c>
      <c r="G74" s="61">
        <f t="shared" si="14"/>
        <v>3393.7074499938894</v>
      </c>
      <c r="H74" s="63">
        <f t="shared" si="11"/>
        <v>7.3647850930760654</v>
      </c>
      <c r="I74" s="64">
        <f>G74*(1+KeyParameters!$B$37)*(1+KeyParameters!$B$34)</f>
        <v>5090.5611749908339</v>
      </c>
    </row>
    <row r="75" spans="1:9" x14ac:dyDescent="0.25">
      <c r="A75" s="111">
        <v>70</v>
      </c>
      <c r="B75" s="111">
        <f t="shared" si="12"/>
        <v>72.078310000000002</v>
      </c>
      <c r="C75" s="123">
        <f t="shared" si="13"/>
        <v>12.063296711552658</v>
      </c>
      <c r="D75" s="61">
        <f t="shared" si="8"/>
        <v>12.76850316014497</v>
      </c>
      <c r="E75" s="111">
        <f t="shared" si="9"/>
        <v>127.98221826624619</v>
      </c>
      <c r="F75" s="61">
        <f t="shared" si="10"/>
        <v>100.02059524152607</v>
      </c>
      <c r="G75" s="61">
        <f t="shared" si="14"/>
        <v>3493.7280452354157</v>
      </c>
      <c r="H75" s="63">
        <f t="shared" si="11"/>
        <v>7.4450570894592749</v>
      </c>
      <c r="I75" s="64">
        <f>G75*(1+KeyParameters!$B$37)*(1+KeyParameters!$B$34)</f>
        <v>5240.5920678531229</v>
      </c>
    </row>
    <row r="76" spans="1:9" x14ac:dyDescent="0.25">
      <c r="A76" s="111">
        <v>71</v>
      </c>
      <c r="B76" s="111">
        <f t="shared" si="12"/>
        <v>72.956010000000006</v>
      </c>
      <c r="C76" s="123">
        <f t="shared" si="13"/>
        <v>12.135135033274338</v>
      </c>
      <c r="D76" s="61">
        <f t="shared" si="8"/>
        <v>12.884997658449564</v>
      </c>
      <c r="E76" s="111">
        <f t="shared" si="9"/>
        <v>130.32818425672684</v>
      </c>
      <c r="F76" s="61">
        <f t="shared" si="10"/>
        <v>101.36576265939361</v>
      </c>
      <c r="G76" s="61">
        <f t="shared" si="14"/>
        <v>3595.0938078948093</v>
      </c>
      <c r="H76" s="63">
        <f t="shared" si="11"/>
        <v>7.5231626606142177</v>
      </c>
      <c r="I76" s="64">
        <f>G76*(1+KeyParameters!$B$37)*(1+KeyParameters!$B$34)</f>
        <v>5392.6407118422139</v>
      </c>
    </row>
    <row r="77" spans="1:9" x14ac:dyDescent="0.25">
      <c r="A77" s="111">
        <v>72</v>
      </c>
      <c r="B77" s="111">
        <f t="shared" si="12"/>
        <v>73.830390000000008</v>
      </c>
      <c r="C77" s="123">
        <f t="shared" si="13"/>
        <v>12.205736468642179</v>
      </c>
      <c r="D77" s="61">
        <f t="shared" ref="D77:D85" si="15" xml:space="preserve"> -0.10751 + B77 * 0.32917 - 0.00353* B77^2+ 0.00002*B77^3</f>
        <v>13.002349543987121</v>
      </c>
      <c r="E77" s="111">
        <f t="shared" ref="E77:E85" si="16" xml:space="preserve">  3.14*(D77/2)^2</f>
        <v>132.71295852625735</v>
      </c>
      <c r="F77" s="61">
        <f t="shared" ref="F77:F85" si="17" xml:space="preserve"> 0.3688 * C77^2.25</f>
        <v>102.69750378491088</v>
      </c>
      <c r="G77" s="61">
        <f t="shared" si="14"/>
        <v>3697.7913116797204</v>
      </c>
      <c r="H77" s="63">
        <f t="shared" si="11"/>
        <v>7.5990208548435341</v>
      </c>
      <c r="I77" s="64">
        <f>G77*(1+KeyParameters!$B$37)*(1+KeyParameters!$B$34)</f>
        <v>5546.6869675195803</v>
      </c>
    </row>
    <row r="78" spans="1:9" x14ac:dyDescent="0.25">
      <c r="A78" s="111">
        <v>73</v>
      </c>
      <c r="B78" s="111">
        <f t="shared" si="12"/>
        <v>74.701450000000008</v>
      </c>
      <c r="C78" s="123">
        <f t="shared" si="13"/>
        <v>12.275111990775425</v>
      </c>
      <c r="D78" s="61">
        <f t="shared" si="15"/>
        <v>13.120623822431641</v>
      </c>
      <c r="E78" s="111">
        <f t="shared" si="16"/>
        <v>135.13835404946212</v>
      </c>
      <c r="F78" s="61">
        <f t="shared" si="17"/>
        <v>104.01553429713012</v>
      </c>
      <c r="G78" s="61">
        <f t="shared" si="14"/>
        <v>3801.8068459768506</v>
      </c>
      <c r="H78" s="63">
        <f t="shared" si="11"/>
        <v>7.6725546927975765</v>
      </c>
      <c r="I78" s="64">
        <f>G78*(1+KeyParameters!$B$37)*(1+KeyParameters!$B$34)</f>
        <v>5702.7102689652756</v>
      </c>
    </row>
    <row r="79" spans="1:9" x14ac:dyDescent="0.25">
      <c r="A79" s="111">
        <v>74</v>
      </c>
      <c r="B79" s="111">
        <f t="shared" si="12"/>
        <v>75.569190000000006</v>
      </c>
      <c r="C79" s="123">
        <f t="shared" si="13"/>
        <v>12.343272531128658</v>
      </c>
      <c r="D79" s="61">
        <f t="shared" si="15"/>
        <v>13.239883738330706</v>
      </c>
      <c r="E79" s="111">
        <f t="shared" si="16"/>
        <v>137.60619930254339</v>
      </c>
      <c r="F79" s="61">
        <f t="shared" si="17"/>
        <v>105.31958228237598</v>
      </c>
      <c r="G79" s="61">
        <f t="shared" si="14"/>
        <v>3907.1264282592265</v>
      </c>
      <c r="H79" s="63">
        <f t="shared" si="11"/>
        <v>7.7436913480691851</v>
      </c>
      <c r="I79" s="64">
        <f>G79*(1+KeyParameters!$B$37)*(1+KeyParameters!$B$34)</f>
        <v>5860.6896423888402</v>
      </c>
    </row>
    <row r="80" spans="1:9" x14ac:dyDescent="0.25">
      <c r="A80" s="111">
        <v>75</v>
      </c>
      <c r="B80" s="111">
        <f t="shared" si="12"/>
        <v>76.433610000000002</v>
      </c>
      <c r="C80" s="123">
        <f t="shared" si="13"/>
        <v>12.410228979491777</v>
      </c>
      <c r="D80" s="61">
        <f t="shared" si="15"/>
        <v>13.360190792387574</v>
      </c>
      <c r="E80" s="111">
        <f t="shared" si="16"/>
        <v>140.11833793706319</v>
      </c>
      <c r="F80" s="61">
        <f t="shared" si="17"/>
        <v>106.60938804011865</v>
      </c>
      <c r="G80" s="61">
        <f t="shared" si="14"/>
        <v>4013.7358162993451</v>
      </c>
      <c r="H80" s="63">
        <f t="shared" si="11"/>
        <v>7.8123623127672213</v>
      </c>
      <c r="I80" s="64">
        <f>G80*(1+KeyParameters!$B$37)*(1+KeyParameters!$B$34)</f>
        <v>6020.6037244490171</v>
      </c>
    </row>
    <row r="81" spans="1:9" x14ac:dyDescent="0.25">
      <c r="A81" s="111">
        <v>76</v>
      </c>
      <c r="B81" s="111">
        <f t="shared" si="12"/>
        <v>77.294710000000009</v>
      </c>
      <c r="C81" s="123">
        <f t="shared" si="13"/>
        <v>12.475992183990019</v>
      </c>
      <c r="D81" s="61">
        <f t="shared" si="15"/>
        <v>13.481604758677424</v>
      </c>
      <c r="E81" s="111">
        <f t="shared" si="16"/>
        <v>142.67662849231709</v>
      </c>
      <c r="F81" s="61">
        <f t="shared" si="17"/>
        <v>107.88470388821045</v>
      </c>
      <c r="G81" s="61">
        <f t="shared" si="14"/>
        <v>4121.6205201875555</v>
      </c>
      <c r="H81" s="63">
        <f t="shared" si="11"/>
        <v>7.878503547257881</v>
      </c>
      <c r="I81" s="64">
        <f>G81*(1+KeyParameters!$B$37)*(1+KeyParameters!$B$34)</f>
        <v>6182.4307802813337</v>
      </c>
    </row>
    <row r="82" spans="1:9" x14ac:dyDescent="0.25">
      <c r="A82" s="111">
        <v>77</v>
      </c>
      <c r="B82" s="111">
        <f t="shared" si="12"/>
        <v>78.152490000000014</v>
      </c>
      <c r="C82" s="123">
        <f t="shared" si="13"/>
        <v>12.540572951083938</v>
      </c>
      <c r="D82" s="61">
        <f t="shared" si="15"/>
        <v>13.604183701797728</v>
      </c>
      <c r="E82" s="111">
        <f t="shared" si="16"/>
        <v>145.28294414092326</v>
      </c>
      <c r="F82" s="61">
        <f t="shared" si="17"/>
        <v>109.14529396763797</v>
      </c>
      <c r="G82" s="61">
        <f t="shared" si="14"/>
        <v>4230.7658141551938</v>
      </c>
      <c r="H82" s="63">
        <f t="shared" si="11"/>
        <v>7.9420556133767857</v>
      </c>
      <c r="I82" s="64">
        <f>G82*(1+KeyParameters!$B$37)*(1+KeyParameters!$B$34)</f>
        <v>6346.1487212327911</v>
      </c>
    </row>
    <row r="83" spans="1:9" x14ac:dyDescent="0.25">
      <c r="A83" s="111">
        <v>78</v>
      </c>
      <c r="B83" s="111">
        <f t="shared" si="12"/>
        <v>79.006950000000003</v>
      </c>
      <c r="C83" s="123">
        <f t="shared" si="13"/>
        <v>12.603982045569426</v>
      </c>
      <c r="D83" s="61">
        <f t="shared" si="15"/>
        <v>13.727983993952741</v>
      </c>
      <c r="E83" s="111">
        <f t="shared" si="16"/>
        <v>147.93917246250479</v>
      </c>
      <c r="F83" s="61">
        <f t="shared" si="17"/>
        <v>110.39093404694223</v>
      </c>
      <c r="G83" s="61">
        <f t="shared" si="14"/>
        <v>4341.1567482021364</v>
      </c>
      <c r="H83" s="63">
        <f t="shared" si="11"/>
        <v>8.0029637905324726</v>
      </c>
      <c r="I83" s="64">
        <f>G83*(1+KeyParameters!$B$37)*(1+KeyParameters!$B$34)</f>
        <v>6511.7351223032038</v>
      </c>
    </row>
    <row r="84" spans="1:9" x14ac:dyDescent="0.25">
      <c r="A84" s="111">
        <v>79</v>
      </c>
      <c r="B84" s="111">
        <f t="shared" si="12"/>
        <v>79.858090000000004</v>
      </c>
      <c r="C84" s="123">
        <f t="shared" si="13"/>
        <v>12.666230190577698</v>
      </c>
      <c r="D84" s="61">
        <f t="shared" si="15"/>
        <v>13.853060331972145</v>
      </c>
      <c r="E84" s="111">
        <f t="shared" si="16"/>
        <v>150.64721524058925</v>
      </c>
      <c r="F84" s="61">
        <f t="shared" si="17"/>
        <v>111.6214113264457</v>
      </c>
      <c r="G84" s="61">
        <f t="shared" si="14"/>
        <v>4452.7781595285824</v>
      </c>
      <c r="H84" s="63">
        <f t="shared" si="11"/>
        <v>8.0611781742421353</v>
      </c>
      <c r="I84" s="64">
        <f>G84*(1+KeyParameters!$B$37)*(1+KeyParameters!$B$34)</f>
        <v>6679.1672392928731</v>
      </c>
    </row>
    <row r="85" spans="1:9" x14ac:dyDescent="0.25">
      <c r="A85" s="111">
        <v>80</v>
      </c>
      <c r="B85" s="111">
        <f t="shared" si="12"/>
        <v>80.705910000000017</v>
      </c>
      <c r="C85" s="123">
        <f t="shared" si="13"/>
        <v>12.7273280675753</v>
      </c>
      <c r="D85" s="61">
        <f t="shared" si="15"/>
        <v>13.979465754263799</v>
      </c>
      <c r="E85" s="111">
        <f t="shared" si="16"/>
        <v>153.40898827808795</v>
      </c>
      <c r="F85" s="61">
        <f t="shared" si="17"/>
        <v>112.8365242424204</v>
      </c>
      <c r="G85" s="61">
        <f t="shared" si="14"/>
        <v>4565.614683771003</v>
      </c>
      <c r="H85" s="63">
        <f t="shared" si="11"/>
        <v>8.1166537567623607</v>
      </c>
      <c r="I85" s="64">
        <f>G85*(1+KeyParameters!$B$37)*(1+KeyParameters!$B$34)</f>
        <v>6848.422025656505</v>
      </c>
    </row>
    <row r="86" spans="1:9" x14ac:dyDescent="0.25">
      <c r="A86" s="111">
        <v>81</v>
      </c>
      <c r="B86" s="111">
        <f t="shared" ref="B86:B97" si="18">2.38911 + 1.11176* A86  - 0.00166*A86^2</f>
        <v>81.550409999999999</v>
      </c>
      <c r="C86" s="123">
        <f t="shared" ref="C86:C97" si="19" xml:space="preserve"> 2.85092+0.17322 * B86 -
0.00063 * B86^2</f>
        <v>12.787286316364098</v>
      </c>
      <c r="D86" s="61">
        <f t="shared" ref="D86:D97" si="20" xml:space="preserve"> -0.10751 + B86 * 0.32917 - 0.00353* B86^2+ 0.00002*B86^3</f>
        <v>14.107251657700621</v>
      </c>
      <c r="E86" s="111">
        <f t="shared" ref="E86:E97" si="21" xml:space="preserve">  3.14*(D86/2)^2</f>
        <v>156.22642122695208</v>
      </c>
      <c r="F86" s="61">
        <f t="shared" ref="F86:F97" si="22" xml:space="preserve"> 0.3688 * C86^2.25</f>
        <v>114.03608227132445</v>
      </c>
      <c r="G86" s="61">
        <f t="shared" si="14"/>
        <v>4679.6507660423276</v>
      </c>
      <c r="H86" s="63">
        <f t="shared" si="11"/>
        <v>8.1693504895997435</v>
      </c>
      <c r="I86" s="64">
        <f>G86*(1+KeyParameters!$B$37)*(1+KeyParameters!$B$34)</f>
        <v>7019.476149063491</v>
      </c>
    </row>
    <row r="87" spans="1:9" x14ac:dyDescent="0.25">
      <c r="A87" s="111">
        <v>82</v>
      </c>
      <c r="B87" s="111">
        <f t="shared" si="18"/>
        <v>82.391590000000008</v>
      </c>
      <c r="C87" s="123">
        <f t="shared" si="19"/>
        <v>12.846115535081299</v>
      </c>
      <c r="D87" s="61">
        <f t="shared" si="20"/>
        <v>14.236467814441639</v>
      </c>
      <c r="E87" s="111">
        <f t="shared" si="21"/>
        <v>159.10145742783169</v>
      </c>
      <c r="F87" s="61">
        <f t="shared" si="22"/>
        <v>115.21990573422593</v>
      </c>
      <c r="G87" s="61">
        <f t="shared" si="14"/>
        <v>4794.8706717765535</v>
      </c>
      <c r="H87" s="63">
        <f t="shared" si="11"/>
        <v>8.2192333278076593</v>
      </c>
      <c r="I87" s="64">
        <f>G87*(1+KeyParameters!$B$37)*(1+KeyParameters!$B$34)</f>
        <v>7192.3060076648298</v>
      </c>
    </row>
    <row r="88" spans="1:9" x14ac:dyDescent="0.25">
      <c r="A88" s="111">
        <v>83</v>
      </c>
      <c r="B88" s="111">
        <f t="shared" si="18"/>
        <v>83.229450000000014</v>
      </c>
      <c r="C88" s="123">
        <f t="shared" si="19"/>
        <v>12.903826280199429</v>
      </c>
      <c r="D88" s="61">
        <f t="shared" si="20"/>
        <v>14.367162388687099</v>
      </c>
      <c r="E88" s="111">
        <f t="shared" si="21"/>
        <v>162.03605375578059</v>
      </c>
      <c r="F88" s="61">
        <f t="shared" si="22"/>
        <v>116.38782560152937</v>
      </c>
      <c r="G88" s="61">
        <f t="shared" si="14"/>
        <v>4911.2584973780831</v>
      </c>
      <c r="H88" s="63">
        <f t="shared" si="11"/>
        <v>8.2662722560952524</v>
      </c>
      <c r="I88" s="64">
        <f>G88*(1+KeyParameters!$B$37)*(1+KeyParameters!$B$34)</f>
        <v>7366.8877460671247</v>
      </c>
    </row>
    <row r="89" spans="1:9" x14ac:dyDescent="0.25">
      <c r="A89" s="111">
        <v>84</v>
      </c>
      <c r="B89" s="111">
        <f t="shared" si="18"/>
        <v>84.063990000000018</v>
      </c>
      <c r="C89" s="123">
        <f t="shared" si="19"/>
        <v>12.960429066526338</v>
      </c>
      <c r="D89" s="61">
        <f t="shared" si="20"/>
        <v>14.499381953367777</v>
      </c>
      <c r="E89" s="111">
        <f t="shared" si="21"/>
        <v>165.03218046827303</v>
      </c>
      <c r="F89" s="61">
        <f t="shared" si="22"/>
        <v>117.53968329811309</v>
      </c>
      <c r="G89" s="61">
        <f t="shared" si="14"/>
        <v>5028.7981806761964</v>
      </c>
      <c r="H89" s="63">
        <f t="shared" si="11"/>
        <v>8.310442296891031</v>
      </c>
      <c r="I89" s="64">
        <f>G89*(1+KeyParameters!$B$37)*(1+KeyParameters!$B$34)</f>
        <v>7543.1972710142945</v>
      </c>
    </row>
    <row r="90" spans="1:9" x14ac:dyDescent="0.25">
      <c r="A90" s="111">
        <v>85</v>
      </c>
      <c r="B90" s="111">
        <f t="shared" si="18"/>
        <v>84.895210000000006</v>
      </c>
      <c r="C90" s="123">
        <f t="shared" si="19"/>
        <v>13.015934367205217</v>
      </c>
      <c r="D90" s="61">
        <f t="shared" si="20"/>
        <v>14.633171506768377</v>
      </c>
      <c r="E90" s="111">
        <f t="shared" si="21"/>
        <v>168.09182105200085</v>
      </c>
      <c r="F90" s="61">
        <f t="shared" si="22"/>
        <v>118.67533050897791</v>
      </c>
      <c r="G90" s="61">
        <f t="shared" si="14"/>
        <v>5147.4735111851742</v>
      </c>
      <c r="H90" s="63">
        <f t="shared" si="11"/>
        <v>8.3517235006164547</v>
      </c>
      <c r="I90" s="64">
        <f>G90*(1+KeyParameters!$B$37)*(1+KeyParameters!$B$34)</f>
        <v>7721.2102667777608</v>
      </c>
    </row>
    <row r="91" spans="1:9" x14ac:dyDescent="0.25">
      <c r="A91" s="111">
        <v>86</v>
      </c>
      <c r="B91" s="111">
        <f t="shared" si="18"/>
        <v>85.723110000000005</v>
      </c>
      <c r="C91" s="123">
        <f t="shared" si="19"/>
        <v>13.070352613714579</v>
      </c>
      <c r="D91" s="61">
        <f t="shared" si="20"/>
        <v>14.768574489085072</v>
      </c>
      <c r="E91" s="111">
        <f t="shared" si="21"/>
        <v>171.21697206512872</v>
      </c>
      <c r="F91" s="61">
        <f t="shared" si="22"/>
        <v>119.79462898550713</v>
      </c>
      <c r="G91" s="61">
        <f t="shared" si="14"/>
        <v>5267.2681401706814</v>
      </c>
      <c r="H91" s="63">
        <f t="shared" si="11"/>
        <v>8.3901009185325837</v>
      </c>
      <c r="I91" s="64">
        <f>G91*(1+KeyParameters!$B$37)*(1+KeyParameters!$B$34)</f>
        <v>7900.9022102560211</v>
      </c>
    </row>
    <row r="92" spans="1:9" x14ac:dyDescent="0.25">
      <c r="A92" s="111">
        <v>87</v>
      </c>
      <c r="B92" s="111">
        <f t="shared" si="18"/>
        <v>86.547690000000017</v>
      </c>
      <c r="C92" s="123">
        <f t="shared" si="19"/>
        <v>13.123694195868259</v>
      </c>
      <c r="D92" s="61">
        <f t="shared" si="20"/>
        <v>14.905632798917191</v>
      </c>
      <c r="E92" s="111">
        <f t="shared" si="21"/>
        <v>174.40964297188242</v>
      </c>
      <c r="F92" s="61">
        <f t="shared" si="22"/>
        <v>120.89745035242645</v>
      </c>
      <c r="G92" s="61">
        <f t="shared" si="14"/>
        <v>5388.1655905231082</v>
      </c>
      <c r="H92" s="63">
        <f t="shared" si="11"/>
        <v>8.4255645586248278</v>
      </c>
      <c r="I92" s="64">
        <f>G92*(1+KeyParameters!$B$37)*(1+KeyParameters!$B$34)</f>
        <v>8082.2483857846619</v>
      </c>
    </row>
    <row r="93" spans="1:9" x14ac:dyDescent="0.25">
      <c r="A93" s="111">
        <v>88</v>
      </c>
      <c r="B93" s="111">
        <f t="shared" si="18"/>
        <v>87.368950000000012</v>
      </c>
      <c r="C93" s="123">
        <f t="shared" si="19"/>
        <v>13.175969461815427</v>
      </c>
      <c r="D93" s="61">
        <f t="shared" si="20"/>
        <v>15.04438680969298</v>
      </c>
      <c r="E93" s="111">
        <f t="shared" si="21"/>
        <v>177.67185596653636</v>
      </c>
      <c r="F93" s="61">
        <f t="shared" si="22"/>
        <v>121.98367591555535</v>
      </c>
      <c r="G93" s="61">
        <f t="shared" si="14"/>
        <v>5510.1492664386633</v>
      </c>
      <c r="H93" s="63">
        <f t="shared" si="11"/>
        <v>8.4581093250865695</v>
      </c>
      <c r="I93" s="64">
        <f>G93*(1+KeyParameters!$B$37)*(1+KeyParameters!$B$34)</f>
        <v>8265.2238996579945</v>
      </c>
    </row>
    <row r="94" spans="1:9" x14ac:dyDescent="0.25">
      <c r="A94" s="111">
        <v>89</v>
      </c>
      <c r="B94" s="111">
        <f t="shared" si="18"/>
        <v>88.186890000000005</v>
      </c>
      <c r="C94" s="123">
        <f t="shared" si="19"/>
        <v>13.227188718040576</v>
      </c>
      <c r="D94" s="61">
        <f t="shared" si="20"/>
        <v>15.184875386029578</v>
      </c>
      <c r="E94" s="111">
        <f t="shared" si="21"/>
        <v>181.00564578405883</v>
      </c>
      <c r="F94" s="61">
        <f t="shared" si="22"/>
        <v>123.053196470427</v>
      </c>
      <c r="G94" s="61">
        <f t="shared" si="14"/>
        <v>5633.2024629090902</v>
      </c>
      <c r="H94" s="63">
        <f t="shared" si="11"/>
        <v>8.4877349420503894</v>
      </c>
      <c r="I94" s="64">
        <f>G94*(1+KeyParameters!$B$37)*(1+KeyParameters!$B$34)</f>
        <v>8449.8036943636343</v>
      </c>
    </row>
    <row r="95" spans="1:9" x14ac:dyDescent="0.25">
      <c r="A95" s="111">
        <v>90</v>
      </c>
      <c r="B95" s="111">
        <f t="shared" si="18"/>
        <v>89.00151000000001</v>
      </c>
      <c r="C95" s="123">
        <f t="shared" si="19"/>
        <v>13.27736222936354</v>
      </c>
      <c r="D95" s="61">
        <f t="shared" si="20"/>
        <v>15.327135900027052</v>
      </c>
      <c r="E95" s="111">
        <f t="shared" si="21"/>
        <v>184.41305949485002</v>
      </c>
      <c r="F95" s="61">
        <f t="shared" si="22"/>
        <v>124.10591211186056</v>
      </c>
      <c r="G95" s="61">
        <f t="shared" si="14"/>
        <v>5757.3083750209507</v>
      </c>
      <c r="H95" s="63">
        <f t="shared" si="11"/>
        <v>8.5144458622964247</v>
      </c>
      <c r="I95" s="64">
        <f>G95*(1+KeyParameters!$B$37)*(1+KeyParameters!$B$34)</f>
        <v>8635.9625625314256</v>
      </c>
    </row>
    <row r="96" spans="1:9" x14ac:dyDescent="0.25">
      <c r="A96" s="111">
        <v>91</v>
      </c>
      <c r="B96" s="111">
        <f t="shared" si="18"/>
        <v>89.812810000000013</v>
      </c>
      <c r="C96" s="123">
        <f t="shared" si="19"/>
        <v>13.326500218939458</v>
      </c>
      <c r="D96" s="61">
        <f t="shared" si="20"/>
        <v>15.471204247496598</v>
      </c>
      <c r="E96" s="111">
        <f t="shared" si="21"/>
        <v>187.89615628118906</v>
      </c>
      <c r="F96" s="61">
        <f t="shared" si="22"/>
        <v>125.14173204455422</v>
      </c>
      <c r="G96" s="61">
        <f t="shared" si="14"/>
        <v>5882.4501070655051</v>
      </c>
      <c r="H96" s="63">
        <f t="shared" si="11"/>
        <v>8.5382511617393906</v>
      </c>
      <c r="I96" s="64">
        <f>G96*(1+KeyParameters!$B$37)*(1+KeyParameters!$B$34)</f>
        <v>8823.6751605982572</v>
      </c>
    </row>
    <row r="97" spans="1:9" x14ac:dyDescent="0.25">
      <c r="A97" s="111">
        <v>92</v>
      </c>
      <c r="B97" s="111">
        <f t="shared" si="18"/>
        <v>90.620790000000014</v>
      </c>
      <c r="C97" s="123">
        <f t="shared" si="19"/>
        <v>13.374612868258817</v>
      </c>
      <c r="D97" s="61">
        <f t="shared" si="20"/>
        <v>15.617114864122858</v>
      </c>
      <c r="E97" s="111">
        <f t="shared" si="21"/>
        <v>191.45700719317759</v>
      </c>
      <c r="F97" s="61">
        <f t="shared" si="22"/>
        <v>126.1605743947741</v>
      </c>
      <c r="G97" s="61">
        <f t="shared" si="14"/>
        <v>6008.610681460279</v>
      </c>
      <c r="H97" s="63">
        <f t="shared" si="11"/>
        <v>8.5591644205593518</v>
      </c>
      <c r="I97" s="64">
        <f>G97*(1+KeyParameters!$B$37)*(1+KeyParameters!$B$34)</f>
        <v>9012.9160221904185</v>
      </c>
    </row>
    <row r="98" spans="1:9" x14ac:dyDescent="0.25">
      <c r="A98" s="111">
        <v>93</v>
      </c>
      <c r="B98" s="111">
        <f t="shared" ref="B98:B105" si="23">2.38911 + 1.11176* A98  - 0.00166*A98^2</f>
        <v>91.425450000000012</v>
      </c>
      <c r="C98" s="123">
        <f t="shared" ref="C98:C105" si="24" xml:space="preserve"> 2.85092+0.17322 * B98 -
0.00063 * B98^2</f>
        <v>13.421710317147426</v>
      </c>
      <c r="D98" s="61">
        <f t="shared" ref="D98:D105" si="25" xml:space="preserve"> -0.10751 + B98 * 0.32917 - 0.00353* B98^2+ 0.00002*B98^3</f>
        <v>15.764900741560369</v>
      </c>
      <c r="E98" s="111">
        <f t="shared" ref="E98:E105" si="26" xml:space="preserve">  3.14*(D98/2)^2</f>
        <v>195.0976948821318</v>
      </c>
      <c r="F98" s="61">
        <f t="shared" ref="F98:F105" si="27" xml:space="preserve"> 0.3688 * C98^2.25</f>
        <v>127.16236602320029</v>
      </c>
      <c r="G98" s="61">
        <f t="shared" si="14"/>
        <v>6135.7730474834789</v>
      </c>
      <c r="H98" s="63">
        <f t="shared" ref="H98:H105" si="28">(G98/E98)*12/44</f>
        <v>8.5772035918961294</v>
      </c>
      <c r="I98" s="64">
        <f>G98*(1+KeyParameters!$B$37)*(1+KeyParameters!$B$34)</f>
        <v>9203.6595712252183</v>
      </c>
    </row>
    <row r="99" spans="1:9" x14ac:dyDescent="0.25">
      <c r="A99" s="111">
        <v>94</v>
      </c>
      <c r="B99" s="111">
        <f t="shared" si="23"/>
        <v>92.226790000000008</v>
      </c>
      <c r="C99" s="123">
        <f t="shared" si="24"/>
        <v>13.467802663766419</v>
      </c>
      <c r="D99" s="61">
        <f t="shared" si="25"/>
        <v>15.914593443464156</v>
      </c>
      <c r="E99" s="111">
        <f t="shared" si="26"/>
        <v>198.82031330954055</v>
      </c>
      <c r="F99" s="61">
        <f t="shared" si="27"/>
        <v>128.14704233899616</v>
      </c>
      <c r="G99" s="61">
        <f t="shared" si="14"/>
        <v>6263.9200898224753</v>
      </c>
      <c r="H99" s="63">
        <f t="shared" si="28"/>
        <v>8.592390859072653</v>
      </c>
      <c r="I99" s="64">
        <f>G99*(1+KeyParameters!$B$37)*(1+KeyParameters!$B$34)</f>
        <v>9395.8801347337121</v>
      </c>
    </row>
    <row r="100" spans="1:9" x14ac:dyDescent="0.25">
      <c r="A100" s="111">
        <v>95</v>
      </c>
      <c r="B100" s="111">
        <f t="shared" si="23"/>
        <v>93.024810000000016</v>
      </c>
      <c r="C100" s="123">
        <f t="shared" si="24"/>
        <v>13.512899964612259</v>
      </c>
      <c r="D100" s="61">
        <f t="shared" si="25"/>
        <v>16.066223121454435</v>
      </c>
      <c r="E100" s="111">
        <f t="shared" si="26"/>
        <v>202.62696742986034</v>
      </c>
      <c r="F100" s="61">
        <f t="shared" si="27"/>
        <v>129.11454711515765</v>
      </c>
      <c r="G100" s="61">
        <f t="shared" si="14"/>
        <v>6393.034636937633</v>
      </c>
      <c r="H100" s="63">
        <f t="shared" si="28"/>
        <v>8.6047524823492481</v>
      </c>
      <c r="I100" s="64">
        <f>G100*(1+KeyParameters!$B$37)*(1+KeyParameters!$B$34)</f>
        <v>9589.5519554064504</v>
      </c>
    </row>
    <row r="101" spans="1:9" x14ac:dyDescent="0.25">
      <c r="A101" s="111">
        <v>96</v>
      </c>
      <c r="B101" s="111">
        <f t="shared" si="23"/>
        <v>93.819510000000008</v>
      </c>
      <c r="C101" s="123">
        <f t="shared" si="24"/>
        <v>13.557012234516737</v>
      </c>
      <c r="D101" s="61">
        <f t="shared" si="25"/>
        <v>16.219818531015459</v>
      </c>
      <c r="E101" s="111">
        <f t="shared" si="26"/>
        <v>206.51977284557188</v>
      </c>
      <c r="F101" s="61">
        <f t="shared" si="27"/>
        <v>130.06483230519862</v>
      </c>
      <c r="G101" s="61">
        <f t="shared" si="14"/>
        <v>6523.0994692428312</v>
      </c>
      <c r="H101" s="63">
        <f t="shared" si="28"/>
        <v>8.6143186362383357</v>
      </c>
      <c r="I101" s="64">
        <f>G101*(1+KeyParameters!$B$37)*(1+KeyParameters!$B$34)</f>
        <v>9784.6492038642464</v>
      </c>
    </row>
    <row r="102" spans="1:9" x14ac:dyDescent="0.25">
      <c r="A102" s="111">
        <v>97</v>
      </c>
      <c r="B102" s="111">
        <f t="shared" si="23"/>
        <v>94.610890000000012</v>
      </c>
      <c r="C102" s="123">
        <f t="shared" si="24"/>
        <v>13.600149446646977</v>
      </c>
      <c r="D102" s="61">
        <f t="shared" si="25"/>
        <v>16.375407047328476</v>
      </c>
      <c r="E102" s="111">
        <f t="shared" si="26"/>
        <v>210.50085543307065</v>
      </c>
      <c r="F102" s="61">
        <f t="shared" si="27"/>
        <v>130.99785786122538</v>
      </c>
      <c r="G102" s="61">
        <f t="shared" si="14"/>
        <v>6654.0973271040566</v>
      </c>
      <c r="H102" s="63">
        <f t="shared" si="28"/>
        <v>8.621123238427554</v>
      </c>
      <c r="I102" s="64">
        <f>G102*(1+KeyParameters!$B$37)*(1+KeyParameters!$B$34)</f>
        <v>9981.1459906560849</v>
      </c>
    </row>
    <row r="103" spans="1:9" x14ac:dyDescent="0.25">
      <c r="A103" s="111">
        <v>98</v>
      </c>
      <c r="B103" s="111">
        <f t="shared" si="23"/>
        <v>95.398950000000013</v>
      </c>
      <c r="C103" s="123">
        <f t="shared" si="24"/>
        <v>13.642321532505425</v>
      </c>
      <c r="D103" s="61">
        <f t="shared" si="25"/>
        <v>16.533014681038864</v>
      </c>
      <c r="E103" s="111">
        <f t="shared" si="26"/>
        <v>214.57235093810559</v>
      </c>
      <c r="F103" s="61">
        <f t="shared" si="27"/>
        <v>131.91359155344819</v>
      </c>
      <c r="G103" s="61">
        <f t="shared" si="14"/>
        <v>6786.0109186575046</v>
      </c>
      <c r="H103" s="63">
        <f t="shared" si="28"/>
        <v>8.6252037713694421</v>
      </c>
      <c r="I103" s="64">
        <f>G103*(1+KeyParameters!$B$37)*(1+KeyParameters!$B$34)</f>
        <v>10179.016377986258</v>
      </c>
    </row>
    <row r="104" spans="1:9" x14ac:dyDescent="0.25">
      <c r="A104" s="111">
        <v>99</v>
      </c>
      <c r="B104" s="111">
        <f t="shared" si="23"/>
        <v>96.183690000000013</v>
      </c>
      <c r="C104" s="123">
        <f t="shared" si="24"/>
        <v>13.683538381929857</v>
      </c>
      <c r="D104" s="61">
        <f t="shared" si="25"/>
        <v>16.692666093957321</v>
      </c>
      <c r="E104" s="111">
        <f t="shared" si="26"/>
        <v>218.73640453961661</v>
      </c>
      <c r="F104" s="61">
        <f t="shared" si="27"/>
        <v>132.81200879117762</v>
      </c>
      <c r="G104" s="61">
        <f t="shared" si="14"/>
        <v>6918.8229274486821</v>
      </c>
      <c r="H104" s="63">
        <f t="shared" si="28"/>
        <v>8.6266010975975753</v>
      </c>
      <c r="I104" s="64">
        <f>G104*(1+KeyParameters!$B$37)*(1+KeyParameters!$B$34)</f>
        <v>10378.234391173022</v>
      </c>
    </row>
    <row r="105" spans="1:9" x14ac:dyDescent="0.25">
      <c r="A105" s="111">
        <v>100</v>
      </c>
      <c r="B105" s="111">
        <f t="shared" si="23"/>
        <v>96.96511000000001</v>
      </c>
      <c r="C105" s="123">
        <f t="shared" si="24"/>
        <v>13.723809843093377</v>
      </c>
      <c r="D105" s="61">
        <f t="shared" si="25"/>
        <v>16.854384614695274</v>
      </c>
      <c r="E105" s="111">
        <f t="shared" si="26"/>
        <v>222.99517038096025</v>
      </c>
      <c r="F105" s="61">
        <f t="shared" si="27"/>
        <v>133.69309244534881</v>
      </c>
      <c r="G105" s="61">
        <f t="shared" si="14"/>
        <v>7052.5160198940312</v>
      </c>
      <c r="H105" s="63">
        <f t="shared" si="28"/>
        <v>8.6253592698226615</v>
      </c>
      <c r="I105" s="64">
        <f>G105*(1+KeyParameters!$B$37)*(1+KeyParameters!$B$34)</f>
        <v>10578.774029841046</v>
      </c>
    </row>
    <row r="106" spans="1:9" x14ac:dyDescent="0.25">
      <c r="A106" s="36"/>
      <c r="B106" s="36"/>
      <c r="C106" s="13"/>
      <c r="E106" s="36"/>
      <c r="H106" s="2"/>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D6145-7E50-4A47-A9FA-AEEC80EE57FB}">
  <sheetPr codeName="Sheet15"/>
  <dimension ref="A1:I90"/>
  <sheetViews>
    <sheetView zoomScale="80" zoomScaleNormal="80" workbookViewId="0">
      <selection activeCell="G30" sqref="G30"/>
    </sheetView>
  </sheetViews>
  <sheetFormatPr defaultRowHeight="15" x14ac:dyDescent="0.25"/>
  <cols>
    <col min="1" max="1" width="23.28515625" customWidth="1"/>
    <col min="2" max="2" width="15.42578125" bestFit="1" customWidth="1"/>
    <col min="6" max="6" width="31.85546875" customWidth="1"/>
    <col min="7" max="7" width="40.85546875" customWidth="1"/>
    <col min="8" max="8" width="32.140625" customWidth="1"/>
    <col min="9" max="9" width="37.140625" customWidth="1"/>
  </cols>
  <sheetData>
    <row r="1" spans="1:9" x14ac:dyDescent="0.25">
      <c r="A1" s="21" t="s">
        <v>15</v>
      </c>
      <c r="B1" s="21" t="s">
        <v>39</v>
      </c>
      <c r="C1" s="50" t="s">
        <v>134</v>
      </c>
      <c r="D1" s="50"/>
      <c r="E1" s="50"/>
      <c r="F1" s="50"/>
      <c r="H1" s="1"/>
    </row>
    <row r="2" spans="1:9" ht="15.75" thickBot="1" x14ac:dyDescent="0.3">
      <c r="A2" s="8"/>
      <c r="B2" s="9"/>
      <c r="H2" s="1"/>
    </row>
    <row r="3" spans="1:9" ht="45" x14ac:dyDescent="0.25">
      <c r="A3" s="106" t="s">
        <v>13</v>
      </c>
      <c r="B3" s="107" t="s">
        <v>12</v>
      </c>
      <c r="C3" s="108" t="s">
        <v>11</v>
      </c>
      <c r="D3" s="108" t="s">
        <v>10</v>
      </c>
      <c r="E3" s="108" t="s">
        <v>9</v>
      </c>
      <c r="F3" s="107" t="s">
        <v>8</v>
      </c>
      <c r="G3" s="107" t="s">
        <v>7</v>
      </c>
      <c r="H3" s="108" t="s">
        <v>6</v>
      </c>
      <c r="I3" s="108" t="s">
        <v>230</v>
      </c>
    </row>
    <row r="4" spans="1:9" s="19" customFormat="1" ht="17.25" x14ac:dyDescent="0.25">
      <c r="A4" s="109" t="s">
        <v>5</v>
      </c>
      <c r="B4" s="109" t="s">
        <v>4</v>
      </c>
      <c r="C4" s="110" t="s">
        <v>3</v>
      </c>
      <c r="D4" s="110" t="s">
        <v>3</v>
      </c>
      <c r="E4" s="110" t="s">
        <v>2</v>
      </c>
      <c r="F4" s="109" t="s">
        <v>1</v>
      </c>
      <c r="G4" s="109" t="s">
        <v>0</v>
      </c>
      <c r="H4" s="111"/>
      <c r="I4" s="109" t="s">
        <v>0</v>
      </c>
    </row>
    <row r="5" spans="1:9" x14ac:dyDescent="0.25">
      <c r="A5" s="61">
        <v>1</v>
      </c>
      <c r="B5" s="61">
        <f xml:space="preserve"> 0.58767 + 1.3122 * A5  +
0.00991 * A5^2 - 0.00014*A5^3</f>
        <v>1.90964</v>
      </c>
      <c r="C5" s="61">
        <f xml:space="preserve"> 3.219809 +0.2309*B5-
0.00231*B5^2 + 0.00001*B5^3</f>
        <v>3.6523905807305699</v>
      </c>
      <c r="D5" s="61">
        <f xml:space="preserve"> 0.86933 +0.44502*B5 -
0.00617*B5^2 + 0.00003*B5^3</f>
        <v>1.696866617938205</v>
      </c>
      <c r="E5" s="111">
        <f xml:space="preserve">  3.14*(D5/2)^2</f>
        <v>2.2602947104723383</v>
      </c>
      <c r="F5" s="61">
        <f xml:space="preserve"> 19.777 * C5  - 0.4417*C5^2  - 71.937</f>
        <v>-5.5959304715658078</v>
      </c>
      <c r="G5" s="61">
        <f xml:space="preserve"> G8/4</f>
        <v>2.1131122498951349</v>
      </c>
      <c r="H5" s="63">
        <f>(G5/E5)*12/44</f>
        <v>0.25496822967835908</v>
      </c>
      <c r="I5" s="64">
        <f>G5*(1+KeyParameters!$B$37)*(1+KeyParameters!$B$34)</f>
        <v>3.1696683748427024</v>
      </c>
    </row>
    <row r="6" spans="1:9" x14ac:dyDescent="0.25">
      <c r="A6" s="61">
        <v>2</v>
      </c>
      <c r="B6" s="61">
        <f xml:space="preserve"> 0.58767 + 1.3122 * A6  +
0.00991 * A6^2 - 0.00014*A6^3</f>
        <v>3.2505900000000003</v>
      </c>
      <c r="C6" s="61">
        <f t="shared" ref="C6:C69" si="0" xml:space="preserve"> 3.219809 +0.2309*B6-
0.00231*B6^2 + 0.00001*B6^3</f>
        <v>3.9463054645860813</v>
      </c>
      <c r="D6" s="61">
        <f t="shared" ref="D6:D54" si="1" xml:space="preserve"> 0.86933 +0.44502*B6 -
0.00617*B6^2 + 0.00003*B6^3</f>
        <v>2.251743677422799</v>
      </c>
      <c r="E6" s="111">
        <f t="shared" ref="E6:E54" si="2" xml:space="preserve">  3.14*(D6/2)^2</f>
        <v>3.9802244272186371</v>
      </c>
      <c r="F6" s="61">
        <f t="shared" ref="F6:F69" si="3" xml:space="preserve"> 19.777 * C6  - 0.4417*C6^2  - 71.937</f>
        <v>-0.76965528319642829</v>
      </c>
      <c r="G6" s="61">
        <f>G8/3</f>
        <v>2.81748299986018</v>
      </c>
      <c r="H6" s="63">
        <f>(G6/E6)*12/44</f>
        <v>0.19305555969472793</v>
      </c>
      <c r="I6" s="64">
        <f>G6*(1+KeyParameters!$B$37)*(1+KeyParameters!$B$34)</f>
        <v>4.2262244997902698</v>
      </c>
    </row>
    <row r="7" spans="1:9" x14ac:dyDescent="0.25">
      <c r="A7" s="61">
        <v>3</v>
      </c>
      <c r="B7" s="61">
        <f t="shared" ref="B7:B70" si="4" xml:space="preserve"> 0.58767 + 1.3122 * A7  +
0.00991 * A7^2 - 0.00014*A7^3</f>
        <v>4.6096800000000009</v>
      </c>
      <c r="C7" s="61">
        <f t="shared" si="0"/>
        <v>4.2360780939914573</v>
      </c>
      <c r="D7" s="61">
        <f t="shared" si="1"/>
        <v>2.7925610933481972</v>
      </c>
      <c r="E7" s="111">
        <f t="shared" si="2"/>
        <v>6.1217420061644319</v>
      </c>
      <c r="F7" s="61">
        <f xml:space="preserve"> 19.777 * C7  - 0.4417*C7^2  - 71.937</f>
        <v>3.9138937048243037</v>
      </c>
      <c r="G7" s="61">
        <f xml:space="preserve"> G8/2</f>
        <v>4.2262244997902698</v>
      </c>
      <c r="H7" s="63">
        <f t="shared" ref="H7:H70" si="5">(G7/E7)*12/44</f>
        <v>0.18828083258006273</v>
      </c>
      <c r="I7" s="64">
        <f>G7*(1+KeyParameters!$B$37)*(1+KeyParameters!$B$34)</f>
        <v>6.3393367496854047</v>
      </c>
    </row>
    <row r="8" spans="1:9" x14ac:dyDescent="0.25">
      <c r="A8" s="61">
        <v>4</v>
      </c>
      <c r="B8" s="61">
        <f t="shared" si="4"/>
        <v>5.9860699999999998</v>
      </c>
      <c r="C8" s="61">
        <f t="shared" si="0"/>
        <v>4.5213632448573318</v>
      </c>
      <c r="D8" s="61">
        <f t="shared" si="1"/>
        <v>3.3185960228461218</v>
      </c>
      <c r="E8" s="111">
        <f t="shared" si="2"/>
        <v>8.6452674568373258</v>
      </c>
      <c r="F8" s="61">
        <f t="shared" si="3"/>
        <v>8.4524489995805396</v>
      </c>
      <c r="G8" s="61">
        <f xml:space="preserve"> F8</f>
        <v>8.4524489995805396</v>
      </c>
      <c r="H8" s="63">
        <f t="shared" si="5"/>
        <v>0.26664453992095177</v>
      </c>
      <c r="I8" s="64">
        <f>G8*(1+KeyParameters!$B$37)*(1+KeyParameters!$B$34)</f>
        <v>12.678673499370809</v>
      </c>
    </row>
    <row r="9" spans="1:9" x14ac:dyDescent="0.25">
      <c r="A9" s="61">
        <v>5</v>
      </c>
      <c r="B9" s="61">
        <f t="shared" si="4"/>
        <v>7.3789199999999999</v>
      </c>
      <c r="C9" s="61">
        <f t="shared" si="0"/>
        <v>4.8018433928852842</v>
      </c>
      <c r="D9" s="61">
        <f t="shared" si="1"/>
        <v>3.8292031029343168</v>
      </c>
      <c r="E9" s="111">
        <f t="shared" si="2"/>
        <v>11.510295176764613</v>
      </c>
      <c r="F9" s="61">
        <f t="shared" si="3"/>
        <v>12.844470704433348</v>
      </c>
      <c r="G9" s="61">
        <f t="shared" ref="G9:G70" si="6" xml:space="preserve"> F9+G8</f>
        <v>21.296919704013888</v>
      </c>
      <c r="H9" s="63">
        <f t="shared" si="5"/>
        <v>0.50461354284747761</v>
      </c>
      <c r="I9" s="64">
        <f>G9*(1+KeyParameters!$B$37)*(1+KeyParameters!$B$34)</f>
        <v>31.945379556020832</v>
      </c>
    </row>
    <row r="10" spans="1:9" x14ac:dyDescent="0.25">
      <c r="A10" s="61">
        <v>6</v>
      </c>
      <c r="B10" s="61">
        <f t="shared" si="4"/>
        <v>8.7873900000000003</v>
      </c>
      <c r="C10" s="61">
        <f t="shared" si="0"/>
        <v>5.0772287222491919</v>
      </c>
      <c r="D10" s="61">
        <f t="shared" si="1"/>
        <v>4.3238142610367722</v>
      </c>
      <c r="E10" s="111">
        <f t="shared" si="2"/>
        <v>14.6758652646968</v>
      </c>
      <c r="F10" s="61">
        <f t="shared" si="3"/>
        <v>17.089098753241473</v>
      </c>
      <c r="G10" s="61">
        <f t="shared" si="6"/>
        <v>38.386018457255361</v>
      </c>
      <c r="H10" s="63">
        <f t="shared" si="5"/>
        <v>0.71334220748736843</v>
      </c>
      <c r="I10" s="64">
        <f>G10*(1+KeyParameters!$B$37)*(1+KeyParameters!$B$34)</f>
        <v>57.579027685883041</v>
      </c>
    </row>
    <row r="11" spans="1:9" x14ac:dyDescent="0.25">
      <c r="A11" s="61">
        <v>7</v>
      </c>
      <c r="B11" s="61">
        <f t="shared" si="4"/>
        <v>10.21064</v>
      </c>
      <c r="C11" s="61">
        <f t="shared" si="0"/>
        <v>5.3472570393480057</v>
      </c>
      <c r="D11" s="61">
        <f t="shared" si="1"/>
        <v>4.8019382514433167</v>
      </c>
      <c r="E11" s="111">
        <f t="shared" si="2"/>
        <v>18.101009611979482</v>
      </c>
      <c r="F11" s="61">
        <f t="shared" si="3"/>
        <v>21.186104647112273</v>
      </c>
      <c r="G11" s="61">
        <f t="shared" si="6"/>
        <v>59.572123104367634</v>
      </c>
      <c r="H11" s="63">
        <f t="shared" si="5"/>
        <v>0.89757107548714299</v>
      </c>
      <c r="I11" s="64">
        <f>G11*(1+KeyParameters!$B$37)*(1+KeyParameters!$B$34)</f>
        <v>89.358184656551444</v>
      </c>
    </row>
    <row r="12" spans="1:9" x14ac:dyDescent="0.25">
      <c r="A12" s="61">
        <v>8</v>
      </c>
      <c r="B12" s="61">
        <f t="shared" si="4"/>
        <v>11.647829999999999</v>
      </c>
      <c r="C12" s="61">
        <f t="shared" si="0"/>
        <v>5.6116935943933495</v>
      </c>
      <c r="D12" s="61">
        <f t="shared" si="1"/>
        <v>5.2631599259988118</v>
      </c>
      <c r="E12" s="111">
        <f t="shared" si="2"/>
        <v>21.745169139212258</v>
      </c>
      <c r="F12" s="61">
        <f t="shared" si="3"/>
        <v>25.135843138985422</v>
      </c>
      <c r="G12" s="61">
        <f t="shared" si="6"/>
        <v>84.707966243353056</v>
      </c>
      <c r="H12" s="63">
        <f t="shared" si="5"/>
        <v>1.0624048249026616</v>
      </c>
      <c r="I12" s="64">
        <f>G12*(1+KeyParameters!$B$37)*(1+KeyParameters!$B$34)</f>
        <v>127.06194936502958</v>
      </c>
    </row>
    <row r="13" spans="1:9" x14ac:dyDescent="0.25">
      <c r="A13" s="61">
        <v>9</v>
      </c>
      <c r="B13" s="61">
        <f t="shared" si="4"/>
        <v>13.09812</v>
      </c>
      <c r="C13" s="61">
        <f t="shared" si="0"/>
        <v>5.8703308137804884</v>
      </c>
      <c r="D13" s="61">
        <f t="shared" si="1"/>
        <v>5.7071392478676106</v>
      </c>
      <c r="E13" s="111">
        <f t="shared" si="2"/>
        <v>25.568579139722438</v>
      </c>
      <c r="F13" s="61">
        <f t="shared" si="3"/>
        <v>28.939204271752146</v>
      </c>
      <c r="G13" s="61">
        <f t="shared" si="6"/>
        <v>113.6471705151052</v>
      </c>
      <c r="H13" s="63">
        <f t="shared" si="5"/>
        <v>1.2122176480117242</v>
      </c>
      <c r="I13" s="64">
        <f>G13*(1+KeyParameters!$B$37)*(1+KeyParameters!$B$34)</f>
        <v>170.47075577265778</v>
      </c>
    </row>
    <row r="14" spans="1:9" x14ac:dyDescent="0.25">
      <c r="A14" s="61">
        <v>10</v>
      </c>
      <c r="B14" s="61">
        <f t="shared" si="4"/>
        <v>14.560669999999998</v>
      </c>
      <c r="C14" s="61">
        <f t="shared" si="0"/>
        <v>6.1229879463664831</v>
      </c>
      <c r="D14" s="61">
        <f t="shared" si="1"/>
        <v>6.1336100577446135</v>
      </c>
      <c r="E14" s="111">
        <f t="shared" si="2"/>
        <v>29.532620287265718</v>
      </c>
      <c r="F14" s="61">
        <f t="shared" si="3"/>
        <v>32.597566134730982</v>
      </c>
      <c r="G14" s="61">
        <f t="shared" si="6"/>
        <v>146.24473664983617</v>
      </c>
      <c r="H14" s="63">
        <f t="shared" si="5"/>
        <v>1.3505380758383361</v>
      </c>
      <c r="I14" s="64">
        <f>G14*(1+KeyParameters!$B$37)*(1+KeyParameters!$B$34)</f>
        <v>219.36710497475423</v>
      </c>
    </row>
    <row r="15" spans="1:9" x14ac:dyDescent="0.25">
      <c r="A15" s="61">
        <v>11</v>
      </c>
      <c r="B15" s="61">
        <f t="shared" si="4"/>
        <v>16.03464</v>
      </c>
      <c r="C15" s="61">
        <f t="shared" si="0"/>
        <v>6.3695106269444866</v>
      </c>
      <c r="D15" s="61">
        <f t="shared" si="1"/>
        <v>6.5423786023799595</v>
      </c>
      <c r="E15" s="111">
        <f t="shared" si="2"/>
        <v>33.60013345485013</v>
      </c>
      <c r="F15" s="61">
        <f t="shared" si="3"/>
        <v>36.112748661741776</v>
      </c>
      <c r="G15" s="61">
        <f t="shared" si="6"/>
        <v>182.35748531157793</v>
      </c>
      <c r="H15" s="63">
        <f t="shared" si="5"/>
        <v>1.4801685147250907</v>
      </c>
      <c r="I15" s="64">
        <f>G15*(1+KeyParameters!$B$37)*(1+KeyParameters!$B$34)</f>
        <v>273.53622796736687</v>
      </c>
    </row>
    <row r="16" spans="1:9" x14ac:dyDescent="0.25">
      <c r="A16" s="61">
        <v>12</v>
      </c>
      <c r="B16" s="61">
        <f t="shared" si="4"/>
        <v>17.519190000000002</v>
      </c>
      <c r="C16" s="61">
        <f t="shared" si="0"/>
        <v>6.6097703603585307</v>
      </c>
      <c r="D16" s="61">
        <f t="shared" si="1"/>
        <v>6.9333218357502275</v>
      </c>
      <c r="E16" s="111">
        <f t="shared" si="2"/>
        <v>37.735697067301366</v>
      </c>
      <c r="F16" s="61">
        <f t="shared" si="3"/>
        <v>39.486968752305714</v>
      </c>
      <c r="G16" s="61">
        <f t="shared" si="6"/>
        <v>221.84445406388363</v>
      </c>
      <c r="H16" s="63">
        <f t="shared" si="5"/>
        <v>1.6033368303388422</v>
      </c>
      <c r="I16" s="64">
        <f>G16*(1+KeyParameters!$B$37)*(1+KeyParameters!$B$34)</f>
        <v>332.76668109582545</v>
      </c>
    </row>
    <row r="17" spans="1:9" x14ac:dyDescent="0.25">
      <c r="A17" s="61">
        <v>13</v>
      </c>
      <c r="B17" s="61">
        <f t="shared" si="4"/>
        <v>19.013480000000001</v>
      </c>
      <c r="C17" s="61">
        <f t="shared" si="0"/>
        <v>6.8436639298483994</v>
      </c>
      <c r="D17" s="61">
        <f t="shared" si="1"/>
        <v>7.3063855036450995</v>
      </c>
      <c r="E17" s="111">
        <f t="shared" si="2"/>
        <v>41.905866265382073</v>
      </c>
      <c r="F17" s="61">
        <f t="shared" si="3"/>
        <v>42.722796956166263</v>
      </c>
      <c r="G17" s="61">
        <f t="shared" si="6"/>
        <v>264.56725102004987</v>
      </c>
      <c r="H17" s="63">
        <f t="shared" si="5"/>
        <v>1.7218282606713728</v>
      </c>
      <c r="I17" s="64">
        <f>G17*(1+KeyParameters!$B$37)*(1+KeyParameters!$B$34)</f>
        <v>396.85087653007474</v>
      </c>
    </row>
    <row r="18" spans="1:9" x14ac:dyDescent="0.25">
      <c r="A18" s="61">
        <v>14</v>
      </c>
      <c r="B18" s="61">
        <f t="shared" si="4"/>
        <v>20.516669999999998</v>
      </c>
      <c r="C18" s="61">
        <f t="shared" si="0"/>
        <v>7.0711127333496382</v>
      </c>
      <c r="D18" s="61">
        <f t="shared" si="1"/>
        <v>7.6615820228444793</v>
      </c>
      <c r="E18" s="111">
        <f t="shared" si="2"/>
        <v>46.079373687827356</v>
      </c>
      <c r="F18" s="61">
        <f t="shared" si="3"/>
        <v>45.823115920861298</v>
      </c>
      <c r="G18" s="61">
        <f t="shared" si="6"/>
        <v>310.39036694091118</v>
      </c>
      <c r="H18" s="63">
        <f t="shared" si="5"/>
        <v>1.8370891677065997</v>
      </c>
      <c r="I18" s="64">
        <f>G18*(1+KeyParameters!$B$37)*(1+KeyParameters!$B$34)</f>
        <v>465.58555041136674</v>
      </c>
    </row>
    <row r="19" spans="1:9" x14ac:dyDescent="0.25">
      <c r="A19" s="61">
        <v>15</v>
      </c>
      <c r="B19" s="61">
        <f t="shared" si="4"/>
        <v>22.027919999999998</v>
      </c>
      <c r="C19" s="61">
        <f t="shared" si="0"/>
        <v>7.2920620515990846</v>
      </c>
      <c r="D19" s="61">
        <f t="shared" si="1"/>
        <v>7.9989881664373144</v>
      </c>
      <c r="E19" s="111">
        <f t="shared" si="2"/>
        <v>50.22729217414129</v>
      </c>
      <c r="F19" s="61">
        <f t="shared" si="3"/>
        <v>48.79108076291223</v>
      </c>
      <c r="G19" s="61">
        <f t="shared" si="6"/>
        <v>359.18144770382344</v>
      </c>
      <c r="H19" s="63">
        <f t="shared" si="5"/>
        <v>1.9503057482547248</v>
      </c>
      <c r="I19" s="64">
        <f>G19*(1+KeyParameters!$B$37)*(1+KeyParameters!$B$34)</f>
        <v>538.7721715557351</v>
      </c>
    </row>
    <row r="20" spans="1:9" x14ac:dyDescent="0.25">
      <c r="A20" s="61">
        <v>16</v>
      </c>
      <c r="B20" s="61">
        <f t="shared" si="4"/>
        <v>23.546389999999999</v>
      </c>
      <c r="C20" s="61">
        <f t="shared" si="0"/>
        <v>7.5064802520118068</v>
      </c>
      <c r="D20" s="61">
        <f t="shared" si="1"/>
        <v>8.3187425671798181</v>
      </c>
      <c r="E20" s="111">
        <f t="shared" si="2"/>
        <v>54.323160150722437</v>
      </c>
      <c r="F20" s="61">
        <f t="shared" si="3"/>
        <v>51.630081485730955</v>
      </c>
      <c r="G20" s="61">
        <f t="shared" si="6"/>
        <v>410.81152918955439</v>
      </c>
      <c r="H20" s="63">
        <f t="shared" si="5"/>
        <v>2.0624630019668975</v>
      </c>
      <c r="I20" s="64">
        <f>G20*(1+KeyParameters!$B$37)*(1+KeyParameters!$B$34)</f>
        <v>616.21729378433156</v>
      </c>
    </row>
    <row r="21" spans="1:9" x14ac:dyDescent="0.25">
      <c r="A21" s="61">
        <v>17</v>
      </c>
      <c r="B21" s="61">
        <f t="shared" si="4"/>
        <v>25.071240000000003</v>
      </c>
      <c r="C21" s="61">
        <f t="shared" si="0"/>
        <v>7.7143579324008735</v>
      </c>
      <c r="D21" s="61">
        <f t="shared" si="1"/>
        <v>8.6210430511071934</v>
      </c>
      <c r="E21" s="111">
        <f t="shared" si="2"/>
        <v>58.343070881899251</v>
      </c>
      <c r="F21" s="61">
        <f t="shared" si="3"/>
        <v>54.343707531920074</v>
      </c>
      <c r="G21" s="61">
        <f t="shared" si="6"/>
        <v>465.15523672147447</v>
      </c>
      <c r="H21" s="63">
        <f t="shared" si="5"/>
        <v>2.1743887866762037</v>
      </c>
      <c r="I21" s="64">
        <f>G21*(1+KeyParameters!$B$37)*(1+KeyParameters!$B$34)</f>
        <v>697.7328550822117</v>
      </c>
    </row>
    <row r="22" spans="1:9" x14ac:dyDescent="0.25">
      <c r="A22" s="61">
        <v>18</v>
      </c>
      <c r="B22" s="61">
        <f t="shared" si="4"/>
        <v>26.601630000000004</v>
      </c>
      <c r="C22" s="61">
        <f t="shared" si="0"/>
        <v>7.9157070087068107</v>
      </c>
      <c r="D22" s="61">
        <f t="shared" si="1"/>
        <v>8.9061438138996767</v>
      </c>
      <c r="E22" s="111">
        <f t="shared" si="2"/>
        <v>62.265727142582833</v>
      </c>
      <c r="F22" s="61">
        <f t="shared" si="3"/>
        <v>56.93571452454988</v>
      </c>
      <c r="G22" s="61">
        <f t="shared" si="6"/>
        <v>522.09095124602436</v>
      </c>
      <c r="H22" s="63">
        <f t="shared" si="5"/>
        <v>2.2867867731289668</v>
      </c>
      <c r="I22" s="64">
        <f>G22*(1+KeyParameters!$B$37)*(1+KeyParameters!$B$34)</f>
        <v>783.13642686903654</v>
      </c>
    </row>
    <row r="23" spans="1:9" x14ac:dyDescent="0.25">
      <c r="A23" s="61">
        <v>19</v>
      </c>
      <c r="B23" s="61">
        <f t="shared" si="4"/>
        <v>28.136719999999997</v>
      </c>
      <c r="C23" s="61">
        <f t="shared" si="0"/>
        <v>8.1105597509893439</v>
      </c>
      <c r="D23" s="61">
        <f t="shared" si="1"/>
        <v>9.1743524527604183</v>
      </c>
      <c r="E23" s="111">
        <f t="shared" si="2"/>
        <v>66.07246319806481</v>
      </c>
      <c r="F23" s="61">
        <f t="shared" si="3"/>
        <v>59.409993221487767</v>
      </c>
      <c r="G23" s="61">
        <f t="shared" si="6"/>
        <v>581.50094446751211</v>
      </c>
      <c r="H23" s="63">
        <f t="shared" si="5"/>
        <v>2.4002611526310229</v>
      </c>
      <c r="I23" s="64">
        <f>G23*(1+KeyParameters!$B$37)*(1+KeyParameters!$B$34)</f>
        <v>872.25141670126811</v>
      </c>
    </row>
    <row r="24" spans="1:9" x14ac:dyDescent="0.25">
      <c r="A24" s="61">
        <v>20</v>
      </c>
      <c r="B24" s="61">
        <f t="shared" si="4"/>
        <v>29.675669999999997</v>
      </c>
      <c r="C24" s="61">
        <f t="shared" si="0"/>
        <v>8.2989677720094885</v>
      </c>
      <c r="D24" s="61">
        <f t="shared" si="1"/>
        <v>9.4260268667896341</v>
      </c>
      <c r="E24" s="111">
        <f t="shared" si="2"/>
        <v>69.747236257350409</v>
      </c>
      <c r="F24" s="61">
        <f t="shared" si="3"/>
        <v>61.770540679119293</v>
      </c>
      <c r="G24" s="61">
        <f t="shared" si="6"/>
        <v>643.27148514663145</v>
      </c>
      <c r="H24" s="63">
        <f t="shared" si="5"/>
        <v>2.5153351900559984</v>
      </c>
      <c r="I24" s="64">
        <f>G24*(1+KeyParameters!$B$37)*(1+KeyParameters!$B$34)</f>
        <v>964.90722771994717</v>
      </c>
    </row>
    <row r="25" spans="1:9" x14ac:dyDescent="0.25">
      <c r="A25" s="61">
        <v>21</v>
      </c>
      <c r="B25" s="61">
        <f t="shared" si="4"/>
        <v>31.217639999999996</v>
      </c>
      <c r="C25" s="61">
        <f t="shared" si="0"/>
        <v>8.4810009727958597</v>
      </c>
      <c r="D25" s="61">
        <f t="shared" si="1"/>
        <v>9.661572039036475</v>
      </c>
      <c r="E25" s="111">
        <f t="shared" si="2"/>
        <v>73.276589798410782</v>
      </c>
      <c r="F25" s="61">
        <f t="shared" si="3"/>
        <v>64.021433596984465</v>
      </c>
      <c r="G25" s="61">
        <f t="shared" si="6"/>
        <v>707.29291874361593</v>
      </c>
      <c r="H25" s="63">
        <f t="shared" si="5"/>
        <v>2.6324651471764104</v>
      </c>
      <c r="I25" s="64">
        <f>G25*(1+KeyParameters!$B$37)*(1+KeyParameters!$B$34)</f>
        <v>1060.9393781154238</v>
      </c>
    </row>
    <row r="26" spans="1:9" x14ac:dyDescent="0.25">
      <c r="A26" s="61">
        <v>22</v>
      </c>
      <c r="B26" s="61">
        <f t="shared" si="4"/>
        <v>32.761789999999998</v>
      </c>
      <c r="C26" s="61">
        <f t="shared" si="0"/>
        <v>8.6567464496446949</v>
      </c>
      <c r="D26" s="61">
        <f t="shared" si="1"/>
        <v>9.8814367135772017</v>
      </c>
      <c r="E26" s="111">
        <f t="shared" si="2"/>
        <v>76.649591346678648</v>
      </c>
      <c r="F26" s="61">
        <f t="shared" si="3"/>
        <v>66.166803793052438</v>
      </c>
      <c r="G26" s="61">
        <f t="shared" si="6"/>
        <v>773.45972253666832</v>
      </c>
      <c r="H26" s="63">
        <f t="shared" si="5"/>
        <v>2.7520506891907801</v>
      </c>
      <c r="I26" s="64">
        <f>G26*(1+KeyParameters!$B$37)*(1+KeyParameters!$B$34)</f>
        <v>1160.1895838050025</v>
      </c>
    </row>
    <row r="27" spans="1:9" x14ac:dyDescent="0.25">
      <c r="A27" s="61">
        <v>23</v>
      </c>
      <c r="B27" s="61">
        <f t="shared" si="4"/>
        <v>34.307279999999999</v>
      </c>
      <c r="C27" s="61">
        <f t="shared" si="0"/>
        <v>8.8263073670489085</v>
      </c>
      <c r="D27" s="61">
        <f t="shared" si="1"/>
        <v>10.08610998110551</v>
      </c>
      <c r="E27" s="111">
        <f t="shared" si="2"/>
        <v>79.857747422500623</v>
      </c>
      <c r="F27" s="61">
        <f t="shared" si="3"/>
        <v>68.210815740618713</v>
      </c>
      <c r="G27" s="61">
        <f t="shared" si="6"/>
        <v>841.67053827728705</v>
      </c>
      <c r="H27" s="63">
        <f t="shared" si="5"/>
        <v>2.8744425913343927</v>
      </c>
      <c r="I27" s="64">
        <f>G27*(1+KeyParameters!$B$37)*(1+KeyParameters!$B$34)</f>
        <v>1262.5058074159306</v>
      </c>
    </row>
    <row r="28" spans="1:9" x14ac:dyDescent="0.25">
      <c r="A28" s="61">
        <v>24</v>
      </c>
      <c r="B28" s="61">
        <f t="shared" si="4"/>
        <v>35.853270000000002</v>
      </c>
      <c r="C28" s="61">
        <f t="shared" si="0"/>
        <v>8.9898018010872143</v>
      </c>
      <c r="D28" s="61">
        <f t="shared" si="1"/>
        <v>10.276117786628252</v>
      </c>
      <c r="E28" s="111">
        <f t="shared" si="2"/>
        <v>82.894898460256158</v>
      </c>
      <c r="F28" s="61">
        <f t="shared" si="3"/>
        <v>70.157646082137447</v>
      </c>
      <c r="G28" s="61">
        <f t="shared" si="6"/>
        <v>911.82818435942454</v>
      </c>
      <c r="H28" s="63">
        <f t="shared" si="5"/>
        <v>2.9999483506869384</v>
      </c>
      <c r="I28" s="64">
        <f>G28*(1+KeyParameters!$B$37)*(1+KeyParameters!$B$34)</f>
        <v>1367.7422765391368</v>
      </c>
    </row>
    <row r="29" spans="1:9" x14ac:dyDescent="0.25">
      <c r="A29" s="61">
        <v>25</v>
      </c>
      <c r="B29" s="61">
        <f t="shared" si="4"/>
        <v>37.398920000000004</v>
      </c>
      <c r="C29" s="61">
        <f t="shared" si="0"/>
        <v>9.1473615578303047</v>
      </c>
      <c r="D29" s="61">
        <f t="shared" si="1"/>
        <v>10.452019372937382</v>
      </c>
      <c r="E29" s="111">
        <f t="shared" si="2"/>
        <v>85.757096543222815</v>
      </c>
      <c r="F29" s="61">
        <f t="shared" si="3"/>
        <v>72.011465022655969</v>
      </c>
      <c r="G29" s="61">
        <f t="shared" si="6"/>
        <v>983.83964938208055</v>
      </c>
      <c r="H29" s="63">
        <f t="shared" si="5"/>
        <v>3.1288361569201908</v>
      </c>
      <c r="I29" s="64">
        <f>G29*(1+KeyParameters!$B$37)*(1+KeyParameters!$B$34)</f>
        <v>1475.7594740731206</v>
      </c>
    </row>
    <row r="30" spans="1:9" x14ac:dyDescent="0.25">
      <c r="A30" s="61">
        <v>26</v>
      </c>
      <c r="B30" s="61">
        <f t="shared" si="4"/>
        <v>38.943390000000008</v>
      </c>
      <c r="C30" s="61">
        <f t="shared" si="0"/>
        <v>9.2991309713368295</v>
      </c>
      <c r="D30" s="61">
        <f t="shared" si="1"/>
        <v>10.614403673576488</v>
      </c>
      <c r="E30" s="111">
        <f t="shared" si="2"/>
        <v>88.442468796322729</v>
      </c>
      <c r="F30" s="61">
        <f t="shared" si="3"/>
        <v>73.776419495817592</v>
      </c>
      <c r="G30" s="61">
        <f t="shared" si="6"/>
        <v>1057.6160688778982</v>
      </c>
      <c r="H30" s="63">
        <f t="shared" si="5"/>
        <v>3.2613375676098428</v>
      </c>
      <c r="I30" s="64">
        <f>G30*(1+KeyParameters!$B$37)*(1+KeyParameters!$B$34)</f>
        <v>1586.4241033168473</v>
      </c>
    </row>
    <row r="31" spans="1:9" x14ac:dyDescent="0.25">
      <c r="A31" s="61">
        <v>27</v>
      </c>
      <c r="B31" s="61">
        <f t="shared" si="4"/>
        <v>40.485840000000003</v>
      </c>
      <c r="C31" s="61">
        <f t="shared" si="0"/>
        <v>9.4452656858179758</v>
      </c>
      <c r="D31" s="61">
        <f t="shared" si="1"/>
        <v>10.763885669038189</v>
      </c>
      <c r="E31" s="111">
        <f t="shared" si="2"/>
        <v>90.951069236458665</v>
      </c>
      <c r="F31" s="61">
        <f t="shared" si="3"/>
        <v>75.456617988529601</v>
      </c>
      <c r="G31" s="61">
        <f t="shared" si="6"/>
        <v>1133.0726868664278</v>
      </c>
      <c r="H31" s="63">
        <f t="shared" si="5"/>
        <v>3.3976491566849023</v>
      </c>
      <c r="I31" s="64">
        <f>G31*(1+KeyParameters!$B$37)*(1+KeyParameters!$B$34)</f>
        <v>1699.6090302996417</v>
      </c>
    </row>
    <row r="32" spans="1:9" x14ac:dyDescent="0.25">
      <c r="A32" s="61">
        <v>28</v>
      </c>
      <c r="B32" s="61">
        <f t="shared" si="4"/>
        <v>42.025430000000007</v>
      </c>
      <c r="C32" s="61">
        <f t="shared" si="0"/>
        <v>9.5859314265453079</v>
      </c>
      <c r="D32" s="61">
        <f t="shared" si="1"/>
        <v>10.90110271991645</v>
      </c>
      <c r="E32" s="111">
        <f t="shared" si="2"/>
        <v>93.284721800483325</v>
      </c>
      <c r="F32" s="61">
        <f t="shared" si="3"/>
        <v>77.056116906203286</v>
      </c>
      <c r="G32" s="61">
        <f t="shared" si="6"/>
        <v>1210.128803772631</v>
      </c>
      <c r="H32" s="63">
        <f t="shared" si="5"/>
        <v>3.537933349980968</v>
      </c>
      <c r="I32" s="64">
        <f>G32*(1+KeyParameters!$B$37)*(1+KeyParameters!$B$34)</f>
        <v>1815.1932056589465</v>
      </c>
    </row>
    <row r="33" spans="1:9" x14ac:dyDescent="0.25">
      <c r="A33" s="61">
        <v>29</v>
      </c>
      <c r="B33" s="61">
        <f t="shared" si="4"/>
        <v>43.561320000000009</v>
      </c>
      <c r="C33" s="61">
        <f t="shared" si="0"/>
        <v>9.7213027640626084</v>
      </c>
      <c r="D33" s="61">
        <f t="shared" si="1"/>
        <v>11.02671089069605</v>
      </c>
      <c r="E33" s="111">
        <f t="shared" si="2"/>
        <v>95.446857157590983</v>
      </c>
      <c r="F33" s="61">
        <f t="shared" si="3"/>
        <v>78.578908358782869</v>
      </c>
      <c r="G33" s="61">
        <f t="shared" si="6"/>
        <v>1288.7077121314139</v>
      </c>
      <c r="H33" s="63">
        <f t="shared" si="5"/>
        <v>3.6823186235656098</v>
      </c>
      <c r="I33" s="64">
        <f>G33*(1+KeyParameters!$B$37)*(1+KeyParameters!$B$34)</f>
        <v>1933.0615681971208</v>
      </c>
    </row>
    <row r="34" spans="1:9" x14ac:dyDescent="0.25">
      <c r="A34" s="61">
        <v>30</v>
      </c>
      <c r="B34" s="61">
        <f t="shared" si="4"/>
        <v>45.092669999999998</v>
      </c>
      <c r="C34" s="61">
        <f t="shared" si="0"/>
        <v>9.8515618762385024</v>
      </c>
      <c r="D34" s="61">
        <f t="shared" si="1"/>
        <v>11.141381277789478</v>
      </c>
      <c r="E34" s="111">
        <f t="shared" si="2"/>
        <v>97.442345770006156</v>
      </c>
      <c r="F34" s="61">
        <f t="shared" si="3"/>
        <v>80.028909248390008</v>
      </c>
      <c r="G34" s="61">
        <f t="shared" si="6"/>
        <v>1368.7366213798039</v>
      </c>
      <c r="H34" s="63">
        <f t="shared" si="5"/>
        <v>3.8308992141049107</v>
      </c>
      <c r="I34" s="64">
        <f>G34*(1+KeyParameters!$B$37)*(1+KeyParameters!$B$34)</f>
        <v>2053.1049320697057</v>
      </c>
    </row>
    <row r="35" spans="1:9" x14ac:dyDescent="0.25">
      <c r="A35" s="61">
        <v>31</v>
      </c>
      <c r="B35" s="61">
        <f t="shared" si="4"/>
        <v>46.618640000000006</v>
      </c>
      <c r="C35" s="61">
        <f t="shared" si="0"/>
        <v>9.9768973126627305</v>
      </c>
      <c r="D35" s="61">
        <f t="shared" si="1"/>
        <v>11.245796355329889</v>
      </c>
      <c r="E35" s="111">
        <f t="shared" si="2"/>
        <v>99.277329497457544</v>
      </c>
      <c r="F35" s="61">
        <f t="shared" si="3"/>
        <v>81.409951542088848</v>
      </c>
      <c r="G35" s="61">
        <f t="shared" si="6"/>
        <v>1450.1465729218928</v>
      </c>
      <c r="H35" s="63">
        <f t="shared" si="5"/>
        <v>3.9837344728125212</v>
      </c>
      <c r="I35" s="64">
        <f>G35*(1+KeyParameters!$B$37)*(1+KeyParameters!$B$34)</f>
        <v>2175.2198593828389</v>
      </c>
    </row>
    <row r="36" spans="1:9" x14ac:dyDescent="0.25">
      <c r="A36" s="61">
        <v>32</v>
      </c>
      <c r="B36" s="61">
        <f t="shared" si="4"/>
        <v>48.138390000000008</v>
      </c>
      <c r="C36" s="61">
        <f t="shared" si="0"/>
        <v>10.097502765845038</v>
      </c>
      <c r="D36" s="61">
        <f t="shared" si="1"/>
        <v>11.340646352097114</v>
      </c>
      <c r="E36" s="111">
        <f t="shared" si="2"/>
        <v>100.95905385141685</v>
      </c>
      <c r="F36" s="61">
        <f t="shared" si="3"/>
        <v>82.72577361778751</v>
      </c>
      <c r="G36" s="61">
        <f t="shared" si="6"/>
        <v>1532.8723465396804</v>
      </c>
      <c r="H36" s="63">
        <f t="shared" si="5"/>
        <v>4.1408479830455045</v>
      </c>
      <c r="I36" s="64">
        <f>G36*(1+KeyParameters!$B$37)*(1+KeyParameters!$B$34)</f>
        <v>2299.3085198095205</v>
      </c>
    </row>
    <row r="37" spans="1:9" x14ac:dyDescent="0.25">
      <c r="A37" s="61">
        <v>33</v>
      </c>
      <c r="B37" s="61">
        <f t="shared" si="4"/>
        <v>49.65108</v>
      </c>
      <c r="C37" s="61">
        <f t="shared" si="0"/>
        <v>10.213575853621981</v>
      </c>
      <c r="D37" s="61">
        <f t="shared" si="1"/>
        <v>11.426625672792412</v>
      </c>
      <c r="E37" s="111">
        <f t="shared" si="2"/>
        <v>102.49570279890312</v>
      </c>
      <c r="F37" s="61">
        <f t="shared" si="3"/>
        <v>83.980012577378275</v>
      </c>
      <c r="G37" s="61">
        <f t="shared" si="6"/>
        <v>1616.8523591170588</v>
      </c>
      <c r="H37" s="63">
        <f t="shared" si="5"/>
        <v>4.3022265545104537</v>
      </c>
      <c r="I37" s="64">
        <f>G37*(1+KeyParameters!$B$37)*(1+KeyParameters!$B$34)</f>
        <v>2425.2785386755882</v>
      </c>
    </row>
    <row r="38" spans="1:9" x14ac:dyDescent="0.25">
      <c r="A38" s="61">
        <v>34</v>
      </c>
      <c r="B38" s="61">
        <f t="shared" si="4"/>
        <v>51.155870000000007</v>
      </c>
      <c r="C38" s="61">
        <f t="shared" si="0"/>
        <v>10.325316917112946</v>
      </c>
      <c r="D38" s="61">
        <f t="shared" si="1"/>
        <v>11.504429376686089</v>
      </c>
      <c r="E38" s="111">
        <f t="shared" si="2"/>
        <v>103.89623779727893</v>
      </c>
      <c r="F38" s="61">
        <f t="shared" si="3"/>
        <v>85.176197428616476</v>
      </c>
      <c r="G38" s="61">
        <f t="shared" si="6"/>
        <v>1702.0285565456752</v>
      </c>
      <c r="H38" s="63">
        <f t="shared" si="5"/>
        <v>4.4678192028123274</v>
      </c>
      <c r="I38" s="64">
        <f>G38*(1+KeyParameters!$B$37)*(1+KeyParameters!$B$34)</f>
        <v>2553.0428348185128</v>
      </c>
    </row>
    <row r="39" spans="1:9" x14ac:dyDescent="0.25">
      <c r="A39" s="61">
        <v>35</v>
      </c>
      <c r="B39" s="61">
        <f t="shared" si="4"/>
        <v>52.651920000000004</v>
      </c>
      <c r="C39" s="61">
        <f t="shared" si="0"/>
        <v>10.432927838493153</v>
      </c>
      <c r="D39" s="61">
        <f t="shared" si="1"/>
        <v>11.574749726441134</v>
      </c>
      <c r="E39" s="111">
        <f t="shared" si="2"/>
        <v>105.17024251535305</v>
      </c>
      <c r="F39" s="61">
        <f t="shared" si="3"/>
        <v>86.317743045687294</v>
      </c>
      <c r="G39" s="61">
        <f t="shared" si="6"/>
        <v>1788.3462995913626</v>
      </c>
      <c r="H39" s="63">
        <f t="shared" si="5"/>
        <v>4.6375362204595296</v>
      </c>
      <c r="I39" s="64">
        <f>G39*(1+KeyParameters!$B$37)*(1+KeyParameters!$B$34)</f>
        <v>2682.5194493870436</v>
      </c>
    </row>
    <row r="40" spans="1:9" x14ac:dyDescent="0.25">
      <c r="A40" s="61">
        <v>36</v>
      </c>
      <c r="B40" s="61">
        <f t="shared" si="4"/>
        <v>54.138390000000001</v>
      </c>
      <c r="C40" s="61">
        <f t="shared" si="0"/>
        <v>10.536610882767617</v>
      </c>
      <c r="D40" s="61">
        <f t="shared" si="1"/>
        <v>11.638272819664845</v>
      </c>
      <c r="E40" s="111">
        <f t="shared" si="2"/>
        <v>106.32777446658537</v>
      </c>
      <c r="F40" s="61">
        <f t="shared" si="3"/>
        <v>87.407944827636825</v>
      </c>
      <c r="G40" s="61">
        <f t="shared" si="6"/>
        <v>1875.7542444189994</v>
      </c>
      <c r="H40" s="63">
        <f t="shared" si="5"/>
        <v>4.8112484433478473</v>
      </c>
      <c r="I40" s="64">
        <f>G40*(1+KeyParameters!$B$37)*(1+KeyParameters!$B$34)</f>
        <v>2813.6313666284991</v>
      </c>
    </row>
    <row r="41" spans="1:9" x14ac:dyDescent="0.25">
      <c r="A41" s="61">
        <v>37</v>
      </c>
      <c r="B41" s="61">
        <f t="shared" si="4"/>
        <v>55.614440000000002</v>
      </c>
      <c r="C41" s="61">
        <f t="shared" si="0"/>
        <v>10.63656756763638</v>
      </c>
      <c r="D41" s="61">
        <f t="shared" si="1"/>
        <v>11.695675315459471</v>
      </c>
      <c r="E41" s="111">
        <f t="shared" si="2"/>
        <v>107.3792245514487</v>
      </c>
      <c r="F41" s="61">
        <f t="shared" si="3"/>
        <v>88.449973983595797</v>
      </c>
      <c r="G41" s="61">
        <f t="shared" si="6"/>
        <v>1964.2042184025952</v>
      </c>
      <c r="H41" s="63">
        <f t="shared" si="5"/>
        <v>4.988786814228459</v>
      </c>
      <c r="I41" s="64">
        <f>G41*(1+KeyParameters!$B$37)*(1+KeyParameters!$B$34)</f>
        <v>2946.3063276038924</v>
      </c>
    </row>
    <row r="42" spans="1:9" x14ac:dyDescent="0.25">
      <c r="A42" s="61">
        <v>38</v>
      </c>
      <c r="B42" s="61">
        <f t="shared" si="4"/>
        <v>57.07923000000001</v>
      </c>
      <c r="C42" s="61">
        <f t="shared" si="0"/>
        <v>10.73299756543784</v>
      </c>
      <c r="D42" s="61">
        <f t="shared" si="1"/>
        <v>11.747621267932123</v>
      </c>
      <c r="E42" s="111">
        <f t="shared" si="2"/>
        <v>108.33518528199535</v>
      </c>
      <c r="F42" s="61">
        <f t="shared" si="3"/>
        <v>89.44687338374105</v>
      </c>
      <c r="G42" s="61">
        <f t="shared" si="6"/>
        <v>2053.6510917863361</v>
      </c>
      <c r="H42" s="63">
        <f t="shared" si="5"/>
        <v>5.169942340878209</v>
      </c>
      <c r="I42" s="64">
        <f>G42*(1+KeyParameters!$B$37)*(1+KeyParameters!$B$34)</f>
        <v>3080.4766376795042</v>
      </c>
    </row>
    <row r="43" spans="1:9" ht="15.75" customHeight="1" x14ac:dyDescent="0.25">
      <c r="A43" s="61">
        <v>39</v>
      </c>
      <c r="B43" s="61">
        <f t="shared" si="4"/>
        <v>58.53192</v>
      </c>
      <c r="C43" s="61">
        <f t="shared" si="0"/>
        <v>10.826097641043276</v>
      </c>
      <c r="D43" s="61">
        <f t="shared" si="1"/>
        <v>11.794759078283494</v>
      </c>
      <c r="E43" s="111">
        <f t="shared" si="2"/>
        <v>109.20632824607948</v>
      </c>
      <c r="F43" s="61">
        <f t="shared" si="3"/>
        <v>90.401553924988875</v>
      </c>
      <c r="G43" s="61">
        <f t="shared" si="6"/>
        <v>2144.0526457113251</v>
      </c>
      <c r="H43" s="63">
        <f t="shared" si="5"/>
        <v>5.3544665409033705</v>
      </c>
      <c r="I43" s="64">
        <f>G43*(1+KeyParameters!$B$37)*(1+KeyParameters!$B$34)</f>
        <v>3216.0789685669874</v>
      </c>
    </row>
    <row r="44" spans="1:9" x14ac:dyDescent="0.25">
      <c r="A44" s="61">
        <v>40</v>
      </c>
      <c r="B44" s="61">
        <f t="shared" si="4"/>
        <v>59.971669999999996</v>
      </c>
      <c r="C44" s="61">
        <f t="shared" si="0"/>
        <v>10.916060629452286</v>
      </c>
      <c r="D44" s="61">
        <f t="shared" si="1"/>
        <v>11.837718576724427</v>
      </c>
      <c r="E44" s="111">
        <f t="shared" si="2"/>
        <v>110.00329116485538</v>
      </c>
      <c r="F44" s="61">
        <f t="shared" si="3"/>
        <v>91.316791370259423</v>
      </c>
      <c r="G44" s="61">
        <f t="shared" si="6"/>
        <v>2235.3694370815847</v>
      </c>
      <c r="H44" s="63">
        <f t="shared" si="5"/>
        <v>5.5420724567187634</v>
      </c>
      <c r="I44" s="64">
        <f>G44*(1+KeyParameters!$B$37)*(1+KeyParameters!$B$34)</f>
        <v>3353.054155622377</v>
      </c>
    </row>
    <row r="45" spans="1:9" x14ac:dyDescent="0.25">
      <c r="A45" s="61">
        <v>41</v>
      </c>
      <c r="B45" s="61">
        <f t="shared" si="4"/>
        <v>61.39764000000001</v>
      </c>
      <c r="C45" s="61">
        <f t="shared" si="0"/>
        <v>11.003074456705297</v>
      </c>
      <c r="D45" s="61">
        <f t="shared" si="1"/>
        <v>11.877108245068786</v>
      </c>
      <c r="E45" s="111">
        <f t="shared" si="2"/>
        <v>110.73657470808855</v>
      </c>
      <c r="F45" s="61">
        <f t="shared" si="3"/>
        <v>92.195223629598743</v>
      </c>
      <c r="G45" s="61">
        <f t="shared" si="6"/>
        <v>2327.5646607111835</v>
      </c>
      <c r="H45" s="63">
        <f t="shared" si="5"/>
        <v>5.7324363128036486</v>
      </c>
      <c r="I45" s="64">
        <f>G45*(1+KeyParameters!$B$37)*(1+KeyParameters!$B$34)</f>
        <v>3491.346991066775</v>
      </c>
    </row>
    <row r="46" spans="1:9" x14ac:dyDescent="0.25">
      <c r="A46" s="61">
        <v>42</v>
      </c>
      <c r="B46" s="61">
        <f t="shared" si="4"/>
        <v>62.808989999999994</v>
      </c>
      <c r="C46" s="61">
        <f t="shared" si="0"/>
        <v>11.087321207585902</v>
      </c>
      <c r="D46" s="61">
        <f t="shared" si="1"/>
        <v>11.913512590420988</v>
      </c>
      <c r="E46" s="111">
        <f t="shared" si="2"/>
        <v>111.41644906006373</v>
      </c>
      <c r="F46" s="61">
        <f t="shared" si="3"/>
        <v>93.039348460293084</v>
      </c>
      <c r="G46" s="61">
        <f t="shared" si="6"/>
        <v>2420.6040091714767</v>
      </c>
      <c r="H46" s="63">
        <f t="shared" si="5"/>
        <v>5.9251998725802997</v>
      </c>
      <c r="I46" s="64">
        <f>G46*(1+KeyParameters!$B$37)*(1+KeyParameters!$B$34)</f>
        <v>3630.9060137572151</v>
      </c>
    </row>
    <row r="47" spans="1:9" x14ac:dyDescent="0.25">
      <c r="A47" s="61">
        <v>43</v>
      </c>
      <c r="B47" s="61">
        <f t="shared" si="4"/>
        <v>64.204880000000003</v>
      </c>
      <c r="C47" s="61">
        <f t="shared" si="0"/>
        <v>11.168976243432436</v>
      </c>
      <c r="D47" s="61">
        <f t="shared" si="1"/>
        <v>11.947489679916245</v>
      </c>
      <c r="E47" s="111">
        <f t="shared" si="2"/>
        <v>112.05287007658856</v>
      </c>
      <c r="F47" s="61">
        <f t="shared" si="3"/>
        <v>93.851521571210938</v>
      </c>
      <c r="G47" s="61">
        <f t="shared" si="6"/>
        <v>2514.4555307426876</v>
      </c>
      <c r="H47" s="63">
        <f t="shared" si="5"/>
        <v>6.119973534142769</v>
      </c>
      <c r="I47" s="64">
        <f>G47*(1+KeyParameters!$B$37)*(1+KeyParameters!$B$34)</f>
        <v>3771.6832961140312</v>
      </c>
    </row>
    <row r="48" spans="1:9" x14ac:dyDescent="0.25">
      <c r="A48" s="61">
        <v>44</v>
      </c>
      <c r="B48" s="61">
        <f t="shared" si="4"/>
        <v>65.58447000000001</v>
      </c>
      <c r="C48" s="61">
        <f t="shared" si="0"/>
        <v>11.248207373214678</v>
      </c>
      <c r="D48" s="61">
        <f t="shared" si="1"/>
        <v>11.979568845981518</v>
      </c>
      <c r="E48" s="111">
        <f t="shared" si="2"/>
        <v>112.65540474245461</v>
      </c>
      <c r="F48" s="61">
        <f t="shared" si="3"/>
        <v>94.633955123808235</v>
      </c>
      <c r="G48" s="61">
        <f t="shared" si="6"/>
        <v>2609.089485866496</v>
      </c>
      <c r="H48" s="63">
        <f t="shared" si="5"/>
        <v>6.3163401827769912</v>
      </c>
      <c r="I48" s="64">
        <f>G48*(1+KeyParameters!$B$37)*(1+KeyParameters!$B$34)</f>
        <v>3913.6342287997441</v>
      </c>
    </row>
    <row r="49" spans="1:9" x14ac:dyDescent="0.25">
      <c r="A49" s="61">
        <v>45</v>
      </c>
      <c r="B49" s="61">
        <f t="shared" si="4"/>
        <v>66.946920000000006</v>
      </c>
      <c r="C49" s="61">
        <f t="shared" si="0"/>
        <v>11.325174080858559</v>
      </c>
      <c r="D49" s="61">
        <f t="shared" si="1"/>
        <v>12.01024857106534</v>
      </c>
      <c r="E49" s="111">
        <f t="shared" si="2"/>
        <v>113.23316552993998</v>
      </c>
      <c r="F49" s="61">
        <f t="shared" si="3"/>
        <v>95.388716628434551</v>
      </c>
      <c r="G49" s="61">
        <f t="shared" si="6"/>
        <v>2704.4782024949304</v>
      </c>
      <c r="H49" s="63">
        <f t="shared" si="5"/>
        <v>6.5138597942117435</v>
      </c>
      <c r="I49" s="64">
        <f>G49*(1+KeyParameters!$B$37)*(1+KeyParameters!$B$34)</f>
        <v>4056.7173037423954</v>
      </c>
    </row>
    <row r="50" spans="1:9" x14ac:dyDescent="0.25">
      <c r="A50" s="61">
        <v>46</v>
      </c>
      <c r="B50" s="61">
        <f t="shared" si="4"/>
        <v>68.291390000000007</v>
      </c>
      <c r="C50" s="61">
        <f t="shared" si="0"/>
        <v>11.400026811618142</v>
      </c>
      <c r="D50" s="61">
        <f t="shared" si="1"/>
        <v>12.039994560234815</v>
      </c>
      <c r="E50" s="111">
        <f t="shared" si="2"/>
        <v>113.79475317322989</v>
      </c>
      <c r="F50" s="61">
        <f t="shared" si="3"/>
        <v>96.117728239682961</v>
      </c>
      <c r="G50" s="61">
        <f t="shared" si="6"/>
        <v>2800.5959307346134</v>
      </c>
      <c r="H50" s="63">
        <f t="shared" si="5"/>
        <v>6.7120747565365972</v>
      </c>
      <c r="I50" s="64">
        <f>G50*(1+KeyParameters!$B$37)*(1+KeyParameters!$B$34)</f>
        <v>4200.8938961019194</v>
      </c>
    </row>
    <row r="51" spans="1:9" x14ac:dyDescent="0.25">
      <c r="A51" s="61">
        <v>47</v>
      </c>
      <c r="B51" s="61">
        <f t="shared" si="4"/>
        <v>69.617040000000017</v>
      </c>
      <c r="C51" s="61">
        <f t="shared" si="0"/>
        <v>11.472906320101204</v>
      </c>
      <c r="D51" s="61">
        <f t="shared" si="1"/>
        <v>12.069238009458424</v>
      </c>
      <c r="E51" s="111">
        <f t="shared" si="2"/>
        <v>114.34820731123042</v>
      </c>
      <c r="F51" s="61">
        <f t="shared" si="3"/>
        <v>96.822766458490847</v>
      </c>
      <c r="G51" s="61">
        <f t="shared" si="6"/>
        <v>2897.4186971931044</v>
      </c>
      <c r="H51" s="63">
        <f t="shared" si="5"/>
        <v>6.9105158516715539</v>
      </c>
      <c r="I51" s="64">
        <f>G51*(1+KeyParameters!$B$37)*(1+KeyParameters!$B$34)</f>
        <v>4346.1280457896564</v>
      </c>
    </row>
    <row r="52" spans="1:9" x14ac:dyDescent="0.25">
      <c r="A52" s="61">
        <v>48</v>
      </c>
      <c r="B52" s="61">
        <f t="shared" si="4"/>
        <v>70.923030000000011</v>
      </c>
      <c r="C52" s="61">
        <f t="shared" si="0"/>
        <v>11.543943082351444</v>
      </c>
      <c r="D52" s="61">
        <f t="shared" si="1"/>
        <v>12.098374076783813</v>
      </c>
      <c r="E52" s="111">
        <f t="shared" si="2"/>
        <v>114.90096441190876</v>
      </c>
      <c r="F52" s="61">
        <f t="shared" si="3"/>
        <v>97.505462251483252</v>
      </c>
      <c r="G52" s="61">
        <f t="shared" si="6"/>
        <v>2994.9241594445875</v>
      </c>
      <c r="H52" s="63">
        <f t="shared" si="5"/>
        <v>7.1087088103299347</v>
      </c>
      <c r="I52" s="64">
        <f>G52*(1+KeyParameters!$B$37)*(1+KeyParameters!$B$34)</f>
        <v>4492.3862391668818</v>
      </c>
    </row>
    <row r="53" spans="1:9" x14ac:dyDescent="0.25">
      <c r="A53" s="61">
        <v>49</v>
      </c>
      <c r="B53" s="61">
        <f t="shared" si="4"/>
        <v>72.208519999999993</v>
      </c>
      <c r="C53" s="61">
        <f t="shared" si="0"/>
        <v>11.613256774177167</v>
      </c>
      <c r="D53" s="61">
        <f t="shared" si="1"/>
        <v>12.127760562980205</v>
      </c>
      <c r="E53" s="111">
        <f t="shared" si="2"/>
        <v>115.4598223742877</v>
      </c>
      <c r="F53" s="61">
        <f t="shared" si="3"/>
        <v>98.167301599659154</v>
      </c>
      <c r="G53" s="61">
        <f t="shared" si="6"/>
        <v>3093.0914610442469</v>
      </c>
      <c r="H53" s="63">
        <f t="shared" si="5"/>
        <v>7.3061813288781874</v>
      </c>
      <c r="I53" s="64">
        <f>G53*(1+KeyParameters!$B$37)*(1+KeyParameters!$B$34)</f>
        <v>4639.6371915663703</v>
      </c>
    </row>
    <row r="54" spans="1:9" x14ac:dyDescent="0.25">
      <c r="A54" s="61">
        <v>50</v>
      </c>
      <c r="B54" s="61">
        <f t="shared" si="4"/>
        <v>73.472670000000008</v>
      </c>
      <c r="C54" s="61">
        <f t="shared" si="0"/>
        <v>11.680955817693331</v>
      </c>
      <c r="D54" s="61">
        <f t="shared" si="1"/>
        <v>12.157716807545947</v>
      </c>
      <c r="E54" s="111">
        <f t="shared" si="2"/>
        <v>116.03091120840091</v>
      </c>
      <c r="F54" s="61">
        <f t="shared" si="3"/>
        <v>98.809626488978054</v>
      </c>
      <c r="G54" s="61">
        <f t="shared" si="6"/>
        <v>3191.9010875332251</v>
      </c>
      <c r="H54" s="63">
        <f t="shared" si="5"/>
        <v>7.5024704137213112</v>
      </c>
      <c r="I54" s="64">
        <f>G54*(1+KeyParameters!$B$37)*(1+KeyParameters!$B$34)</f>
        <v>4787.8516312998372</v>
      </c>
    </row>
    <row r="55" spans="1:9" x14ac:dyDescent="0.25">
      <c r="A55" s="61">
        <v>51</v>
      </c>
      <c r="B55" s="61">
        <f t="shared" si="4"/>
        <v>74.714640000000003</v>
      </c>
      <c r="C55" s="61">
        <f t="shared" si="0"/>
        <v>11.747136997810635</v>
      </c>
      <c r="D55" s="61">
        <f t="shared" ref="D55:D84" si="7" xml:space="preserve"> 0.86933 +0.44502*B55 -
0.00617*B55^2 + 0.00003*B55^3</f>
        <v>12.188522805282405</v>
      </c>
      <c r="E55" s="111">
        <f t="shared" ref="E55:E84" si="8" xml:space="preserve">  3.14*(D55/2)^2</f>
        <v>116.61966921728808</v>
      </c>
      <c r="F55" s="61">
        <f t="shared" si="3"/>
        <v>99.433636354758036</v>
      </c>
      <c r="G55" s="61">
        <f t="shared" si="6"/>
        <v>3291.3347238879833</v>
      </c>
      <c r="H55" s="63">
        <f t="shared" si="5"/>
        <v>7.6971299001547182</v>
      </c>
      <c r="I55" s="64">
        <f>G55*(1+KeyParameters!$B$37)*(1+KeyParameters!$B$34)</f>
        <v>4937.0020858319749</v>
      </c>
    </row>
    <row r="56" spans="1:9" x14ac:dyDescent="0.25">
      <c r="A56" s="61">
        <v>52</v>
      </c>
      <c r="B56" s="61">
        <f t="shared" si="4"/>
        <v>75.933590000000009</v>
      </c>
      <c r="C56" s="61">
        <f t="shared" si="0"/>
        <v>11.811885150162487</v>
      </c>
      <c r="D56" s="61">
        <f t="shared" si="7"/>
        <v>12.220418547906405</v>
      </c>
      <c r="E56" s="111">
        <f t="shared" si="8"/>
        <v>117.2308241465217</v>
      </c>
      <c r="F56" s="61">
        <f t="shared" si="3"/>
        <v>100.04038999012566</v>
      </c>
      <c r="G56" s="61">
        <f t="shared" si="6"/>
        <v>3391.375113878109</v>
      </c>
      <c r="H56" s="63">
        <f t="shared" si="5"/>
        <v>7.8897379792118736</v>
      </c>
      <c r="I56" s="64">
        <f>G56*(1+KeyParameters!$B$37)*(1+KeyParameters!$B$34)</f>
        <v>5087.0626708171631</v>
      </c>
    </row>
    <row r="57" spans="1:9" x14ac:dyDescent="0.25">
      <c r="A57" s="61">
        <v>53</v>
      </c>
      <c r="B57" s="61">
        <f t="shared" si="4"/>
        <v>77.128680000000003</v>
      </c>
      <c r="C57" s="61">
        <f t="shared" si="0"/>
        <v>11.875272921707532</v>
      </c>
      <c r="D57" s="61">
        <f t="shared" si="7"/>
        <v>12.25360359441482</v>
      </c>
      <c r="E57" s="111">
        <f t="shared" si="8"/>
        <v>117.86837882350879</v>
      </c>
      <c r="F57" s="61">
        <f t="shared" si="3"/>
        <v>100.63080792615166</v>
      </c>
      <c r="G57" s="61">
        <f t="shared" si="6"/>
        <v>3492.0059218042607</v>
      </c>
      <c r="H57" s="63">
        <f t="shared" si="5"/>
        <v>8.0799045588570788</v>
      </c>
      <c r="I57" s="64">
        <f>G57*(1+KeyParameters!$B$37)*(1+KeyParameters!$B$34)</f>
        <v>5238.0088827063901</v>
      </c>
    </row>
    <row r="58" spans="1:9" x14ac:dyDescent="0.25">
      <c r="A58" s="61">
        <v>54</v>
      </c>
      <c r="B58" s="61">
        <f t="shared" si="4"/>
        <v>78.29907</v>
      </c>
      <c r="C58" s="61">
        <f t="shared" si="0"/>
        <v>11.937360604982725</v>
      </c>
      <c r="D58" s="61">
        <f t="shared" si="7"/>
        <v>12.288236873125497</v>
      </c>
      <c r="E58" s="111">
        <f t="shared" si="8"/>
        <v>118.53560087828225</v>
      </c>
      <c r="F58" s="61">
        <f t="shared" si="3"/>
        <v>101.20567528788744</v>
      </c>
      <c r="G58" s="61">
        <f t="shared" si="6"/>
        <v>3593.2115970921482</v>
      </c>
      <c r="H58" s="63">
        <f t="shared" si="5"/>
        <v>8.2672782855610105</v>
      </c>
      <c r="I58" s="64">
        <f>G58*(1+KeyParameters!$B$37)*(1+KeyParameters!$B$34)</f>
        <v>5389.8173956382225</v>
      </c>
    </row>
    <row r="59" spans="1:9" x14ac:dyDescent="0.25">
      <c r="A59" s="61">
        <v>55</v>
      </c>
      <c r="B59" s="61">
        <f t="shared" si="4"/>
        <v>79.44392000000002</v>
      </c>
      <c r="C59" s="61">
        <f t="shared" si="0"/>
        <v>11.998196046708784</v>
      </c>
      <c r="D59" s="61">
        <f t="shared" si="7"/>
        <v>12.324436717500815</v>
      </c>
      <c r="E59" s="111">
        <f t="shared" si="8"/>
        <v>119.23501621689059</v>
      </c>
      <c r="F59" s="61">
        <f t="shared" si="3"/>
        <v>101.76564512640807</v>
      </c>
      <c r="G59" s="61">
        <f t="shared" si="6"/>
        <v>3694.9772422185561</v>
      </c>
      <c r="H59" s="63">
        <f t="shared" si="5"/>
        <v>8.4515530590992149</v>
      </c>
      <c r="I59" s="64">
        <f>G59*(1+KeyParameters!$B$37)*(1+KeyParameters!$B$34)</f>
        <v>5542.4658633278341</v>
      </c>
    </row>
    <row r="60" spans="1:9" x14ac:dyDescent="0.25">
      <c r="A60" s="61">
        <v>56</v>
      </c>
      <c r="B60" s="61">
        <f t="shared" si="4"/>
        <v>80.562389999999994</v>
      </c>
      <c r="C60" s="61">
        <f t="shared" si="0"/>
        <v>12.057814631167307</v>
      </c>
      <c r="D60" s="61">
        <f t="shared" si="7"/>
        <v>12.362281137011124</v>
      </c>
      <c r="E60" s="111">
        <f t="shared" si="8"/>
        <v>119.96840600474331</v>
      </c>
      <c r="F60" s="61">
        <f t="shared" si="3"/>
        <v>102.3112422223199</v>
      </c>
      <c r="G60" s="61">
        <f t="shared" si="6"/>
        <v>3797.2884844408759</v>
      </c>
      <c r="H60" s="63">
        <f t="shared" si="5"/>
        <v>8.6324738871606943</v>
      </c>
      <c r="I60" s="64">
        <f>G60*(1+KeyParameters!$B$37)*(1+KeyParameters!$B$34)</f>
        <v>5695.9327266613136</v>
      </c>
    </row>
    <row r="61" spans="1:9" x14ac:dyDescent="0.25">
      <c r="A61" s="61">
        <v>57</v>
      </c>
      <c r="B61" s="61">
        <f t="shared" si="4"/>
        <v>81.653639999999996</v>
      </c>
      <c r="C61" s="61">
        <f t="shared" si="0"/>
        <v>12.116239338475802</v>
      </c>
      <c r="D61" s="61">
        <f t="shared" si="7"/>
        <v>12.401808323417104</v>
      </c>
      <c r="E61" s="111">
        <f t="shared" si="8"/>
        <v>120.73680700726054</v>
      </c>
      <c r="F61" s="61">
        <f t="shared" si="3"/>
        <v>102.84286735115309</v>
      </c>
      <c r="G61" s="61">
        <f t="shared" si="6"/>
        <v>3900.1313517920289</v>
      </c>
      <c r="H61" s="63">
        <f t="shared" si="5"/>
        <v>8.8098419464447772</v>
      </c>
      <c r="I61" s="64">
        <f>G61*(1+KeyParameters!$B$37)*(1+KeyParameters!$B$34)</f>
        <v>5850.1970276880429</v>
      </c>
    </row>
    <row r="62" spans="1:9" x14ac:dyDescent="0.25">
      <c r="A62" s="61">
        <v>58</v>
      </c>
      <c r="B62" s="61">
        <f t="shared" si="4"/>
        <v>82.716830000000002</v>
      </c>
      <c r="C62" s="61">
        <f t="shared" si="0"/>
        <v>12.173480877584232</v>
      </c>
      <c r="D62" s="61">
        <f t="shared" si="7"/>
        <v>12.443017391941858</v>
      </c>
      <c r="E62" s="111">
        <f t="shared" si="8"/>
        <v>121.54051522569152</v>
      </c>
      <c r="F62" s="61">
        <f t="shared" si="3"/>
        <v>103.3608019957927</v>
      </c>
      <c r="G62" s="61">
        <f t="shared" si="6"/>
        <v>4003.4921537878217</v>
      </c>
      <c r="H62" s="63">
        <f t="shared" si="5"/>
        <v>8.9835187423723184</v>
      </c>
      <c r="I62" s="64">
        <f>G62*(1+KeyParameters!$B$37)*(1+KeyParameters!$B$34)</f>
        <v>6005.2382306817326</v>
      </c>
    </row>
    <row r="63" spans="1:9" x14ac:dyDescent="0.25">
      <c r="A63" s="61">
        <v>59</v>
      </c>
      <c r="B63" s="61">
        <f t="shared" si="4"/>
        <v>83.751119999999986</v>
      </c>
      <c r="C63" s="61">
        <f t="shared" si="0"/>
        <v>12.22953789350403</v>
      </c>
      <c r="D63" s="61">
        <f t="shared" si="7"/>
        <v>12.485869355865432</v>
      </c>
      <c r="E63" s="111">
        <f t="shared" si="8"/>
        <v>122.37909285381548</v>
      </c>
      <c r="F63" s="61">
        <f t="shared" si="3"/>
        <v>103.86521348577209</v>
      </c>
      <c r="G63" s="61">
        <f t="shared" si="6"/>
        <v>4107.3573672735938</v>
      </c>
      <c r="H63" s="63">
        <f t="shared" si="5"/>
        <v>9.153429289028054</v>
      </c>
      <c r="I63" s="64">
        <f>G63*(1+KeyParameters!$B$37)*(1+KeyParameters!$B$34)</f>
        <v>6161.0360509103912</v>
      </c>
    </row>
    <row r="64" spans="1:9" x14ac:dyDescent="0.25">
      <c r="A64" s="61">
        <v>60</v>
      </c>
      <c r="B64" s="61">
        <f t="shared" si="4"/>
        <v>84.755670000000009</v>
      </c>
      <c r="C64" s="61">
        <f t="shared" si="0"/>
        <v>12.284397247957692</v>
      </c>
      <c r="D64" s="61">
        <f t="shared" si="7"/>
        <v>12.530288332106235</v>
      </c>
      <c r="E64" s="111">
        <f t="shared" si="8"/>
        <v>123.25137866328835</v>
      </c>
      <c r="F64" s="61">
        <f t="shared" si="3"/>
        <v>104.35616053801429</v>
      </c>
      <c r="G64" s="61">
        <f t="shared" si="6"/>
        <v>4211.7135278116084</v>
      </c>
      <c r="H64" s="63">
        <f t="shared" si="5"/>
        <v>9.3195642629412401</v>
      </c>
      <c r="I64" s="64">
        <f>G64*(1+KeyParameters!$B$37)*(1+KeyParameters!$B$34)</f>
        <v>6317.5702917174121</v>
      </c>
    </row>
    <row r="65" spans="1:9" x14ac:dyDescent="0.25">
      <c r="A65" s="61">
        <v>61</v>
      </c>
      <c r="B65" s="61">
        <f t="shared" si="4"/>
        <v>85.729640000000003</v>
      </c>
      <c r="C65" s="61">
        <f t="shared" si="0"/>
        <v>12.338034372304627</v>
      </c>
      <c r="D65" s="61">
        <f t="shared" si="7"/>
        <v>12.576162974356365</v>
      </c>
      <c r="E65" s="111">
        <f t="shared" si="8"/>
        <v>124.15550199869396</v>
      </c>
      <c r="F65" s="61">
        <f t="shared" si="3"/>
        <v>104.83359916862095</v>
      </c>
      <c r="G65" s="61">
        <f t="shared" si="6"/>
        <v>4316.5471269802292</v>
      </c>
      <c r="H65" s="63">
        <f t="shared" si="5"/>
        <v>9.4819811171352395</v>
      </c>
      <c r="I65" s="64">
        <f>G65*(1+KeyParameters!$B$37)*(1+KeyParameters!$B$34)</f>
        <v>6474.8206904703438</v>
      </c>
    </row>
    <row r="66" spans="1:9" x14ac:dyDescent="0.25">
      <c r="A66" s="61">
        <v>62</v>
      </c>
      <c r="B66" s="61">
        <f t="shared" si="4"/>
        <v>86.672190000000029</v>
      </c>
      <c r="C66" s="61">
        <f t="shared" si="0"/>
        <v>12.390413691256185</v>
      </c>
      <c r="D66" s="61">
        <f t="shared" si="7"/>
        <v>12.623348129309587</v>
      </c>
      <c r="E66" s="111">
        <f t="shared" si="8"/>
        <v>125.08890062508893</v>
      </c>
      <c r="F66" s="61">
        <f t="shared" si="3"/>
        <v>105.29738894071856</v>
      </c>
      <c r="G66" s="61">
        <f t="shared" si="6"/>
        <v>4421.8445159209477</v>
      </c>
      <c r="H66" s="63">
        <f t="shared" si="5"/>
        <v>9.6408041738700039</v>
      </c>
      <c r="I66" s="64">
        <f>G66*(1+KeyParameters!$B$37)*(1+KeyParameters!$B$34)</f>
        <v>6632.7667738814216</v>
      </c>
    </row>
    <row r="67" spans="1:9" x14ac:dyDescent="0.25">
      <c r="A67" s="61">
        <v>63</v>
      </c>
      <c r="B67" s="61">
        <f t="shared" si="4"/>
        <v>87.582480000000004</v>
      </c>
      <c r="C67" s="61">
        <f t="shared" si="0"/>
        <v>12.441489115540449</v>
      </c>
      <c r="D67" s="61">
        <f t="shared" si="7"/>
        <v>12.671666710463654</v>
      </c>
      <c r="E67" s="111">
        <f t="shared" si="8"/>
        <v>126.04834271854213</v>
      </c>
      <c r="F67" s="61">
        <f t="shared" si="3"/>
        <v>105.74729950931386</v>
      </c>
      <c r="G67" s="61">
        <f t="shared" si="6"/>
        <v>4527.5918154302617</v>
      </c>
      <c r="H67" s="63">
        <f t="shared" si="5"/>
        <v>9.7962237441061877</v>
      </c>
      <c r="I67" s="64">
        <f>G67*(1+KeyParameters!$B$37)*(1+KeyParameters!$B$34)</f>
        <v>6791.3877231453926</v>
      </c>
    </row>
    <row r="68" spans="1:9" x14ac:dyDescent="0.25">
      <c r="A68" s="61">
        <v>64</v>
      </c>
      <c r="B68" s="61">
        <f t="shared" si="4"/>
        <v>88.459670000000003</v>
      </c>
      <c r="C68" s="61">
        <f t="shared" si="0"/>
        <v>12.491204601314603</v>
      </c>
      <c r="D68" s="61">
        <f t="shared" si="7"/>
        <v>12.72091178289056</v>
      </c>
      <c r="E68" s="111">
        <f t="shared" si="8"/>
        <v>127.02995332164588</v>
      </c>
      <c r="F68" s="61">
        <f t="shared" si="3"/>
        <v>106.18301742069532</v>
      </c>
      <c r="G68" s="61">
        <f t="shared" si="6"/>
        <v>4633.774832850957</v>
      </c>
      <c r="H68" s="63">
        <f t="shared" si="5"/>
        <v>9.9484943475955099</v>
      </c>
      <c r="I68" s="64">
        <f>G68*(1+KeyParameters!$B$37)*(1+KeyParameters!$B$34)</f>
        <v>6950.6622492764345</v>
      </c>
    </row>
    <row r="69" spans="1:9" x14ac:dyDescent="0.25">
      <c r="A69" s="61">
        <v>65</v>
      </c>
      <c r="B69" s="61">
        <f t="shared" si="4"/>
        <v>89.302920000000029</v>
      </c>
      <c r="C69" s="61">
        <f t="shared" si="0"/>
        <v>12.539494773750494</v>
      </c>
      <c r="D69" s="61">
        <f t="shared" si="7"/>
        <v>12.770848851251536</v>
      </c>
      <c r="E69" s="111">
        <f t="shared" si="8"/>
        <v>128.02924559948747</v>
      </c>
      <c r="F69" s="61">
        <f t="shared" si="3"/>
        <v>106.60415312125296</v>
      </c>
      <c r="G69" s="61">
        <f t="shared" si="6"/>
        <v>4740.3789859722101</v>
      </c>
      <c r="H69" s="63">
        <f t="shared" si="5"/>
        <v>10.097932128587432</v>
      </c>
      <c r="I69" s="64">
        <f>G69*(1+KeyParameters!$B$37)*(1+KeyParameters!$B$34)</f>
        <v>7110.5684789583147</v>
      </c>
    </row>
    <row r="70" spans="1:9" x14ac:dyDescent="0.25">
      <c r="A70" s="61">
        <v>66</v>
      </c>
      <c r="B70" s="61">
        <f t="shared" si="4"/>
        <v>90.11139</v>
      </c>
      <c r="C70" s="61">
        <f t="shared" ref="C70:C84" si="9" xml:space="preserve"> 3.219809 +0.2309*B70-
0.00231*B70^2 + 0.00001*B70^3</f>
        <v>12.586285611836491</v>
      </c>
      <c r="D70" s="61">
        <f t="shared" si="7"/>
        <v>12.821218342185865</v>
      </c>
      <c r="E70" s="111">
        <f t="shared" si="8"/>
        <v>129.04115722573258</v>
      </c>
      <c r="F70" s="61">
        <f t="shared" ref="F70:F84" si="10" xml:space="preserve"> 19.777 * C70  - 0.4417*C70^2  - 71.937</f>
        <v>107.0102481287379</v>
      </c>
      <c r="G70" s="61">
        <f t="shared" si="6"/>
        <v>4847.3892341009478</v>
      </c>
      <c r="H70" s="63">
        <f t="shared" si="5"/>
        <v>10.244911577716904</v>
      </c>
      <c r="I70" s="64">
        <f>G70*(1+KeyParameters!$B$37)*(1+KeyParameters!$B$34)</f>
        <v>7271.0838511514221</v>
      </c>
    </row>
    <row r="71" spans="1:9" x14ac:dyDescent="0.25">
      <c r="A71" s="61">
        <v>67</v>
      </c>
      <c r="B71" s="61">
        <f t="shared" ref="B71:B84" si="11" xml:space="preserve"> 0.58767 + 1.3122 * A71  +
0.00991 * A71^2 - 0.00014*A71^3</f>
        <v>90.884240000000005</v>
      </c>
      <c r="C71" s="61">
        <f t="shared" si="9"/>
        <v>12.631495191046316</v>
      </c>
      <c r="D71" s="61">
        <f t="shared" si="7"/>
        <v>12.871738271025915</v>
      </c>
      <c r="E71" s="111">
        <f t="shared" si="8"/>
        <v>130.06009220246767</v>
      </c>
      <c r="F71" s="61">
        <f t="shared" si="10"/>
        <v>107.40078231800105</v>
      </c>
      <c r="G71" s="61">
        <f t="shared" ref="G71:G83" si="12" xml:space="preserve"> F71+G70</f>
        <v>4954.7900164189487</v>
      </c>
      <c r="H71" s="63">
        <f t="shared" ref="H71:H84" si="13">(G71/E71)*12/44</f>
        <v>10.389861680327334</v>
      </c>
      <c r="I71" s="64">
        <f>G71*(1+KeyParameters!$B$37)*(1+KeyParameters!$B$34)</f>
        <v>7432.185024628423</v>
      </c>
    </row>
    <row r="72" spans="1:9" x14ac:dyDescent="0.25">
      <c r="A72" s="61">
        <v>68</v>
      </c>
      <c r="B72" s="61">
        <f t="shared" si="11"/>
        <v>91.620630000000034</v>
      </c>
      <c r="C72" s="61">
        <f t="shared" si="9"/>
        <v>12.675034480123248</v>
      </c>
      <c r="D72" s="61">
        <f t="shared" si="7"/>
        <v>12.922107081583373</v>
      </c>
      <c r="E72" s="111">
        <f t="shared" si="8"/>
        <v>131.07996837090712</v>
      </c>
      <c r="F72" s="61">
        <f t="shared" si="10"/>
        <v>107.77518127315678</v>
      </c>
      <c r="G72" s="61">
        <f t="shared" si="12"/>
        <v>5062.5651976921054</v>
      </c>
      <c r="H72" s="63">
        <f t="shared" si="13"/>
        <v>10.533261615258498</v>
      </c>
      <c r="I72" s="64">
        <f>G72*(1+KeyParameters!$B$37)*(1+KeyParameters!$B$34)</f>
        <v>7593.847796538158</v>
      </c>
    </row>
    <row r="73" spans="1:9" x14ac:dyDescent="0.25">
      <c r="A73" s="61">
        <v>69</v>
      </c>
      <c r="B73" s="61">
        <f t="shared" si="11"/>
        <v>92.319720000000032</v>
      </c>
      <c r="C73" s="61">
        <f t="shared" si="9"/>
        <v>12.716808187815879</v>
      </c>
      <c r="D73" s="61">
        <f t="shared" si="7"/>
        <v>12.972006646515208</v>
      </c>
      <c r="E73" s="111">
        <f t="shared" si="8"/>
        <v>132.09427080322928</v>
      </c>
      <c r="F73" s="61">
        <f t="shared" si="10"/>
        <v>108.13282365890053</v>
      </c>
      <c r="G73" s="61">
        <f t="shared" si="12"/>
        <v>5170.698021351006</v>
      </c>
      <c r="H73" s="63">
        <f t="shared" si="13"/>
        <v>10.675636126263326</v>
      </c>
      <c r="I73" s="64">
        <f>G73*(1+KeyParameters!$B$37)*(1+KeyParameters!$B$34)</f>
        <v>7756.0470320265085</v>
      </c>
    </row>
    <row r="74" spans="1:9" x14ac:dyDescent="0.25">
      <c r="A74" s="61">
        <v>70</v>
      </c>
      <c r="B74" s="61">
        <f t="shared" si="11"/>
        <v>92.980670000000018</v>
      </c>
      <c r="C74" s="61">
        <f t="shared" si="9"/>
        <v>12.756715654979251</v>
      </c>
      <c r="D74" s="61">
        <f t="shared" si="7"/>
        <v>13.021105414510899</v>
      </c>
      <c r="E74" s="111">
        <f t="shared" si="8"/>
        <v>133.09611117940696</v>
      </c>
      <c r="F74" s="61">
        <f t="shared" si="10"/>
        <v>108.47304856533451</v>
      </c>
      <c r="G74" s="61">
        <f t="shared" si="12"/>
        <v>5279.1710699163405</v>
      </c>
      <c r="H74" s="63">
        <f t="shared" si="13"/>
        <v>10.817550681238599</v>
      </c>
      <c r="I74" s="64">
        <f>G74*(1+KeyParameters!$B$37)*(1+KeyParameters!$B$34)</f>
        <v>7918.7566048745102</v>
      </c>
    </row>
    <row r="75" spans="1:9" x14ac:dyDescent="0.25">
      <c r="A75" s="61">
        <v>71</v>
      </c>
      <c r="B75" s="61">
        <f t="shared" si="11"/>
        <v>93.602640000000008</v>
      </c>
      <c r="C75" s="61">
        <f t="shared" si="9"/>
        <v>12.794651787023049</v>
      </c>
      <c r="D75" s="61">
        <f t="shared" si="7"/>
        <v>13.069061689246031</v>
      </c>
      <c r="E75" s="111">
        <f t="shared" si="8"/>
        <v>134.07829314829488</v>
      </c>
      <c r="F75" s="61">
        <f t="shared" si="10"/>
        <v>108.79516278304216</v>
      </c>
      <c r="G75" s="61">
        <f t="shared" si="12"/>
        <v>5387.966232699383</v>
      </c>
      <c r="H75" s="63">
        <f t="shared" si="13"/>
        <v>10.95960652307445</v>
      </c>
      <c r="I75" s="64">
        <f>G75*(1+KeyParameters!$B$37)*(1+KeyParameters!$B$34)</f>
        <v>8081.949349049074</v>
      </c>
    </row>
    <row r="76" spans="1:9" x14ac:dyDescent="0.25">
      <c r="A76" s="61">
        <v>72</v>
      </c>
      <c r="B76" s="61">
        <f t="shared" si="11"/>
        <v>94.184790000000021</v>
      </c>
      <c r="C76" s="61">
        <f t="shared" si="9"/>
        <v>12.83050802124637</v>
      </c>
      <c r="D76" s="61">
        <f t="shared" si="7"/>
        <v>13.115527023720624</v>
      </c>
      <c r="E76" s="111">
        <f t="shared" si="8"/>
        <v>135.03338355130759</v>
      </c>
      <c r="F76" s="61">
        <f t="shared" si="10"/>
        <v>109.09844796821024</v>
      </c>
      <c r="G76" s="61">
        <f t="shared" si="12"/>
        <v>5497.0646806675932</v>
      </c>
      <c r="H76" s="63">
        <f t="shared" si="13"/>
        <v>11.102435700977971</v>
      </c>
      <c r="I76" s="64">
        <f>G76*(1+KeyParameters!$B$37)*(1+KeyParameters!$B$34)</f>
        <v>8245.5970210013893</v>
      </c>
    </row>
    <row r="77" spans="1:9" x14ac:dyDescent="0.25">
      <c r="A77" s="61">
        <v>73</v>
      </c>
      <c r="B77" s="61">
        <f t="shared" si="11"/>
        <v>94.726280000000003</v>
      </c>
      <c r="C77" s="61">
        <f t="shared" si="9"/>
        <v>12.864173323146492</v>
      </c>
      <c r="D77" s="61">
        <f t="shared" si="7"/>
        <v>13.16014971224466</v>
      </c>
      <c r="E77" s="111">
        <f t="shared" si="8"/>
        <v>135.95378925222417</v>
      </c>
      <c r="F77" s="61">
        <f t="shared" si="10"/>
        <v>109.38216766117897</v>
      </c>
      <c r="G77" s="61">
        <f t="shared" si="12"/>
        <v>5606.4468483287719</v>
      </c>
      <c r="H77" s="63">
        <f t="shared" si="13"/>
        <v>11.246696153488088</v>
      </c>
      <c r="I77" s="64">
        <f>G77*(1+KeyParameters!$B$37)*(1+KeyParameters!$B$34)</f>
        <v>8409.6702724931565</v>
      </c>
    </row>
    <row r="78" spans="1:9" x14ac:dyDescent="0.25">
      <c r="A78" s="61">
        <v>74</v>
      </c>
      <c r="B78" s="61">
        <f t="shared" si="11"/>
        <v>95.22627</v>
      </c>
      <c r="C78" s="61">
        <f t="shared" si="9"/>
        <v>12.895535205326935</v>
      </c>
      <c r="D78" s="61">
        <f t="shared" si="7"/>
        <v>13.202578360946617</v>
      </c>
      <c r="E78" s="111">
        <f t="shared" si="8"/>
        <v>136.83183917089465</v>
      </c>
      <c r="F78" s="61">
        <f t="shared" si="10"/>
        <v>109.64557412575307</v>
      </c>
      <c r="G78" s="61">
        <f t="shared" si="12"/>
        <v>5716.0924224545251</v>
      </c>
      <c r="H78" s="63">
        <f t="shared" si="13"/>
        <v>11.393066894950072</v>
      </c>
      <c r="I78" s="64">
        <f>G78*(1+KeyParameters!$B$37)*(1+KeyParameters!$B$34)</f>
        <v>8574.1386336817868</v>
      </c>
    </row>
    <row r="79" spans="1:9" x14ac:dyDescent="0.25">
      <c r="A79" s="61">
        <v>75</v>
      </c>
      <c r="B79" s="61">
        <f t="shared" si="11"/>
        <v>95.683920000000001</v>
      </c>
      <c r="C79" s="61">
        <f t="shared" si="9"/>
        <v>12.924480762158174</v>
      </c>
      <c r="D79" s="61">
        <f t="shared" si="7"/>
        <v>13.242465516264986</v>
      </c>
      <c r="E79" s="111">
        <f t="shared" si="8"/>
        <v>137.65987096533181</v>
      </c>
      <c r="F79" s="61">
        <f t="shared" si="10"/>
        <v>109.88791498073631</v>
      </c>
      <c r="G79" s="61">
        <f t="shared" si="12"/>
        <v>5825.9803374352614</v>
      </c>
      <c r="H79" s="63">
        <f t="shared" si="13"/>
        <v>11.542243336778832</v>
      </c>
      <c r="I79" s="64">
        <f>G79*(1+KeyParameters!$B$37)*(1+KeyParameters!$B$34)</f>
        <v>8738.970506152893</v>
      </c>
    </row>
    <row r="80" spans="1:9" x14ac:dyDescent="0.25">
      <c r="A80" s="61">
        <v>76</v>
      </c>
      <c r="B80" s="61">
        <f t="shared" si="11"/>
        <v>96.098389999999995</v>
      </c>
      <c r="C80" s="61">
        <f t="shared" si="9"/>
        <v>12.950897712862234</v>
      </c>
      <c r="D80" s="61">
        <f t="shared" si="7"/>
        <v>13.279471329436689</v>
      </c>
      <c r="E80" s="111">
        <f t="shared" si="8"/>
        <v>138.43032164962486</v>
      </c>
      <c r="F80" s="61">
        <f t="shared" si="10"/>
        <v>110.10843959924019</v>
      </c>
      <c r="G80" s="61">
        <f t="shared" si="12"/>
        <v>5936.0887770345016</v>
      </c>
      <c r="H80" s="63">
        <f t="shared" si="13"/>
        <v>11.69493275414909</v>
      </c>
      <c r="I80" s="64">
        <f>G80*(1+KeyParameters!$B$37)*(1+KeyParameters!$B$34)</f>
        <v>8904.1331655517515</v>
      </c>
    </row>
    <row r="81" spans="1:9" x14ac:dyDescent="0.25">
      <c r="A81" s="61">
        <v>77</v>
      </c>
      <c r="B81" s="61">
        <f t="shared" si="11"/>
        <v>96.468840000000029</v>
      </c>
      <c r="C81" s="61">
        <f t="shared" si="9"/>
        <v>12.97467544520063</v>
      </c>
      <c r="D81" s="61">
        <f t="shared" si="7"/>
        <v>13.313267233520545</v>
      </c>
      <c r="E81" s="111">
        <f t="shared" si="8"/>
        <v>139.13582127843847</v>
      </c>
      <c r="F81" s="61">
        <f t="shared" si="10"/>
        <v>110.30640525514021</v>
      </c>
      <c r="G81" s="61">
        <f t="shared" si="12"/>
        <v>6046.3951822896415</v>
      </c>
      <c r="H81" s="63">
        <f t="shared" si="13"/>
        <v>11.851849888442201</v>
      </c>
      <c r="I81" s="64">
        <f>G81*(1+KeyParameters!$B$37)*(1+KeyParameters!$B$34)</f>
        <v>9069.5927734344623</v>
      </c>
    </row>
    <row r="82" spans="1:9" x14ac:dyDescent="0.25">
      <c r="A82" s="61">
        <v>78</v>
      </c>
      <c r="B82" s="61">
        <f t="shared" si="11"/>
        <v>96.79443000000002</v>
      </c>
      <c r="C82" s="61">
        <f t="shared" si="9"/>
        <v>12.995706051443063</v>
      </c>
      <c r="D82" s="61">
        <f t="shared" si="7"/>
        <v>13.343539607988109</v>
      </c>
      <c r="E82" s="111">
        <f t="shared" si="8"/>
        <v>139.76928867690876</v>
      </c>
      <c r="F82" s="61">
        <f t="shared" si="10"/>
        <v>110.48108299934502</v>
      </c>
      <c r="G82" s="61">
        <f t="shared" si="12"/>
        <v>6156.8762652889864</v>
      </c>
      <c r="H82" s="63">
        <f t="shared" si="13"/>
        <v>12.013712656383815</v>
      </c>
      <c r="I82" s="64">
        <f>G82*(1+KeyParameters!$B$37)*(1+KeyParameters!$B$34)</f>
        <v>9235.3143979334782</v>
      </c>
    </row>
    <row r="83" spans="1:9" x14ac:dyDescent="0.25">
      <c r="A83" s="61">
        <v>79</v>
      </c>
      <c r="B83" s="61">
        <f t="shared" si="11"/>
        <v>97.074320000000014</v>
      </c>
      <c r="C83" s="61">
        <f t="shared" si="9"/>
        <v>13.01388534778248</v>
      </c>
      <c r="D83" s="61">
        <f t="shared" si="7"/>
        <v>13.369993404378857</v>
      </c>
      <c r="E83" s="111">
        <f t="shared" si="8"/>
        <v>140.32402805201031</v>
      </c>
      <c r="F83" s="61">
        <f t="shared" si="10"/>
        <v>110.63176325105714</v>
      </c>
      <c r="G83" s="61">
        <f t="shared" si="12"/>
        <v>6267.5080285400436</v>
      </c>
      <c r="H83" s="63">
        <f t="shared" si="13"/>
        <v>12.181237918758018</v>
      </c>
      <c r="I83" s="64">
        <f>G83*(1+KeyParameters!$B$37)*(1+KeyParameters!$B$34)</f>
        <v>9401.2620428100654</v>
      </c>
    </row>
    <row r="84" spans="1:9" s="12" customFormat="1" x14ac:dyDescent="0.25">
      <c r="A84" s="67">
        <v>80</v>
      </c>
      <c r="B84" s="67">
        <f t="shared" si="11"/>
        <v>97.307670000000016</v>
      </c>
      <c r="C84" s="67">
        <f t="shared" si="9"/>
        <v>13.029113867840312</v>
      </c>
      <c r="D84" s="67">
        <f t="shared" si="7"/>
        <v>13.392355704950901</v>
      </c>
      <c r="E84" s="112">
        <f t="shared" si="8"/>
        <v>140.7938251924258</v>
      </c>
      <c r="F84" s="67">
        <f t="shared" si="10"/>
        <v>110.75776109066449</v>
      </c>
      <c r="G84" s="67">
        <f xml:space="preserve"> F84+G83</f>
        <v>6378.2657896307082</v>
      </c>
      <c r="H84" s="68">
        <f t="shared" si="13"/>
        <v>12.355137245246375</v>
      </c>
      <c r="I84" s="68">
        <f>G84*(1+KeyParameters!$B$37)*(1+KeyParameters!$B$34)</f>
        <v>9567.3986844460615</v>
      </c>
    </row>
    <row r="85" spans="1:9" x14ac:dyDescent="0.25">
      <c r="E85" s="1"/>
    </row>
    <row r="86" spans="1:9" x14ac:dyDescent="0.25">
      <c r="E86" s="1"/>
    </row>
    <row r="87" spans="1:9" x14ac:dyDescent="0.25">
      <c r="E87" s="1"/>
    </row>
    <row r="88" spans="1:9" x14ac:dyDescent="0.25">
      <c r="E88" s="1"/>
    </row>
    <row r="89" spans="1:9" x14ac:dyDescent="0.25">
      <c r="E89" s="1"/>
    </row>
    <row r="90" spans="1:9" x14ac:dyDescent="0.25">
      <c r="E90" s="1"/>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60EDC-F84B-4A8C-87DD-95BCB989979C}">
  <dimension ref="A1:U76"/>
  <sheetViews>
    <sheetView workbookViewId="0">
      <selection activeCell="I30" sqref="I30"/>
    </sheetView>
  </sheetViews>
  <sheetFormatPr defaultRowHeight="15" x14ac:dyDescent="0.25"/>
  <cols>
    <col min="1" max="1" width="128.5703125" customWidth="1"/>
    <col min="10" max="10" width="9.85546875" customWidth="1"/>
  </cols>
  <sheetData>
    <row r="1" spans="1:16" ht="18" x14ac:dyDescent="0.35">
      <c r="A1" s="8" t="s">
        <v>519</v>
      </c>
      <c r="P1" s="21"/>
    </row>
    <row r="2" spans="1:16" x14ac:dyDescent="0.25">
      <c r="A2" s="8"/>
      <c r="P2" s="21"/>
    </row>
    <row r="3" spans="1:16" ht="161.25" customHeight="1" x14ac:dyDescent="0.25">
      <c r="A3" s="152" t="s">
        <v>538</v>
      </c>
      <c r="P3" s="21"/>
    </row>
    <row r="4" spans="1:16" x14ac:dyDescent="0.25">
      <c r="A4" s="8"/>
      <c r="P4" s="21"/>
    </row>
    <row r="5" spans="1:16" x14ac:dyDescent="0.25">
      <c r="P5" s="8"/>
    </row>
    <row r="6" spans="1:16" ht="18" x14ac:dyDescent="0.35">
      <c r="A6" s="24" t="s">
        <v>530</v>
      </c>
      <c r="B6" s="19"/>
      <c r="C6" s="19"/>
      <c r="D6" s="19"/>
      <c r="E6" s="19"/>
      <c r="F6" s="19"/>
      <c r="G6" s="19"/>
      <c r="H6" s="19"/>
      <c r="I6" s="19"/>
      <c r="J6" s="19"/>
      <c r="K6" s="19"/>
      <c r="P6" s="8"/>
    </row>
    <row r="7" spans="1:16" ht="18" x14ac:dyDescent="0.35">
      <c r="A7" s="8" t="s">
        <v>518</v>
      </c>
      <c r="B7" s="161" t="s">
        <v>517</v>
      </c>
      <c r="C7" s="161"/>
      <c r="D7" s="161"/>
      <c r="E7" s="161"/>
      <c r="F7" s="161"/>
      <c r="G7" s="161"/>
      <c r="H7" s="161"/>
      <c r="I7" s="161"/>
      <c r="P7" s="8"/>
    </row>
    <row r="8" spans="1:16" x14ac:dyDescent="0.25">
      <c r="A8" s="8" t="s">
        <v>516</v>
      </c>
      <c r="B8" s="80">
        <v>2015</v>
      </c>
      <c r="C8" s="80">
        <v>2020</v>
      </c>
      <c r="D8" s="80">
        <v>2025</v>
      </c>
      <c r="E8" s="80">
        <v>2030</v>
      </c>
      <c r="F8" s="80">
        <v>2035</v>
      </c>
      <c r="G8" s="80">
        <v>2040</v>
      </c>
      <c r="H8" s="80">
        <v>2045</v>
      </c>
      <c r="I8" s="80">
        <v>2050</v>
      </c>
      <c r="P8" s="8"/>
    </row>
    <row r="9" spans="1:16" x14ac:dyDescent="0.25">
      <c r="A9" s="150" t="s">
        <v>515</v>
      </c>
      <c r="B9" s="146">
        <v>11045.820359708199</v>
      </c>
      <c r="C9" s="146">
        <v>9626.0368440457805</v>
      </c>
      <c r="D9" s="146">
        <v>5378.5461411537499</v>
      </c>
      <c r="E9" s="146">
        <v>2238.8666489509501</v>
      </c>
      <c r="F9" s="146">
        <v>913.90705480736494</v>
      </c>
      <c r="G9" s="146">
        <v>544.84014809127495</v>
      </c>
      <c r="H9" s="146">
        <v>440.813699865849</v>
      </c>
      <c r="I9" s="146">
        <v>0</v>
      </c>
      <c r="P9" s="8"/>
    </row>
    <row r="10" spans="1:16" x14ac:dyDescent="0.25">
      <c r="A10" s="150" t="s">
        <v>514</v>
      </c>
      <c r="B10" s="146">
        <v>9277.0409665813004</v>
      </c>
      <c r="C10" s="146">
        <v>8006.9361776345004</v>
      </c>
      <c r="D10" s="146">
        <v>5607.8554504346303</v>
      </c>
      <c r="E10" s="146">
        <v>4074.4273688254598</v>
      </c>
      <c r="F10" s="146">
        <v>3310.2641273638201</v>
      </c>
      <c r="G10" s="146">
        <v>2707.4904156943498</v>
      </c>
      <c r="H10" s="146">
        <v>1903.1768608750799</v>
      </c>
      <c r="I10" s="146">
        <v>0</v>
      </c>
      <c r="P10" s="8"/>
    </row>
    <row r="11" spans="1:16" x14ac:dyDescent="0.25">
      <c r="A11" s="150" t="s">
        <v>513</v>
      </c>
      <c r="B11" s="146">
        <v>9169.4261967561706</v>
      </c>
      <c r="C11" s="146">
        <v>10068.6420769283</v>
      </c>
      <c r="D11" s="146">
        <v>9809.7286262970192</v>
      </c>
      <c r="E11" s="146">
        <v>8055.6786663115399</v>
      </c>
      <c r="F11" s="146">
        <v>6344.9284026036103</v>
      </c>
      <c r="G11" s="146">
        <v>3371.9593394046101</v>
      </c>
      <c r="H11" s="146">
        <v>1747.81591702127</v>
      </c>
      <c r="I11" s="146">
        <v>0</v>
      </c>
    </row>
    <row r="12" spans="1:16" x14ac:dyDescent="0.25">
      <c r="A12" s="150" t="s">
        <v>512</v>
      </c>
      <c r="B12" s="146">
        <v>227.9</v>
      </c>
      <c r="C12" s="146">
        <v>53.100000000000101</v>
      </c>
      <c r="D12" s="146">
        <v>79.999999999999901</v>
      </c>
      <c r="E12" s="146">
        <v>114.8</v>
      </c>
      <c r="F12" s="146">
        <v>136</v>
      </c>
      <c r="G12" s="146">
        <v>143.5</v>
      </c>
      <c r="H12" s="146">
        <v>142.9</v>
      </c>
      <c r="I12" s="146">
        <v>0</v>
      </c>
    </row>
    <row r="13" spans="1:16" ht="18" x14ac:dyDescent="0.35">
      <c r="A13" s="148" t="s">
        <v>520</v>
      </c>
      <c r="B13" s="139">
        <f>SUM(B9:B12)/1000</f>
        <v>29.72018752304567</v>
      </c>
      <c r="C13" s="139">
        <f>SUM(C9:C12)/1000</f>
        <v>27.754715098608578</v>
      </c>
      <c r="D13" s="139">
        <f t="shared" ref="D13:I13" si="0">SUM(D9:D12)/1000</f>
        <v>20.876130217885397</v>
      </c>
      <c r="E13" s="139">
        <f t="shared" si="0"/>
        <v>14.483772684087949</v>
      </c>
      <c r="F13" s="139">
        <f t="shared" si="0"/>
        <v>10.705099584774795</v>
      </c>
      <c r="G13" s="139">
        <f t="shared" si="0"/>
        <v>6.7677899031902342</v>
      </c>
      <c r="H13" s="139">
        <f t="shared" si="0"/>
        <v>4.2347064777621988</v>
      </c>
      <c r="I13" s="139">
        <f t="shared" si="0"/>
        <v>0</v>
      </c>
    </row>
    <row r="14" spans="1:16" x14ac:dyDescent="0.25">
      <c r="C14" s="149"/>
      <c r="D14" s="149"/>
      <c r="E14" s="149"/>
      <c r="F14" s="149"/>
      <c r="G14" s="149"/>
      <c r="H14" s="149"/>
      <c r="I14" s="149"/>
    </row>
    <row r="15" spans="1:16" x14ac:dyDescent="0.25">
      <c r="A15" s="148" t="s">
        <v>511</v>
      </c>
      <c r="B15" s="80">
        <v>2015</v>
      </c>
      <c r="C15" s="80">
        <v>2020</v>
      </c>
      <c r="D15" s="80">
        <v>2025</v>
      </c>
      <c r="E15" s="80">
        <v>2030</v>
      </c>
      <c r="F15" s="80">
        <v>2035</v>
      </c>
      <c r="G15" s="80">
        <v>2040</v>
      </c>
      <c r="H15" s="80">
        <v>2045</v>
      </c>
      <c r="I15" s="80">
        <v>2050</v>
      </c>
    </row>
    <row r="16" spans="1:16" ht="18" x14ac:dyDescent="0.35">
      <c r="A16" s="147" t="s">
        <v>521</v>
      </c>
      <c r="B16" s="139">
        <f>567/$I$21 *B13</f>
        <v>31.034254490120915</v>
      </c>
      <c r="C16" s="139">
        <f>567/$I$21 *C13</f>
        <v>28.981879438113008</v>
      </c>
      <c r="D16" s="139">
        <f t="shared" ref="D16:I16" si="1">567/$I$21 *D13</f>
        <v>21.799160501540662</v>
      </c>
      <c r="E16" s="139">
        <f t="shared" si="1"/>
        <v>15.124167272043641</v>
      </c>
      <c r="F16" s="139">
        <f t="shared" si="1"/>
        <v>11.17842155600043</v>
      </c>
      <c r="G16" s="139">
        <f t="shared" si="1"/>
        <v>7.0670252005783007</v>
      </c>
      <c r="H16" s="139">
        <f t="shared" si="1"/>
        <v>4.4219424396272409</v>
      </c>
      <c r="I16" s="139">
        <f t="shared" si="1"/>
        <v>0</v>
      </c>
    </row>
    <row r="19" spans="1:19" ht="18" x14ac:dyDescent="0.35">
      <c r="A19" s="24" t="s">
        <v>531</v>
      </c>
      <c r="B19" s="19"/>
      <c r="C19" s="19"/>
      <c r="D19" s="19"/>
      <c r="E19" s="19"/>
      <c r="F19" s="19"/>
      <c r="G19" s="19"/>
      <c r="H19" s="19"/>
      <c r="I19" s="19"/>
      <c r="J19" s="19"/>
    </row>
    <row r="20" spans="1:19" x14ac:dyDescent="0.25">
      <c r="B20" s="80">
        <v>2015</v>
      </c>
      <c r="C20" s="80">
        <v>2020</v>
      </c>
      <c r="D20" s="80">
        <v>2025</v>
      </c>
      <c r="E20" s="80">
        <v>2030</v>
      </c>
      <c r="F20" s="80">
        <v>2035</v>
      </c>
      <c r="G20" s="80">
        <v>2040</v>
      </c>
      <c r="H20" s="80">
        <v>2045</v>
      </c>
      <c r="I20" s="80">
        <v>2050</v>
      </c>
      <c r="K20" s="8" t="s">
        <v>510</v>
      </c>
    </row>
    <row r="21" spans="1:19" ht="18" x14ac:dyDescent="0.35">
      <c r="A21" s="30" t="s">
        <v>522</v>
      </c>
      <c r="B21" s="146">
        <f>B13</f>
        <v>29.72018752304567</v>
      </c>
      <c r="C21" s="139">
        <f>B13*4+C13</f>
        <v>146.63546519079125</v>
      </c>
      <c r="D21" s="139">
        <f>C13*4+D13+C21</f>
        <v>278.53045580311095</v>
      </c>
      <c r="E21" s="139">
        <f t="shared" ref="E21:H21" si="2">D13*4+E13+D21</f>
        <v>376.51874935874048</v>
      </c>
      <c r="F21" s="139">
        <f t="shared" si="2"/>
        <v>445.1589396798671</v>
      </c>
      <c r="G21" s="139">
        <f t="shared" si="2"/>
        <v>494.74712792215649</v>
      </c>
      <c r="H21" s="139">
        <f t="shared" si="2"/>
        <v>526.05299401267962</v>
      </c>
      <c r="I21" s="139">
        <f>H13*4+I13+H21</f>
        <v>542.99181992372837</v>
      </c>
      <c r="K21" s="10">
        <f>I21-B13*4</f>
        <v>424.11106983154571</v>
      </c>
    </row>
    <row r="23" spans="1:19" ht="33.75" customHeight="1" x14ac:dyDescent="0.25">
      <c r="A23" s="160" t="s">
        <v>536</v>
      </c>
      <c r="B23" s="160"/>
      <c r="C23" s="160"/>
      <c r="D23" s="160"/>
      <c r="E23" s="160"/>
      <c r="F23" s="160"/>
      <c r="G23" s="160"/>
      <c r="H23" s="160"/>
      <c r="I23" s="160"/>
      <c r="J23" s="160"/>
    </row>
    <row r="24" spans="1:19" x14ac:dyDescent="0.25">
      <c r="B24" s="80">
        <v>2015</v>
      </c>
      <c r="C24" s="80">
        <v>2020</v>
      </c>
      <c r="D24" s="80">
        <v>2025</v>
      </c>
      <c r="E24" s="80">
        <v>2030</v>
      </c>
      <c r="F24" s="80">
        <v>2035</v>
      </c>
      <c r="G24" s="80">
        <v>2040</v>
      </c>
      <c r="H24" s="80">
        <v>2045</v>
      </c>
      <c r="I24" s="80">
        <v>2050</v>
      </c>
    </row>
    <row r="25" spans="1:19" ht="18" x14ac:dyDescent="0.35">
      <c r="A25" s="30" t="s">
        <v>523</v>
      </c>
      <c r="B25" s="146">
        <f>B16</f>
        <v>31.034254490120915</v>
      </c>
      <c r="C25" s="139">
        <f>(567/$I$21)*C21</f>
        <v>153.11889739859666</v>
      </c>
      <c r="D25" s="139">
        <f t="shared" ref="D25:H25" si="3">(567/$I$21)*D21</f>
        <v>290.84557565258933</v>
      </c>
      <c r="E25" s="139">
        <f t="shared" si="3"/>
        <v>393.16638493079563</v>
      </c>
      <c r="F25" s="139">
        <f t="shared" si="3"/>
        <v>464.84147557497067</v>
      </c>
      <c r="G25" s="139">
        <f t="shared" si="3"/>
        <v>516.62218699955065</v>
      </c>
      <c r="H25" s="139">
        <f t="shared" si="3"/>
        <v>549.31223024149108</v>
      </c>
      <c r="I25" s="139">
        <f>(567/$I$21)*I21</f>
        <v>567</v>
      </c>
    </row>
    <row r="26" spans="1:19" x14ac:dyDescent="0.25">
      <c r="B26">
        <v>31</v>
      </c>
      <c r="C26" s="139">
        <f>B16*4+C16</f>
        <v>153.11889739859666</v>
      </c>
      <c r="D26" s="139">
        <f>C16*4+D16+C26</f>
        <v>290.84557565258933</v>
      </c>
      <c r="E26" s="139">
        <f t="shared" ref="E26:I26" si="4">D16*4+E16+D26</f>
        <v>393.16638493079563</v>
      </c>
      <c r="F26" s="139">
        <f t="shared" si="4"/>
        <v>464.84147557497062</v>
      </c>
      <c r="G26" s="139">
        <f t="shared" si="4"/>
        <v>516.62218699955065</v>
      </c>
      <c r="H26" s="139">
        <f t="shared" si="4"/>
        <v>549.31223024149108</v>
      </c>
      <c r="I26" s="139">
        <f t="shared" si="4"/>
        <v>567</v>
      </c>
    </row>
    <row r="28" spans="1:19" ht="18" x14ac:dyDescent="0.35">
      <c r="A28" s="24" t="s">
        <v>524</v>
      </c>
      <c r="B28" s="19"/>
      <c r="C28" s="19"/>
      <c r="D28" s="19"/>
      <c r="E28" s="19"/>
      <c r="F28" s="19"/>
      <c r="G28" s="19"/>
      <c r="H28" s="19"/>
      <c r="I28" s="19"/>
      <c r="J28" s="19"/>
      <c r="K28" s="19"/>
      <c r="L28" s="19"/>
      <c r="S28" s="145"/>
    </row>
    <row r="29" spans="1:19" x14ac:dyDescent="0.25">
      <c r="B29" s="153">
        <v>2015</v>
      </c>
      <c r="C29" s="153">
        <v>2020</v>
      </c>
      <c r="D29" s="153">
        <v>2025</v>
      </c>
      <c r="E29" s="153">
        <v>2030</v>
      </c>
      <c r="F29" s="153">
        <v>2040</v>
      </c>
      <c r="G29" s="153">
        <v>2050</v>
      </c>
      <c r="H29" s="153">
        <v>2060</v>
      </c>
      <c r="I29" s="153">
        <v>2070</v>
      </c>
      <c r="J29" s="153">
        <v>2080</v>
      </c>
      <c r="K29" s="153">
        <v>2090</v>
      </c>
      <c r="L29" s="153">
        <v>2100</v>
      </c>
    </row>
    <row r="30" spans="1:19" ht="18" x14ac:dyDescent="0.35">
      <c r="A30" s="30" t="s">
        <v>525</v>
      </c>
      <c r="B30" s="154">
        <v>0</v>
      </c>
      <c r="C30" s="154">
        <f>(567/$I$21)*C27</f>
        <v>0</v>
      </c>
      <c r="D30" s="154">
        <f t="shared" ref="D30" si="5">(567/$I$21)*D27</f>
        <v>0</v>
      </c>
      <c r="E30" s="154">
        <f>(710.92218300298)/1000</f>
        <v>0.71092218300297993</v>
      </c>
      <c r="F30" s="154">
        <f>(2209.20847498864)/1000</f>
        <v>2.2092084749886398</v>
      </c>
      <c r="G30" s="154">
        <f>(7914.63128940715)/1000</f>
        <v>7.9146312894071498</v>
      </c>
      <c r="H30" s="154">
        <f>(9271.45824258319)/1000</f>
        <v>9.27145824258319</v>
      </c>
      <c r="I30" s="154">
        <f>(11672.8678276403)/1000</f>
        <v>11.672867827640301</v>
      </c>
      <c r="J30" s="154">
        <f>(13239.1394938233)/1000</f>
        <v>13.2391394938233</v>
      </c>
      <c r="K30" s="154">
        <f>(13966.0739468778)/1000</f>
        <v>13.966073946877799</v>
      </c>
      <c r="L30" s="154">
        <f>(14659.7382011682)/1000</f>
        <v>14.659738201168199</v>
      </c>
    </row>
    <row r="31" spans="1:19" x14ac:dyDescent="0.25">
      <c r="B31" s="19"/>
      <c r="C31" s="19"/>
      <c r="D31" s="19"/>
      <c r="E31" s="19"/>
      <c r="F31" s="19"/>
      <c r="G31" s="19"/>
      <c r="H31" s="19"/>
      <c r="I31" s="19"/>
      <c r="J31" s="19"/>
      <c r="K31" s="19"/>
      <c r="L31" s="19"/>
    </row>
    <row r="32" spans="1:19" x14ac:dyDescent="0.25">
      <c r="A32" s="24" t="s">
        <v>532</v>
      </c>
      <c r="B32" s="24"/>
      <c r="C32" s="24"/>
      <c r="D32" s="24"/>
      <c r="E32" s="24"/>
      <c r="F32" s="24"/>
      <c r="G32" s="153"/>
      <c r="H32" s="24"/>
      <c r="I32" s="24"/>
      <c r="J32" s="24"/>
      <c r="K32" s="24"/>
      <c r="L32" s="24"/>
    </row>
    <row r="33" spans="1:21" x14ac:dyDescent="0.25">
      <c r="B33" s="153">
        <v>2015</v>
      </c>
      <c r="C33" s="153">
        <v>2020</v>
      </c>
      <c r="D33" s="153">
        <v>2025</v>
      </c>
      <c r="E33" s="153">
        <v>2030</v>
      </c>
      <c r="F33" s="153">
        <v>2040</v>
      </c>
      <c r="G33" s="153">
        <v>2050</v>
      </c>
      <c r="H33" s="153">
        <v>2060</v>
      </c>
      <c r="I33" s="153">
        <v>2070</v>
      </c>
      <c r="J33" s="153">
        <v>2080</v>
      </c>
      <c r="K33" s="153">
        <v>2090</v>
      </c>
      <c r="L33" s="153">
        <v>2100</v>
      </c>
    </row>
    <row r="34" spans="1:21" ht="18" x14ac:dyDescent="0.35">
      <c r="A34" s="30" t="s">
        <v>526</v>
      </c>
      <c r="B34" s="154">
        <f>B16</f>
        <v>31.034254490120915</v>
      </c>
      <c r="C34" s="154">
        <f>C16</f>
        <v>28.981879438113008</v>
      </c>
      <c r="D34" s="154">
        <f>(D16)</f>
        <v>21.799160501540662</v>
      </c>
      <c r="E34" s="154">
        <f>E16-E30</f>
        <v>14.413245089040661</v>
      </c>
      <c r="F34" s="154">
        <f>G16-F30</f>
        <v>4.8578167255896609</v>
      </c>
      <c r="G34" s="154">
        <f>I16-G30</f>
        <v>-7.9146312894071498</v>
      </c>
      <c r="H34" s="154">
        <f>I16-(9271.45824258319)/1000</f>
        <v>-9.27145824258319</v>
      </c>
      <c r="I34" s="154">
        <f>I16-(11672.8678276403)/1000</f>
        <v>-11.672867827640301</v>
      </c>
      <c r="J34" s="154">
        <f>I16-(13239.1394938233)/1000</f>
        <v>-13.2391394938233</v>
      </c>
      <c r="K34" s="154">
        <f>I16-(13966.0739468778)/1000</f>
        <v>-13.966073946877799</v>
      </c>
      <c r="L34" s="154">
        <f>I16-(14659.7382011682)/1000</f>
        <v>-14.659738201168199</v>
      </c>
    </row>
    <row r="35" spans="1:21" x14ac:dyDescent="0.25">
      <c r="B35" s="19"/>
      <c r="C35" s="19"/>
      <c r="D35" s="19"/>
      <c r="E35" s="19"/>
      <c r="F35" s="19"/>
      <c r="G35" s="19"/>
      <c r="H35" s="19"/>
      <c r="I35" s="153"/>
      <c r="J35" s="153"/>
      <c r="K35" s="153"/>
      <c r="L35" s="153"/>
      <c r="M35" s="80"/>
      <c r="N35" s="80"/>
      <c r="O35" s="80"/>
    </row>
    <row r="36" spans="1:21" ht="18" x14ac:dyDescent="0.35">
      <c r="A36" s="24" t="s">
        <v>528</v>
      </c>
      <c r="B36" s="19"/>
      <c r="C36" s="19"/>
      <c r="D36" s="19"/>
      <c r="E36" s="19"/>
      <c r="F36" s="19"/>
      <c r="G36" s="19"/>
      <c r="H36" s="19"/>
      <c r="I36" s="19"/>
      <c r="J36" s="19"/>
      <c r="K36" s="19"/>
      <c r="L36" s="19"/>
      <c r="M36" s="80"/>
      <c r="N36" s="80"/>
      <c r="O36" s="80"/>
    </row>
    <row r="37" spans="1:21" ht="15.75" x14ac:dyDescent="0.25">
      <c r="B37" s="153">
        <v>2015</v>
      </c>
      <c r="C37" s="153">
        <v>2020</v>
      </c>
      <c r="D37" s="153">
        <v>2025</v>
      </c>
      <c r="E37" s="153">
        <v>2030</v>
      </c>
      <c r="F37" s="153">
        <v>2040</v>
      </c>
      <c r="G37" s="153">
        <v>2050</v>
      </c>
      <c r="H37" s="153">
        <v>2060</v>
      </c>
      <c r="I37" s="153">
        <v>2070</v>
      </c>
      <c r="J37" s="153">
        <v>2080</v>
      </c>
      <c r="K37" s="153">
        <v>2090</v>
      </c>
      <c r="L37" s="153">
        <v>2100</v>
      </c>
      <c r="M37" s="80" t="s">
        <v>509</v>
      </c>
      <c r="N37" s="144" t="s">
        <v>508</v>
      </c>
      <c r="O37" s="143"/>
      <c r="P37" s="140"/>
      <c r="Q37" s="140"/>
      <c r="R37" s="140"/>
      <c r="S37" s="142"/>
      <c r="T37" s="142"/>
      <c r="U37" s="142"/>
    </row>
    <row r="38" spans="1:21" ht="18" x14ac:dyDescent="0.35">
      <c r="A38" s="30" t="s">
        <v>527</v>
      </c>
      <c r="B38" s="139">
        <f>B34</f>
        <v>31.034254490120915</v>
      </c>
      <c r="C38" s="139">
        <f>B34*4+C34</f>
        <v>153.11889739859666</v>
      </c>
      <c r="D38" s="139">
        <f>C34*4+D34+C38</f>
        <v>290.84557565258933</v>
      </c>
      <c r="E38" s="139">
        <f>D34*4+E34+D38</f>
        <v>392.45546274779264</v>
      </c>
      <c r="F38" s="139">
        <f>E34*9+F34+E38</f>
        <v>527.0324852747483</v>
      </c>
      <c r="G38" s="139">
        <f>F34*9+G34+F38</f>
        <v>562.83820451564804</v>
      </c>
      <c r="H38" s="139">
        <f t="shared" ref="H38:J38" si="6">G34*9+H34+G38</f>
        <v>482.33506466840049</v>
      </c>
      <c r="I38" s="139">
        <f t="shared" si="6"/>
        <v>387.21907265751145</v>
      </c>
      <c r="J38" s="139">
        <f t="shared" si="6"/>
        <v>268.92412271492543</v>
      </c>
      <c r="K38" s="139">
        <f>J34*9+K34+J38</f>
        <v>135.80579332363794</v>
      </c>
      <c r="L38" s="139">
        <f>K34*9+L34+K38</f>
        <v>-4.5486103994304585</v>
      </c>
      <c r="M38" s="80"/>
      <c r="N38" s="144" t="s">
        <v>507</v>
      </c>
      <c r="O38" s="143"/>
      <c r="P38" s="140"/>
      <c r="Q38" s="140"/>
      <c r="R38" s="140"/>
      <c r="S38" s="142"/>
      <c r="T38" s="142"/>
      <c r="U38" s="142"/>
    </row>
    <row r="39" spans="1:21" ht="15.75" x14ac:dyDescent="0.25">
      <c r="A39" s="8"/>
      <c r="B39" s="10"/>
      <c r="C39" s="10"/>
      <c r="D39" s="10"/>
      <c r="E39" s="10"/>
      <c r="F39" s="10"/>
      <c r="G39" s="10"/>
      <c r="H39" s="10"/>
      <c r="I39" s="10"/>
      <c r="J39" s="10"/>
      <c r="K39" s="10"/>
      <c r="L39" s="10"/>
      <c r="M39" s="80"/>
      <c r="N39" s="141"/>
      <c r="O39" s="141"/>
      <c r="P39" s="82"/>
      <c r="Q39" s="82"/>
      <c r="R39" s="82"/>
    </row>
    <row r="41" spans="1:21" x14ac:dyDescent="0.25">
      <c r="H41" s="36"/>
    </row>
    <row r="42" spans="1:21" x14ac:dyDescent="0.25">
      <c r="I42" s="2"/>
    </row>
    <row r="43" spans="1:21" x14ac:dyDescent="0.25">
      <c r="I43" s="2"/>
    </row>
    <row r="44" spans="1:21" x14ac:dyDescent="0.25">
      <c r="I44" s="2"/>
    </row>
    <row r="45" spans="1:21" x14ac:dyDescent="0.25">
      <c r="I45" s="2"/>
    </row>
    <row r="46" spans="1:21" x14ac:dyDescent="0.25">
      <c r="I46" s="10"/>
    </row>
    <row r="47" spans="1:21" x14ac:dyDescent="0.25">
      <c r="I47" s="2"/>
    </row>
    <row r="48" spans="1:21" x14ac:dyDescent="0.25">
      <c r="I48" s="2"/>
    </row>
    <row r="49" spans="8:9" x14ac:dyDescent="0.25">
      <c r="I49" s="2"/>
    </row>
    <row r="50" spans="8:9" x14ac:dyDescent="0.25">
      <c r="I50" s="2"/>
    </row>
    <row r="51" spans="8:9" x14ac:dyDescent="0.25">
      <c r="I51" s="2"/>
    </row>
    <row r="52" spans="8:9" x14ac:dyDescent="0.25">
      <c r="I52" s="2"/>
    </row>
    <row r="53" spans="8:9" x14ac:dyDescent="0.25">
      <c r="I53" s="2"/>
    </row>
    <row r="54" spans="8:9" x14ac:dyDescent="0.25">
      <c r="I54" s="2"/>
    </row>
    <row r="55" spans="8:9" x14ac:dyDescent="0.25">
      <c r="I55" s="2"/>
    </row>
    <row r="56" spans="8:9" x14ac:dyDescent="0.25">
      <c r="H56" s="8"/>
      <c r="I56" s="138"/>
    </row>
    <row r="57" spans="8:9" x14ac:dyDescent="0.25">
      <c r="I57" s="2"/>
    </row>
    <row r="58" spans="8:9" x14ac:dyDescent="0.25">
      <c r="I58" s="2"/>
    </row>
    <row r="59" spans="8:9" x14ac:dyDescent="0.25">
      <c r="I59" s="2"/>
    </row>
    <row r="60" spans="8:9" x14ac:dyDescent="0.25">
      <c r="I60" s="2"/>
    </row>
    <row r="61" spans="8:9" x14ac:dyDescent="0.25">
      <c r="I61" s="2"/>
    </row>
    <row r="62" spans="8:9" x14ac:dyDescent="0.25">
      <c r="I62" s="2"/>
    </row>
    <row r="63" spans="8:9" x14ac:dyDescent="0.25">
      <c r="I63" s="2"/>
    </row>
    <row r="64" spans="8:9" x14ac:dyDescent="0.25">
      <c r="I64" s="2"/>
    </row>
    <row r="65" spans="8:9" x14ac:dyDescent="0.25">
      <c r="I65" s="2"/>
    </row>
    <row r="66" spans="8:9" x14ac:dyDescent="0.25">
      <c r="H66" s="8"/>
      <c r="I66" s="138"/>
    </row>
    <row r="67" spans="8:9" x14ac:dyDescent="0.25">
      <c r="I67" s="2"/>
    </row>
    <row r="68" spans="8:9" x14ac:dyDescent="0.25">
      <c r="I68" s="2"/>
    </row>
    <row r="69" spans="8:9" x14ac:dyDescent="0.25">
      <c r="I69" s="2"/>
    </row>
    <row r="70" spans="8:9" x14ac:dyDescent="0.25">
      <c r="I70" s="2"/>
    </row>
    <row r="71" spans="8:9" x14ac:dyDescent="0.25">
      <c r="I71" s="2"/>
    </row>
    <row r="72" spans="8:9" x14ac:dyDescent="0.25">
      <c r="I72" s="2"/>
    </row>
    <row r="73" spans="8:9" x14ac:dyDescent="0.25">
      <c r="I73" s="2"/>
    </row>
    <row r="74" spans="8:9" x14ac:dyDescent="0.25">
      <c r="I74" s="2"/>
    </row>
    <row r="75" spans="8:9" x14ac:dyDescent="0.25">
      <c r="I75" s="2"/>
    </row>
    <row r="76" spans="8:9" x14ac:dyDescent="0.25">
      <c r="H76" s="8"/>
      <c r="I76" s="138"/>
    </row>
  </sheetData>
  <mergeCells count="2">
    <mergeCell ref="A23:J23"/>
    <mergeCell ref="B7:I7"/>
  </mergeCell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21B07-CE15-450D-ACD0-1C41CA4BDCAB}">
  <sheetPr codeName="Sheet4"/>
  <dimension ref="A2:AZ121"/>
  <sheetViews>
    <sheetView workbookViewId="0"/>
  </sheetViews>
  <sheetFormatPr defaultRowHeight="15" x14ac:dyDescent="0.25"/>
  <cols>
    <col min="1" max="1" width="65.5703125" bestFit="1" customWidth="1"/>
    <col min="2" max="2" width="34.140625" style="36" customWidth="1"/>
    <col min="3" max="3" width="15.5703125" bestFit="1" customWidth="1"/>
    <col min="4" max="4" width="23" customWidth="1"/>
    <col min="5" max="5" width="13.5703125" bestFit="1" customWidth="1"/>
    <col min="6" max="6" width="22.140625" customWidth="1"/>
    <col min="7" max="7" width="17.42578125" customWidth="1"/>
    <col min="8" max="9" width="13.5703125" bestFit="1" customWidth="1"/>
  </cols>
  <sheetData>
    <row r="2" spans="1:52" x14ac:dyDescent="0.25">
      <c r="A2" s="37" t="s">
        <v>179</v>
      </c>
    </row>
    <row r="3" spans="1:52" x14ac:dyDescent="0.25">
      <c r="A3" s="50" t="s">
        <v>180</v>
      </c>
      <c r="B3" s="1"/>
    </row>
    <row r="4" spans="1:52" x14ac:dyDescent="0.25">
      <c r="A4" s="50"/>
    </row>
    <row r="5" spans="1:52" x14ac:dyDescent="0.25">
      <c r="A5" s="42" t="s">
        <v>181</v>
      </c>
      <c r="B5" s="41"/>
      <c r="C5" s="53"/>
      <c r="D5" s="3"/>
    </row>
    <row r="6" spans="1:52" ht="30" x14ac:dyDescent="0.25">
      <c r="A6" s="87" t="s">
        <v>184</v>
      </c>
      <c r="B6" s="86">
        <v>205</v>
      </c>
      <c r="C6" s="53" t="s">
        <v>68</v>
      </c>
      <c r="D6" s="3"/>
    </row>
    <row r="7" spans="1:52" x14ac:dyDescent="0.25">
      <c r="A7" s="38" t="s">
        <v>185</v>
      </c>
      <c r="B7" s="86">
        <v>900</v>
      </c>
      <c r="C7" s="53" t="s">
        <v>186</v>
      </c>
      <c r="D7" s="3"/>
    </row>
    <row r="8" spans="1:52" ht="30" x14ac:dyDescent="0.25">
      <c r="A8" s="38" t="s">
        <v>191</v>
      </c>
      <c r="B8" s="88" t="s">
        <v>187</v>
      </c>
      <c r="C8" s="53" t="s">
        <v>75</v>
      </c>
      <c r="D8" s="3"/>
    </row>
    <row r="9" spans="1:52" x14ac:dyDescent="0.25">
      <c r="A9" s="38" t="s">
        <v>188</v>
      </c>
      <c r="B9" s="90">
        <v>30</v>
      </c>
      <c r="C9" s="53" t="s">
        <v>75</v>
      </c>
      <c r="D9" s="3"/>
    </row>
    <row r="10" spans="1:52" x14ac:dyDescent="0.25">
      <c r="A10" s="38" t="s">
        <v>189</v>
      </c>
      <c r="B10" s="89">
        <f>(B6*10^9)/((900*10^6)*30)</f>
        <v>7.5925925925925926</v>
      </c>
      <c r="C10" s="53" t="s">
        <v>77</v>
      </c>
      <c r="D10" s="3"/>
      <c r="AZ10" s="48"/>
    </row>
    <row r="11" spans="1:52" x14ac:dyDescent="0.25">
      <c r="A11" s="42"/>
      <c r="B11" s="41"/>
      <c r="C11" s="53"/>
      <c r="D11" s="3"/>
      <c r="AZ11" s="48"/>
    </row>
    <row r="12" spans="1:52" x14ac:dyDescent="0.25">
      <c r="A12" s="42" t="s">
        <v>190</v>
      </c>
      <c r="B12" s="1"/>
      <c r="C12" s="22"/>
      <c r="D12" s="22"/>
    </row>
    <row r="13" spans="1:52" x14ac:dyDescent="0.25">
      <c r="A13" t="s">
        <v>192</v>
      </c>
      <c r="B13" s="36">
        <v>240</v>
      </c>
      <c r="C13" s="53" t="s">
        <v>67</v>
      </c>
      <c r="AR13" s="7"/>
      <c r="AS13" s="7"/>
      <c r="AT13" s="7"/>
      <c r="AU13" s="7"/>
      <c r="AV13" s="7"/>
      <c r="AZ13" s="48"/>
    </row>
    <row r="14" spans="1:52" x14ac:dyDescent="0.25">
      <c r="A14" t="s">
        <v>193</v>
      </c>
      <c r="B14" s="36">
        <v>154</v>
      </c>
      <c r="C14" s="53" t="s">
        <v>67</v>
      </c>
      <c r="AR14" s="46"/>
      <c r="AS14" s="46"/>
      <c r="AT14" s="46"/>
      <c r="AZ14" s="4"/>
    </row>
    <row r="15" spans="1:52" x14ac:dyDescent="0.25">
      <c r="A15" t="s">
        <v>194</v>
      </c>
      <c r="B15" s="36">
        <v>282</v>
      </c>
      <c r="C15" s="53" t="s">
        <v>67</v>
      </c>
      <c r="P15" s="7"/>
      <c r="Q15" s="7"/>
      <c r="AV15" s="48"/>
      <c r="AW15" s="48"/>
      <c r="AZ15" s="4"/>
    </row>
    <row r="16" spans="1:52" x14ac:dyDescent="0.25">
      <c r="A16" t="s">
        <v>195</v>
      </c>
      <c r="B16" s="36">
        <v>140</v>
      </c>
      <c r="C16" s="53" t="s">
        <v>67</v>
      </c>
      <c r="P16" s="47"/>
      <c r="Q16" s="47"/>
      <c r="AV16" s="48"/>
    </row>
    <row r="17" spans="1:51" x14ac:dyDescent="0.25">
      <c r="A17" t="s">
        <v>196</v>
      </c>
      <c r="B17" s="36">
        <v>241</v>
      </c>
      <c r="C17" s="53" t="s">
        <v>67</v>
      </c>
      <c r="Q17" s="4"/>
      <c r="AV17" s="48"/>
      <c r="AY17" s="48"/>
    </row>
    <row r="18" spans="1:51" x14ac:dyDescent="0.25">
      <c r="A18" s="38" t="s">
        <v>188</v>
      </c>
      <c r="B18" s="90">
        <v>30</v>
      </c>
      <c r="C18" s="53" t="s">
        <v>75</v>
      </c>
      <c r="Q18" s="4"/>
      <c r="AV18" s="48"/>
      <c r="AY18" s="4"/>
    </row>
    <row r="19" spans="1:51" x14ac:dyDescent="0.25">
      <c r="A19" t="s">
        <v>197</v>
      </c>
      <c r="B19" s="36">
        <f>B13/$B$18</f>
        <v>8</v>
      </c>
      <c r="C19" s="53" t="s">
        <v>77</v>
      </c>
      <c r="Q19" s="4"/>
      <c r="AV19" s="48"/>
      <c r="AY19" s="4"/>
    </row>
    <row r="20" spans="1:51" x14ac:dyDescent="0.25">
      <c r="A20" t="s">
        <v>198</v>
      </c>
      <c r="B20" s="2">
        <f>B14/$B$18</f>
        <v>5.1333333333333337</v>
      </c>
      <c r="C20" s="53" t="s">
        <v>77</v>
      </c>
      <c r="Q20" s="4"/>
      <c r="AV20" s="48"/>
    </row>
    <row r="21" spans="1:51" x14ac:dyDescent="0.25">
      <c r="A21" t="s">
        <v>199</v>
      </c>
      <c r="B21" s="2">
        <f>B15/$B$18</f>
        <v>9.4</v>
      </c>
      <c r="C21" s="53" t="s">
        <v>77</v>
      </c>
      <c r="Q21" s="4"/>
      <c r="AV21" s="48"/>
    </row>
    <row r="22" spans="1:51" x14ac:dyDescent="0.25">
      <c r="A22" t="s">
        <v>200</v>
      </c>
      <c r="B22" s="2">
        <f>B16/$B$18</f>
        <v>4.666666666666667</v>
      </c>
      <c r="C22" s="53" t="s">
        <v>77</v>
      </c>
      <c r="Q22" s="4"/>
      <c r="AV22" s="48"/>
    </row>
    <row r="23" spans="1:51" x14ac:dyDescent="0.25">
      <c r="A23" t="s">
        <v>201</v>
      </c>
      <c r="B23" s="2">
        <f>B17/$B$18</f>
        <v>8.0333333333333332</v>
      </c>
      <c r="C23" s="53" t="s">
        <v>77</v>
      </c>
      <c r="Q23" s="4"/>
      <c r="AV23" s="48"/>
    </row>
    <row r="24" spans="1:51" x14ac:dyDescent="0.25">
      <c r="B24" s="22"/>
      <c r="H24" s="20"/>
      <c r="Q24" s="4"/>
      <c r="AV24" s="49"/>
    </row>
    <row r="25" spans="1:51" x14ac:dyDescent="0.25">
      <c r="A25" s="42" t="s">
        <v>202</v>
      </c>
      <c r="Q25" s="4"/>
      <c r="AV25" s="48"/>
    </row>
    <row r="26" spans="1:51" x14ac:dyDescent="0.25">
      <c r="A26" t="s">
        <v>203</v>
      </c>
      <c r="B26" s="36">
        <v>7</v>
      </c>
      <c r="C26" s="36" t="s">
        <v>76</v>
      </c>
      <c r="Q26" s="4"/>
      <c r="AV26" s="48"/>
    </row>
    <row r="27" spans="1:51" x14ac:dyDescent="0.25">
      <c r="A27" t="s">
        <v>82</v>
      </c>
      <c r="B27" s="36">
        <v>11</v>
      </c>
      <c r="C27" s="36" t="s">
        <v>76</v>
      </c>
      <c r="D27" t="s">
        <v>204</v>
      </c>
      <c r="Q27" s="4"/>
      <c r="AV27" s="48"/>
    </row>
    <row r="28" spans="1:51" x14ac:dyDescent="0.25">
      <c r="A28" t="s">
        <v>206</v>
      </c>
      <c r="C28" s="36"/>
      <c r="D28" t="s">
        <v>205</v>
      </c>
      <c r="Q28" s="4"/>
      <c r="AV28" s="48"/>
    </row>
    <row r="29" spans="1:51" x14ac:dyDescent="0.25">
      <c r="Q29" s="4"/>
      <c r="AV29" s="48"/>
    </row>
    <row r="30" spans="1:51" x14ac:dyDescent="0.25">
      <c r="A30" s="8" t="s">
        <v>208</v>
      </c>
      <c r="Q30" s="4"/>
      <c r="AV30" s="48"/>
    </row>
    <row r="31" spans="1:51" x14ac:dyDescent="0.25">
      <c r="A31" t="s">
        <v>211</v>
      </c>
      <c r="B31" s="36" t="s">
        <v>78</v>
      </c>
      <c r="C31" t="s">
        <v>79</v>
      </c>
      <c r="D31" t="s">
        <v>80</v>
      </c>
      <c r="Q31" s="4"/>
      <c r="AR31" s="20"/>
      <c r="AV31" s="49"/>
    </row>
    <row r="32" spans="1:51" x14ac:dyDescent="0.25">
      <c r="A32" t="s">
        <v>209</v>
      </c>
      <c r="B32" s="36">
        <f>(1400*10^4 *0.5)/(10^3*10^3)</f>
        <v>7</v>
      </c>
      <c r="C32" t="s">
        <v>77</v>
      </c>
      <c r="Q32" s="4"/>
      <c r="AV32" s="48"/>
    </row>
    <row r="33" spans="1:48" x14ac:dyDescent="0.25">
      <c r="A33" t="s">
        <v>210</v>
      </c>
      <c r="B33" s="36">
        <f>(2100*10^4 *0.5)/(10^3*10^3)</f>
        <v>10.5</v>
      </c>
      <c r="C33" t="s">
        <v>77</v>
      </c>
      <c r="D33" s="16"/>
      <c r="P33" s="5"/>
      <c r="Q33" s="4"/>
      <c r="AV33" s="48"/>
    </row>
    <row r="34" spans="1:48" x14ac:dyDescent="0.25">
      <c r="D34" s="16"/>
      <c r="P34" s="5"/>
      <c r="Q34" s="4"/>
      <c r="AV34" s="48"/>
    </row>
    <row r="35" spans="1:48" x14ac:dyDescent="0.25">
      <c r="A35" s="8" t="s">
        <v>212</v>
      </c>
      <c r="D35" s="16"/>
      <c r="Q35" s="4"/>
      <c r="AV35" s="48"/>
    </row>
    <row r="36" spans="1:48" x14ac:dyDescent="0.25">
      <c r="A36" t="s">
        <v>213</v>
      </c>
      <c r="B36" s="2">
        <v>8.81</v>
      </c>
      <c r="C36" t="s">
        <v>77</v>
      </c>
      <c r="D36" t="s">
        <v>81</v>
      </c>
      <c r="Q36" s="4"/>
      <c r="AV36" s="48"/>
    </row>
    <row r="37" spans="1:48" x14ac:dyDescent="0.25">
      <c r="Q37" s="4"/>
      <c r="AV37" s="48"/>
    </row>
    <row r="38" spans="1:48" x14ac:dyDescent="0.25">
      <c r="Q38" s="4"/>
      <c r="AV38" s="48"/>
    </row>
    <row r="39" spans="1:48" x14ac:dyDescent="0.25">
      <c r="A39" t="s">
        <v>503</v>
      </c>
      <c r="B39" s="1"/>
      <c r="Q39" s="4"/>
      <c r="AV39" s="48"/>
    </row>
    <row r="40" spans="1:48" x14ac:dyDescent="0.25">
      <c r="A40" s="21" t="s">
        <v>218</v>
      </c>
      <c r="E40" s="19"/>
      <c r="F40" s="19"/>
      <c r="G40" s="19"/>
      <c r="Q40" s="4"/>
      <c r="AV40" s="49"/>
    </row>
    <row r="41" spans="1:48" x14ac:dyDescent="0.25">
      <c r="C41" s="80" t="s">
        <v>231</v>
      </c>
      <c r="D41" s="80"/>
      <c r="E41" s="85"/>
      <c r="F41" s="85"/>
      <c r="G41" s="19"/>
      <c r="H41" s="19"/>
      <c r="Q41" s="4"/>
      <c r="AV41" s="48"/>
    </row>
    <row r="42" spans="1:48" x14ac:dyDescent="0.25">
      <c r="A42" s="42" t="s">
        <v>219</v>
      </c>
      <c r="B42" s="80" t="s">
        <v>14</v>
      </c>
      <c r="C42" s="53">
        <v>0.05</v>
      </c>
      <c r="D42" s="3"/>
      <c r="E42" s="85"/>
      <c r="F42" s="85"/>
      <c r="G42" s="19"/>
      <c r="H42" s="19"/>
      <c r="Q42" s="4"/>
      <c r="AV42" s="48"/>
    </row>
    <row r="43" spans="1:48" x14ac:dyDescent="0.25">
      <c r="A43" s="42" t="s">
        <v>220</v>
      </c>
      <c r="B43" s="80" t="s">
        <v>221</v>
      </c>
      <c r="C43" s="53">
        <v>0.06</v>
      </c>
      <c r="D43" s="3"/>
      <c r="E43" s="19"/>
      <c r="F43" s="19"/>
      <c r="G43" s="19"/>
      <c r="H43" s="19"/>
      <c r="Q43" s="4"/>
      <c r="AV43" s="48"/>
    </row>
    <row r="44" spans="1:48" x14ac:dyDescent="0.25">
      <c r="A44" s="42" t="s">
        <v>222</v>
      </c>
      <c r="B44" s="80" t="s">
        <v>18</v>
      </c>
      <c r="C44" s="53">
        <v>0.06</v>
      </c>
      <c r="D44" s="3"/>
      <c r="E44" s="19"/>
      <c r="F44" s="19"/>
      <c r="G44" s="19"/>
      <c r="H44" s="19"/>
      <c r="Q44" s="4"/>
      <c r="AV44" s="48"/>
    </row>
    <row r="45" spans="1:48" x14ac:dyDescent="0.25">
      <c r="A45" s="42" t="s">
        <v>223</v>
      </c>
      <c r="B45" s="80" t="s">
        <v>21</v>
      </c>
      <c r="C45" s="53">
        <v>0.12</v>
      </c>
      <c r="D45" s="3"/>
      <c r="E45" s="19"/>
      <c r="F45" s="19"/>
      <c r="G45" s="19"/>
      <c r="H45" s="19"/>
      <c r="Q45" s="4"/>
      <c r="AV45" s="48"/>
    </row>
    <row r="46" spans="1:48" x14ac:dyDescent="0.25">
      <c r="A46" s="42" t="s">
        <v>224</v>
      </c>
      <c r="B46" s="80" t="s">
        <v>23</v>
      </c>
      <c r="C46" s="53">
        <v>0.12</v>
      </c>
      <c r="D46" s="3"/>
      <c r="E46" s="19"/>
      <c r="F46" s="19"/>
      <c r="G46" s="19"/>
      <c r="H46" s="19"/>
      <c r="Q46" s="4"/>
      <c r="AV46" s="48"/>
    </row>
    <row r="47" spans="1:48" x14ac:dyDescent="0.25">
      <c r="A47" s="42" t="s">
        <v>225</v>
      </c>
      <c r="B47" s="80" t="s">
        <v>226</v>
      </c>
      <c r="C47" s="53">
        <v>0.15</v>
      </c>
      <c r="D47" s="3"/>
      <c r="E47" s="19"/>
      <c r="F47" s="19"/>
      <c r="G47" s="19"/>
      <c r="H47" s="19"/>
      <c r="Q47" s="4"/>
      <c r="AV47" s="48"/>
    </row>
    <row r="48" spans="1:48" x14ac:dyDescent="0.25">
      <c r="A48" s="42" t="s">
        <v>227</v>
      </c>
      <c r="B48" s="80" t="s">
        <v>38</v>
      </c>
      <c r="C48" s="53">
        <v>0.22</v>
      </c>
      <c r="D48" s="3"/>
      <c r="E48" s="19"/>
      <c r="F48" s="19"/>
      <c r="G48" s="19"/>
      <c r="H48" s="19"/>
      <c r="Q48" s="4"/>
      <c r="AV48" s="48"/>
    </row>
    <row r="49" spans="1:48" x14ac:dyDescent="0.25">
      <c r="A49" s="42" t="s">
        <v>228</v>
      </c>
      <c r="B49" s="80" t="s">
        <v>39</v>
      </c>
      <c r="C49" s="53">
        <v>0.22</v>
      </c>
      <c r="D49" s="3"/>
      <c r="E49" s="19"/>
      <c r="F49" s="19"/>
      <c r="G49" s="19"/>
      <c r="H49" s="19"/>
      <c r="Q49" s="4"/>
      <c r="AR49" s="19"/>
      <c r="AV49" s="48"/>
    </row>
    <row r="50" spans="1:48" x14ac:dyDescent="0.25">
      <c r="B50" s="36" t="s">
        <v>229</v>
      </c>
      <c r="C50" s="22">
        <f>SUM(C42:C49)</f>
        <v>0.99999999999999989</v>
      </c>
      <c r="D50" s="22"/>
      <c r="E50" s="19"/>
      <c r="F50" s="19"/>
      <c r="G50" s="19"/>
      <c r="H50" s="19"/>
      <c r="Q50" s="4"/>
      <c r="AR50" s="19"/>
      <c r="AV50" s="49"/>
    </row>
    <row r="51" spans="1:48" x14ac:dyDescent="0.25">
      <c r="C51" s="80"/>
      <c r="D51" s="80"/>
      <c r="E51" s="19"/>
      <c r="F51" s="19"/>
      <c r="G51" s="19"/>
      <c r="H51" s="19"/>
      <c r="Q51" s="4"/>
      <c r="AR51" s="19"/>
      <c r="AV51" s="48"/>
    </row>
    <row r="52" spans="1:48" x14ac:dyDescent="0.25">
      <c r="A52" s="21" t="s">
        <v>232</v>
      </c>
      <c r="D52" s="95"/>
      <c r="E52" s="95"/>
      <c r="F52" s="95"/>
      <c r="G52" s="95"/>
      <c r="H52" s="95"/>
      <c r="I52" s="95"/>
      <c r="J52" s="95"/>
      <c r="K52" s="95"/>
      <c r="Q52" s="4"/>
      <c r="AR52" s="19"/>
      <c r="AV52" s="48"/>
    </row>
    <row r="53" spans="1:48" x14ac:dyDescent="0.25">
      <c r="B53" s="80" t="s">
        <v>77</v>
      </c>
      <c r="E53" s="19"/>
      <c r="F53" s="19"/>
      <c r="G53" s="19"/>
      <c r="H53" s="19"/>
      <c r="Q53" s="4"/>
      <c r="AR53" s="12"/>
      <c r="AV53" s="48"/>
    </row>
    <row r="54" spans="1:48" x14ac:dyDescent="0.25">
      <c r="A54" s="42">
        <v>2030</v>
      </c>
      <c r="B54" s="10">
        <v>0.75427571578303798</v>
      </c>
      <c r="D54" s="96"/>
      <c r="E54" s="19"/>
      <c r="F54" s="19"/>
      <c r="G54" s="19"/>
      <c r="H54" s="19"/>
      <c r="Q54" s="4"/>
      <c r="AR54" s="19"/>
      <c r="AV54" s="48"/>
    </row>
    <row r="55" spans="1:48" x14ac:dyDescent="0.25">
      <c r="A55" s="42">
        <v>2040</v>
      </c>
      <c r="B55" s="95">
        <v>2.2061841444788253</v>
      </c>
      <c r="D55" s="96"/>
      <c r="E55" s="19"/>
      <c r="F55" s="19"/>
      <c r="G55" s="19"/>
      <c r="H55" s="19"/>
      <c r="P55" s="12"/>
      <c r="Q55" s="4"/>
      <c r="AR55" s="19"/>
      <c r="AV55" s="48"/>
    </row>
    <row r="56" spans="1:48" x14ac:dyDescent="0.25">
      <c r="A56" s="42">
        <v>2050</v>
      </c>
      <c r="B56" s="10">
        <v>4.4862390174798712</v>
      </c>
      <c r="E56" s="19"/>
      <c r="F56" s="19"/>
      <c r="G56" s="19"/>
      <c r="H56" s="19"/>
      <c r="Q56" s="4"/>
      <c r="AR56" s="19"/>
      <c r="AV56" s="48"/>
    </row>
    <row r="57" spans="1:48" x14ac:dyDescent="0.25">
      <c r="A57" s="42">
        <v>2060</v>
      </c>
      <c r="B57" s="10">
        <v>6.1830010543696847</v>
      </c>
      <c r="E57" s="19"/>
      <c r="F57" s="19"/>
      <c r="G57" s="19"/>
      <c r="H57" s="19"/>
      <c r="Q57" s="4"/>
      <c r="AR57" s="19"/>
      <c r="AV57" s="48"/>
    </row>
    <row r="58" spans="1:48" x14ac:dyDescent="0.25">
      <c r="A58" s="42">
        <v>2070</v>
      </c>
      <c r="B58" s="10">
        <v>7.5354090536917724</v>
      </c>
      <c r="E58" s="19"/>
      <c r="F58" s="19"/>
      <c r="G58" s="19"/>
      <c r="H58" s="19"/>
      <c r="Q58" s="4"/>
      <c r="AR58" s="19"/>
      <c r="AV58" s="48"/>
    </row>
    <row r="59" spans="1:48" x14ac:dyDescent="0.25">
      <c r="A59" s="42">
        <v>2080</v>
      </c>
      <c r="B59" s="10">
        <v>8.5895853130253048</v>
      </c>
      <c r="E59" s="19"/>
      <c r="F59" s="19"/>
      <c r="G59" s="19"/>
      <c r="H59" s="19"/>
      <c r="Q59" s="4"/>
      <c r="AR59" s="19"/>
      <c r="AV59" s="49"/>
    </row>
    <row r="60" spans="1:48" x14ac:dyDescent="0.25">
      <c r="A60" s="42">
        <v>2090</v>
      </c>
      <c r="B60" s="10">
        <v>9.4140169527993116</v>
      </c>
      <c r="E60" s="19"/>
      <c r="F60" s="19"/>
      <c r="G60" s="19"/>
      <c r="H60" s="19"/>
      <c r="Q60" s="4"/>
      <c r="AR60" s="19"/>
      <c r="AV60" s="48"/>
    </row>
    <row r="61" spans="1:48" x14ac:dyDescent="0.25">
      <c r="A61" s="42">
        <v>2100</v>
      </c>
      <c r="B61" s="10">
        <v>10.099716556683052</v>
      </c>
      <c r="E61" s="20"/>
      <c r="F61" s="19"/>
      <c r="G61" s="19"/>
      <c r="H61" s="19"/>
      <c r="Q61" s="4"/>
      <c r="AR61" s="19"/>
      <c r="AV61" s="48"/>
    </row>
    <row r="62" spans="1:48" x14ac:dyDescent="0.25">
      <c r="E62" s="19"/>
      <c r="F62" s="19"/>
      <c r="G62" s="19"/>
      <c r="H62" s="19"/>
      <c r="Q62" s="4"/>
      <c r="AR62" s="19"/>
      <c r="AV62" s="48"/>
    </row>
    <row r="63" spans="1:48" x14ac:dyDescent="0.25">
      <c r="E63" s="19"/>
      <c r="F63" s="19"/>
      <c r="G63" s="19"/>
      <c r="H63" s="19"/>
      <c r="Q63" s="4"/>
      <c r="AR63" s="19"/>
      <c r="AV63" s="48"/>
    </row>
    <row r="64" spans="1:48" x14ac:dyDescent="0.25">
      <c r="A64" s="37" t="s">
        <v>233</v>
      </c>
      <c r="E64" s="19"/>
      <c r="F64" s="19"/>
      <c r="G64" s="19"/>
      <c r="H64" s="19"/>
      <c r="Q64" s="4"/>
      <c r="AR64" s="19"/>
      <c r="AV64" s="48"/>
    </row>
    <row r="65" spans="1:48" x14ac:dyDescent="0.25">
      <c r="E65" s="19"/>
      <c r="F65" s="19"/>
      <c r="G65" s="19"/>
      <c r="H65" s="19"/>
      <c r="Q65" s="4"/>
      <c r="AR65" s="19"/>
      <c r="AV65" s="48"/>
    </row>
    <row r="66" spans="1:48" x14ac:dyDescent="0.25">
      <c r="A66" s="8" t="s">
        <v>234</v>
      </c>
      <c r="E66" s="19"/>
      <c r="F66" s="19"/>
      <c r="G66" s="19"/>
      <c r="H66" s="19"/>
      <c r="Q66" s="4"/>
      <c r="AR66" s="19"/>
      <c r="AV66" s="48"/>
    </row>
    <row r="67" spans="1:48" x14ac:dyDescent="0.25">
      <c r="A67" t="s">
        <v>99</v>
      </c>
      <c r="B67" s="36">
        <f xml:space="preserve"> 980*10^9</f>
        <v>980000000000</v>
      </c>
      <c r="E67" s="19"/>
      <c r="F67" s="19"/>
      <c r="G67" s="19"/>
      <c r="H67" s="19"/>
      <c r="Q67" s="4"/>
      <c r="AR67" s="19"/>
      <c r="AV67" s="48"/>
    </row>
    <row r="68" spans="1:48" ht="17.25" x14ac:dyDescent="0.25">
      <c r="A68" t="s">
        <v>235</v>
      </c>
      <c r="B68" s="36">
        <f xml:space="preserve"> 4.9* 10^12</f>
        <v>4900000000000</v>
      </c>
      <c r="C68" s="36" t="s">
        <v>239</v>
      </c>
      <c r="E68" s="19"/>
      <c r="F68" s="19"/>
      <c r="G68" s="19"/>
      <c r="H68" s="19"/>
      <c r="Q68" s="4"/>
      <c r="AR68" s="19"/>
      <c r="AV68" s="48"/>
    </row>
    <row r="69" spans="1:48" ht="17.25" x14ac:dyDescent="0.25">
      <c r="A69" t="s">
        <v>237</v>
      </c>
      <c r="B69" s="36">
        <f xml:space="preserve"> 9.8*10^12</f>
        <v>9800000000000</v>
      </c>
      <c r="C69" s="36" t="s">
        <v>240</v>
      </c>
      <c r="E69" s="19"/>
      <c r="F69" s="19"/>
      <c r="G69" s="19"/>
      <c r="H69" s="19"/>
      <c r="Q69" s="4"/>
      <c r="AR69" s="19"/>
      <c r="AV69" s="49"/>
    </row>
    <row r="70" spans="1:48" ht="17.25" x14ac:dyDescent="0.25">
      <c r="A70" t="s">
        <v>236</v>
      </c>
      <c r="B70" s="36">
        <f>B68/B67</f>
        <v>5</v>
      </c>
      <c r="C70" s="36" t="s">
        <v>239</v>
      </c>
      <c r="E70" s="19"/>
      <c r="F70" s="19"/>
      <c r="G70" s="19"/>
      <c r="H70" s="19"/>
      <c r="Q70" s="4"/>
      <c r="AR70" s="19"/>
      <c r="AV70" s="48"/>
    </row>
    <row r="71" spans="1:48" ht="17.25" x14ac:dyDescent="0.25">
      <c r="A71" t="s">
        <v>238</v>
      </c>
      <c r="B71" s="36">
        <f>B68/B69</f>
        <v>0.5</v>
      </c>
      <c r="C71" s="36" t="s">
        <v>241</v>
      </c>
      <c r="E71" s="19"/>
      <c r="F71" s="19"/>
      <c r="G71" s="19"/>
      <c r="H71" s="19"/>
      <c r="Q71" s="4"/>
      <c r="AR71" s="19"/>
      <c r="AV71" s="48"/>
    </row>
    <row r="72" spans="1:48" x14ac:dyDescent="0.25">
      <c r="C72" s="53"/>
      <c r="E72" s="19"/>
      <c r="F72" s="19"/>
      <c r="G72" s="19"/>
      <c r="H72" s="19"/>
      <c r="Q72" s="4"/>
      <c r="AR72" s="19"/>
      <c r="AV72" s="48"/>
    </row>
    <row r="73" spans="1:48" x14ac:dyDescent="0.25">
      <c r="A73" s="8" t="s">
        <v>242</v>
      </c>
      <c r="C73" s="53"/>
      <c r="E73" s="19"/>
      <c r="F73" s="19"/>
      <c r="G73" s="19"/>
      <c r="H73" s="19"/>
      <c r="Q73" s="4"/>
      <c r="AR73" s="19"/>
      <c r="AV73" s="48"/>
    </row>
    <row r="74" spans="1:48" ht="17.25" x14ac:dyDescent="0.25">
      <c r="A74" t="s">
        <v>243</v>
      </c>
      <c r="B74" s="36" t="s">
        <v>244</v>
      </c>
      <c r="C74" s="36" t="s">
        <v>245</v>
      </c>
      <c r="E74" s="19"/>
      <c r="F74" s="19"/>
      <c r="G74" s="19"/>
      <c r="H74" s="19"/>
      <c r="Q74" s="4"/>
      <c r="AR74" s="19"/>
      <c r="AV74" s="48"/>
    </row>
    <row r="75" spans="1:48" x14ac:dyDescent="0.25">
      <c r="E75" s="19"/>
      <c r="F75" s="19"/>
      <c r="G75" s="19"/>
      <c r="H75" s="19"/>
      <c r="Q75" s="4"/>
      <c r="AR75" s="19"/>
      <c r="AV75" s="48"/>
    </row>
    <row r="76" spans="1:48" x14ac:dyDescent="0.25">
      <c r="E76" s="19"/>
      <c r="F76" s="19"/>
      <c r="G76" s="19"/>
      <c r="H76" s="19"/>
      <c r="Q76" s="4"/>
      <c r="AR76" s="19"/>
      <c r="AV76" s="48"/>
    </row>
    <row r="77" spans="1:48" x14ac:dyDescent="0.25">
      <c r="A77" s="21" t="s">
        <v>246</v>
      </c>
      <c r="E77" s="19"/>
      <c r="F77" s="19"/>
      <c r="G77" s="19"/>
      <c r="H77" s="19"/>
      <c r="Q77" s="4"/>
      <c r="AR77" s="19"/>
      <c r="AV77" s="48"/>
    </row>
    <row r="78" spans="1:48" ht="17.25" x14ac:dyDescent="0.25">
      <c r="B78" s="80" t="s">
        <v>247</v>
      </c>
      <c r="C78" s="80" t="s">
        <v>248</v>
      </c>
      <c r="D78" s="130"/>
      <c r="E78" s="130"/>
      <c r="F78" s="131"/>
      <c r="G78" s="131"/>
      <c r="H78" s="131"/>
      <c r="I78" s="131"/>
      <c r="J78" s="131"/>
      <c r="K78" s="131"/>
      <c r="Q78" s="4"/>
      <c r="AR78" s="19"/>
      <c r="AV78" s="48"/>
    </row>
    <row r="79" spans="1:48" x14ac:dyDescent="0.25">
      <c r="A79" s="42">
        <v>2030</v>
      </c>
      <c r="B79" s="90">
        <v>1327.6169369772363</v>
      </c>
      <c r="C79" s="10">
        <v>0.10013892200000001</v>
      </c>
      <c r="E79" s="19"/>
      <c r="F79" s="19"/>
      <c r="G79" s="19"/>
      <c r="H79" s="19"/>
      <c r="Q79" s="4"/>
      <c r="AR79" s="19"/>
      <c r="AV79" s="48"/>
    </row>
    <row r="80" spans="1:48" x14ac:dyDescent="0.25">
      <c r="A80" s="42">
        <v>2040</v>
      </c>
      <c r="B80" s="151">
        <v>2205.6150874601954</v>
      </c>
      <c r="C80" s="44">
        <v>0.47058079400000002</v>
      </c>
      <c r="E80" s="19"/>
      <c r="F80" s="19"/>
      <c r="G80" s="19"/>
      <c r="Q80" s="4"/>
      <c r="AR80" s="19"/>
      <c r="AV80" s="48"/>
    </row>
    <row r="81" spans="1:48" x14ac:dyDescent="0.25">
      <c r="A81" s="42">
        <v>2050</v>
      </c>
      <c r="B81" s="151">
        <v>1527.2626373924024</v>
      </c>
      <c r="C81" s="44">
        <v>1.032962918</v>
      </c>
      <c r="E81" s="19"/>
      <c r="F81" s="19"/>
      <c r="G81" s="19"/>
      <c r="Q81" s="4"/>
      <c r="AR81" s="19"/>
      <c r="AV81" s="48"/>
    </row>
    <row r="82" spans="1:48" x14ac:dyDescent="0.25">
      <c r="A82" s="42">
        <v>2060</v>
      </c>
      <c r="B82" s="151">
        <v>1078.6406390830437</v>
      </c>
      <c r="C82" s="44">
        <v>1.032962918</v>
      </c>
      <c r="E82" s="19"/>
      <c r="F82" s="19"/>
      <c r="G82" s="19"/>
      <c r="Q82" s="4"/>
      <c r="AR82" s="19"/>
      <c r="AV82" s="48"/>
    </row>
    <row r="83" spans="1:48" x14ac:dyDescent="0.25">
      <c r="A83" s="42">
        <v>2070</v>
      </c>
      <c r="B83" s="151">
        <v>891.05116485546148</v>
      </c>
      <c r="C83" s="44">
        <v>1.032962918</v>
      </c>
      <c r="E83" s="19"/>
      <c r="F83" s="19"/>
      <c r="G83" s="19"/>
      <c r="Q83" s="4"/>
      <c r="AR83" s="19"/>
      <c r="AV83" s="48"/>
    </row>
    <row r="84" spans="1:48" x14ac:dyDescent="0.25">
      <c r="A84" s="42">
        <v>2080</v>
      </c>
      <c r="B84" s="90">
        <v>806.60588678062811</v>
      </c>
      <c r="C84" s="10">
        <v>1.032962918</v>
      </c>
      <c r="E84" s="19"/>
      <c r="F84" s="19"/>
      <c r="G84" s="19"/>
      <c r="Q84" s="4"/>
      <c r="AR84" s="19"/>
      <c r="AV84" s="48"/>
    </row>
    <row r="85" spans="1:48" x14ac:dyDescent="0.25">
      <c r="A85" s="42">
        <v>2090</v>
      </c>
      <c r="B85" s="90">
        <v>763.11284899027999</v>
      </c>
      <c r="C85" s="10">
        <v>1.032962918</v>
      </c>
      <c r="E85" s="19"/>
      <c r="F85" s="19"/>
      <c r="G85" s="19"/>
      <c r="Q85" s="4"/>
      <c r="AR85" s="19"/>
      <c r="AV85" s="48"/>
    </row>
    <row r="86" spans="1:48" x14ac:dyDescent="0.25">
      <c r="A86" s="42">
        <v>2100</v>
      </c>
      <c r="B86" s="90">
        <v>726.72657605931522</v>
      </c>
      <c r="C86" s="10">
        <v>1.032962918</v>
      </c>
      <c r="E86" s="19"/>
      <c r="F86" s="19"/>
      <c r="G86" s="19"/>
      <c r="Q86" s="4"/>
      <c r="AR86" s="19"/>
      <c r="AV86" s="48"/>
    </row>
    <row r="87" spans="1:48" x14ac:dyDescent="0.25">
      <c r="E87" s="19"/>
      <c r="F87" s="19"/>
      <c r="G87" s="19"/>
      <c r="Q87" s="4"/>
      <c r="AR87" s="19"/>
      <c r="AV87" s="48"/>
    </row>
    <row r="88" spans="1:48" x14ac:dyDescent="0.25">
      <c r="E88" s="19"/>
      <c r="F88" s="19"/>
      <c r="G88" s="19"/>
      <c r="Q88" s="4"/>
      <c r="AR88" s="19"/>
      <c r="AV88" s="48"/>
    </row>
    <row r="89" spans="1:48" x14ac:dyDescent="0.25">
      <c r="A89" t="s">
        <v>249</v>
      </c>
      <c r="E89" s="19"/>
      <c r="F89" s="19"/>
      <c r="G89" s="19"/>
      <c r="Q89" s="4"/>
      <c r="AR89" s="19"/>
      <c r="AV89" s="48"/>
    </row>
    <row r="90" spans="1:48" x14ac:dyDescent="0.25">
      <c r="E90" s="19"/>
      <c r="F90" s="19"/>
      <c r="G90" s="19"/>
      <c r="Q90" s="4"/>
    </row>
    <row r="91" spans="1:48" x14ac:dyDescent="0.25">
      <c r="E91" s="19"/>
      <c r="F91" s="19"/>
      <c r="G91" s="19"/>
      <c r="Q91" s="4"/>
    </row>
    <row r="92" spans="1:48" x14ac:dyDescent="0.25">
      <c r="E92" s="19"/>
      <c r="F92" s="19"/>
      <c r="G92" s="19"/>
    </row>
    <row r="93" spans="1:48" x14ac:dyDescent="0.25">
      <c r="E93" s="19"/>
      <c r="F93" s="19"/>
      <c r="G93" s="19"/>
    </row>
    <row r="94" spans="1:48" x14ac:dyDescent="0.25">
      <c r="E94" s="19"/>
      <c r="F94" s="19"/>
      <c r="G94" s="19"/>
    </row>
    <row r="95" spans="1:48" x14ac:dyDescent="0.25">
      <c r="E95" s="19"/>
      <c r="F95" s="19"/>
      <c r="G95" s="19"/>
    </row>
    <row r="96" spans="1:48" x14ac:dyDescent="0.25">
      <c r="E96" s="19"/>
      <c r="F96" s="19"/>
      <c r="G96" s="19"/>
    </row>
    <row r="97" spans="5:7" x14ac:dyDescent="0.25">
      <c r="E97" s="19"/>
      <c r="F97" s="19"/>
      <c r="G97" s="19"/>
    </row>
    <row r="98" spans="5:7" x14ac:dyDescent="0.25">
      <c r="E98" s="19"/>
      <c r="F98" s="19"/>
      <c r="G98" s="19"/>
    </row>
    <row r="99" spans="5:7" x14ac:dyDescent="0.25">
      <c r="E99" s="19"/>
      <c r="F99" s="19"/>
      <c r="G99" s="19"/>
    </row>
    <row r="100" spans="5:7" x14ac:dyDescent="0.25">
      <c r="E100" s="19"/>
      <c r="F100" s="19"/>
      <c r="G100" s="19"/>
    </row>
    <row r="101" spans="5:7" x14ac:dyDescent="0.25">
      <c r="E101" s="19"/>
      <c r="F101" s="19"/>
      <c r="G101" s="19"/>
    </row>
    <row r="102" spans="5:7" x14ac:dyDescent="0.25">
      <c r="E102" s="19"/>
      <c r="F102" s="19"/>
      <c r="G102" s="19"/>
    </row>
    <row r="103" spans="5:7" x14ac:dyDescent="0.25">
      <c r="E103" s="19"/>
      <c r="F103" s="19"/>
      <c r="G103" s="19"/>
    </row>
    <row r="104" spans="5:7" x14ac:dyDescent="0.25">
      <c r="E104" s="19"/>
      <c r="F104" s="19"/>
      <c r="G104" s="19"/>
    </row>
    <row r="105" spans="5:7" x14ac:dyDescent="0.25">
      <c r="E105" s="19"/>
      <c r="F105" s="19"/>
      <c r="G105" s="19"/>
    </row>
    <row r="106" spans="5:7" x14ac:dyDescent="0.25">
      <c r="E106" s="19"/>
      <c r="F106" s="19"/>
      <c r="G106" s="19"/>
    </row>
    <row r="107" spans="5:7" x14ac:dyDescent="0.25">
      <c r="E107" s="19"/>
      <c r="F107" s="19"/>
      <c r="G107" s="19"/>
    </row>
    <row r="108" spans="5:7" x14ac:dyDescent="0.25">
      <c r="E108" s="19"/>
      <c r="F108" s="19"/>
      <c r="G108" s="19"/>
    </row>
    <row r="109" spans="5:7" x14ac:dyDescent="0.25">
      <c r="E109" s="19"/>
      <c r="F109" s="19"/>
      <c r="G109" s="19"/>
    </row>
    <row r="110" spans="5:7" x14ac:dyDescent="0.25">
      <c r="E110" s="19"/>
      <c r="F110" s="19"/>
      <c r="G110" s="19"/>
    </row>
    <row r="111" spans="5:7" x14ac:dyDescent="0.25">
      <c r="E111" s="19"/>
      <c r="F111" s="19"/>
      <c r="G111" s="19"/>
    </row>
    <row r="112" spans="5:7" x14ac:dyDescent="0.25">
      <c r="E112" s="19"/>
      <c r="F112" s="19"/>
      <c r="G112" s="19"/>
    </row>
    <row r="113" spans="5:7" x14ac:dyDescent="0.25">
      <c r="E113" s="19"/>
      <c r="F113" s="19"/>
      <c r="G113" s="19"/>
    </row>
    <row r="114" spans="5:7" x14ac:dyDescent="0.25">
      <c r="E114" s="19"/>
      <c r="F114" s="19"/>
      <c r="G114" s="19"/>
    </row>
    <row r="115" spans="5:7" x14ac:dyDescent="0.25">
      <c r="E115" s="19"/>
      <c r="F115" s="19"/>
      <c r="G115" s="19"/>
    </row>
    <row r="116" spans="5:7" x14ac:dyDescent="0.25">
      <c r="E116" s="19"/>
      <c r="F116" s="19"/>
      <c r="G116" s="19"/>
    </row>
    <row r="117" spans="5:7" x14ac:dyDescent="0.25">
      <c r="E117" s="19"/>
      <c r="F117" s="19"/>
      <c r="G117" s="19"/>
    </row>
    <row r="118" spans="5:7" x14ac:dyDescent="0.25">
      <c r="E118" s="19"/>
      <c r="F118" s="19"/>
      <c r="G118" s="19"/>
    </row>
    <row r="119" spans="5:7" x14ac:dyDescent="0.25">
      <c r="E119" s="19"/>
      <c r="F119" s="19"/>
      <c r="G119" s="19"/>
    </row>
    <row r="120" spans="5:7" x14ac:dyDescent="0.25">
      <c r="E120" s="19"/>
      <c r="F120" s="19"/>
      <c r="G120" s="19"/>
    </row>
    <row r="121" spans="5:7" x14ac:dyDescent="0.25">
      <c r="E121" s="19"/>
      <c r="F121" s="19"/>
      <c r="G121" s="19"/>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28982-72C3-4B93-AEA7-31275418AAB3}">
  <dimension ref="A1:F208"/>
  <sheetViews>
    <sheetView workbookViewId="0"/>
  </sheetViews>
  <sheetFormatPr defaultRowHeight="15" x14ac:dyDescent="0.25"/>
  <cols>
    <col min="1" max="1" width="47.42578125" bestFit="1" customWidth="1"/>
    <col min="2" max="2" width="29.42578125" style="8" bestFit="1" customWidth="1"/>
    <col min="4" max="4" width="23.85546875" bestFit="1" customWidth="1"/>
    <col min="5" max="5" width="31.85546875" bestFit="1" customWidth="1"/>
  </cols>
  <sheetData>
    <row r="1" spans="1:6" x14ac:dyDescent="0.25">
      <c r="A1" s="132" t="s">
        <v>252</v>
      </c>
      <c r="B1" s="137" t="s">
        <v>253</v>
      </c>
      <c r="D1" s="8" t="s">
        <v>476</v>
      </c>
      <c r="E1" s="8" t="s">
        <v>477</v>
      </c>
    </row>
    <row r="2" spans="1:6" x14ac:dyDescent="0.25">
      <c r="A2" s="94" t="s">
        <v>254</v>
      </c>
      <c r="B2" s="137" t="s">
        <v>255</v>
      </c>
      <c r="D2" s="94" t="s">
        <v>259</v>
      </c>
      <c r="E2" s="94" t="s">
        <v>259</v>
      </c>
    </row>
    <row r="3" spans="1:6" x14ac:dyDescent="0.25">
      <c r="A3" s="94" t="s">
        <v>256</v>
      </c>
      <c r="B3" s="137" t="s">
        <v>257</v>
      </c>
      <c r="D3" s="94" t="s">
        <v>271</v>
      </c>
      <c r="E3" s="94" t="s">
        <v>271</v>
      </c>
    </row>
    <row r="4" spans="1:6" x14ac:dyDescent="0.25">
      <c r="A4" s="94" t="s">
        <v>258</v>
      </c>
      <c r="B4" s="137" t="s">
        <v>259</v>
      </c>
      <c r="D4" s="94" t="s">
        <v>261</v>
      </c>
      <c r="E4" s="94" t="s">
        <v>261</v>
      </c>
    </row>
    <row r="5" spans="1:6" x14ac:dyDescent="0.25">
      <c r="A5" s="94" t="s">
        <v>260</v>
      </c>
      <c r="B5" s="137" t="s">
        <v>261</v>
      </c>
      <c r="D5" s="94" t="s">
        <v>264</v>
      </c>
      <c r="E5" s="94" t="s">
        <v>471</v>
      </c>
    </row>
    <row r="6" spans="1:6" x14ac:dyDescent="0.25">
      <c r="A6" s="94" t="s">
        <v>262</v>
      </c>
      <c r="B6" s="137" t="s">
        <v>259</v>
      </c>
      <c r="D6" s="94" t="s">
        <v>257</v>
      </c>
      <c r="E6" s="94" t="s">
        <v>257</v>
      </c>
    </row>
    <row r="7" spans="1:6" x14ac:dyDescent="0.25">
      <c r="A7" s="94" t="s">
        <v>263</v>
      </c>
      <c r="B7" s="137" t="s">
        <v>264</v>
      </c>
      <c r="D7" s="94" t="s">
        <v>304</v>
      </c>
      <c r="E7" s="94" t="s">
        <v>472</v>
      </c>
    </row>
    <row r="8" spans="1:6" x14ac:dyDescent="0.25">
      <c r="A8" s="94" t="s">
        <v>265</v>
      </c>
      <c r="B8" s="137" t="s">
        <v>504</v>
      </c>
      <c r="D8" s="94" t="s">
        <v>273</v>
      </c>
      <c r="E8" s="94" t="s">
        <v>473</v>
      </c>
    </row>
    <row r="9" spans="1:6" x14ac:dyDescent="0.25">
      <c r="A9" s="94" t="s">
        <v>266</v>
      </c>
      <c r="B9" s="137" t="s">
        <v>504</v>
      </c>
      <c r="D9" s="94" t="s">
        <v>298</v>
      </c>
      <c r="E9" s="94" t="s">
        <v>474</v>
      </c>
    </row>
    <row r="10" spans="1:6" x14ac:dyDescent="0.25">
      <c r="A10" s="94" t="s">
        <v>267</v>
      </c>
      <c r="B10" s="137" t="s">
        <v>504</v>
      </c>
      <c r="D10" s="94" t="s">
        <v>269</v>
      </c>
      <c r="E10" s="94" t="s">
        <v>475</v>
      </c>
    </row>
    <row r="11" spans="1:6" x14ac:dyDescent="0.25">
      <c r="A11" s="94" t="s">
        <v>268</v>
      </c>
      <c r="B11" s="137" t="s">
        <v>269</v>
      </c>
      <c r="D11" s="94" t="s">
        <v>255</v>
      </c>
      <c r="E11" s="94" t="s">
        <v>255</v>
      </c>
    </row>
    <row r="12" spans="1:6" x14ac:dyDescent="0.25">
      <c r="A12" s="94" t="s">
        <v>270</v>
      </c>
      <c r="B12" s="137" t="s">
        <v>271</v>
      </c>
      <c r="D12" s="94" t="s">
        <v>504</v>
      </c>
      <c r="E12" s="94" t="s">
        <v>505</v>
      </c>
      <c r="F12" s="94" t="s">
        <v>478</v>
      </c>
    </row>
    <row r="13" spans="1:6" x14ac:dyDescent="0.25">
      <c r="A13" s="94" t="s">
        <v>272</v>
      </c>
      <c r="B13" s="137" t="s">
        <v>273</v>
      </c>
    </row>
    <row r="14" spans="1:6" x14ac:dyDescent="0.25">
      <c r="A14" s="94" t="s">
        <v>274</v>
      </c>
      <c r="B14" s="137" t="s">
        <v>259</v>
      </c>
    </row>
    <row r="15" spans="1:6" x14ac:dyDescent="0.25">
      <c r="A15" s="94" t="s">
        <v>275</v>
      </c>
      <c r="B15" s="137" t="s">
        <v>271</v>
      </c>
    </row>
    <row r="16" spans="1:6" x14ac:dyDescent="0.25">
      <c r="A16" s="94" t="s">
        <v>276</v>
      </c>
      <c r="B16" s="137" t="s">
        <v>504</v>
      </c>
    </row>
    <row r="17" spans="1:2" x14ac:dyDescent="0.25">
      <c r="A17" s="94" t="s">
        <v>277</v>
      </c>
      <c r="B17" s="137" t="s">
        <v>261</v>
      </c>
    </row>
    <row r="18" spans="1:2" x14ac:dyDescent="0.25">
      <c r="A18" s="94" t="s">
        <v>278</v>
      </c>
      <c r="B18" s="137" t="s">
        <v>257</v>
      </c>
    </row>
    <row r="19" spans="1:2" x14ac:dyDescent="0.25">
      <c r="A19" s="94" t="s">
        <v>279</v>
      </c>
      <c r="B19" s="137" t="s">
        <v>504</v>
      </c>
    </row>
    <row r="20" spans="1:2" x14ac:dyDescent="0.25">
      <c r="A20" s="94" t="s">
        <v>280</v>
      </c>
      <c r="B20" s="137" t="s">
        <v>271</v>
      </c>
    </row>
    <row r="21" spans="1:2" x14ac:dyDescent="0.25">
      <c r="A21" s="94" t="s">
        <v>281</v>
      </c>
      <c r="B21" s="137" t="s">
        <v>259</v>
      </c>
    </row>
    <row r="22" spans="1:2" x14ac:dyDescent="0.25">
      <c r="A22" s="94" t="s">
        <v>282</v>
      </c>
      <c r="B22" s="137" t="s">
        <v>269</v>
      </c>
    </row>
    <row r="23" spans="1:2" x14ac:dyDescent="0.25">
      <c r="A23" s="94" t="s">
        <v>283</v>
      </c>
      <c r="B23" s="137" t="s">
        <v>264</v>
      </c>
    </row>
    <row r="24" spans="1:2" x14ac:dyDescent="0.25">
      <c r="A24" s="94" t="s">
        <v>284</v>
      </c>
      <c r="B24" s="137" t="s">
        <v>504</v>
      </c>
    </row>
    <row r="25" spans="1:2" x14ac:dyDescent="0.25">
      <c r="A25" s="94" t="s">
        <v>285</v>
      </c>
      <c r="B25" s="137" t="s">
        <v>257</v>
      </c>
    </row>
    <row r="26" spans="1:2" x14ac:dyDescent="0.25">
      <c r="A26" s="94" t="s">
        <v>286</v>
      </c>
      <c r="B26" s="137" t="s">
        <v>269</v>
      </c>
    </row>
    <row r="27" spans="1:2" x14ac:dyDescent="0.25">
      <c r="A27" s="94" t="s">
        <v>287</v>
      </c>
      <c r="B27" s="137" t="s">
        <v>259</v>
      </c>
    </row>
    <row r="28" spans="1:2" x14ac:dyDescent="0.25">
      <c r="A28" s="94" t="s">
        <v>288</v>
      </c>
      <c r="B28" s="137" t="s">
        <v>264</v>
      </c>
    </row>
    <row r="29" spans="1:2" x14ac:dyDescent="0.25">
      <c r="A29" s="94" t="s">
        <v>289</v>
      </c>
      <c r="B29" s="137" t="s">
        <v>504</v>
      </c>
    </row>
    <row r="30" spans="1:2" x14ac:dyDescent="0.25">
      <c r="A30" s="94" t="s">
        <v>290</v>
      </c>
      <c r="B30" s="137" t="s">
        <v>269</v>
      </c>
    </row>
    <row r="31" spans="1:2" x14ac:dyDescent="0.25">
      <c r="A31" s="94" t="s">
        <v>291</v>
      </c>
      <c r="B31" s="137" t="s">
        <v>273</v>
      </c>
    </row>
    <row r="32" spans="1:2" x14ac:dyDescent="0.25">
      <c r="A32" s="94" t="s">
        <v>292</v>
      </c>
      <c r="B32" s="137" t="s">
        <v>259</v>
      </c>
    </row>
    <row r="33" spans="1:2" x14ac:dyDescent="0.25">
      <c r="A33" s="94" t="s">
        <v>293</v>
      </c>
      <c r="B33" s="137" t="s">
        <v>273</v>
      </c>
    </row>
    <row r="34" spans="1:2" x14ac:dyDescent="0.25">
      <c r="A34" s="94" t="s">
        <v>294</v>
      </c>
      <c r="B34" s="137" t="s">
        <v>264</v>
      </c>
    </row>
    <row r="35" spans="1:2" x14ac:dyDescent="0.25">
      <c r="A35" s="94" t="s">
        <v>295</v>
      </c>
      <c r="B35" s="137" t="s">
        <v>273</v>
      </c>
    </row>
    <row r="36" spans="1:2" x14ac:dyDescent="0.25">
      <c r="A36" s="94" t="s">
        <v>296</v>
      </c>
      <c r="B36" s="137" t="s">
        <v>264</v>
      </c>
    </row>
    <row r="37" spans="1:2" x14ac:dyDescent="0.25">
      <c r="A37" s="94" t="s">
        <v>297</v>
      </c>
      <c r="B37" s="137" t="s">
        <v>298</v>
      </c>
    </row>
    <row r="38" spans="1:2" x14ac:dyDescent="0.25">
      <c r="A38" s="94" t="s">
        <v>299</v>
      </c>
      <c r="B38" s="137" t="s">
        <v>264</v>
      </c>
    </row>
    <row r="39" spans="1:2" x14ac:dyDescent="0.25">
      <c r="A39" s="94" t="s">
        <v>300</v>
      </c>
      <c r="B39" s="137" t="s">
        <v>264</v>
      </c>
    </row>
    <row r="40" spans="1:2" x14ac:dyDescent="0.25">
      <c r="A40" s="94" t="s">
        <v>301</v>
      </c>
      <c r="B40" s="137" t="s">
        <v>264</v>
      </c>
    </row>
    <row r="41" spans="1:2" x14ac:dyDescent="0.25">
      <c r="A41" s="94" t="s">
        <v>302</v>
      </c>
      <c r="B41" s="137" t="s">
        <v>269</v>
      </c>
    </row>
    <row r="42" spans="1:2" x14ac:dyDescent="0.25">
      <c r="A42" s="94" t="s">
        <v>303</v>
      </c>
      <c r="B42" s="137" t="s">
        <v>304</v>
      </c>
    </row>
    <row r="43" spans="1:2" x14ac:dyDescent="0.25">
      <c r="A43" s="94" t="s">
        <v>305</v>
      </c>
      <c r="B43" s="137" t="s">
        <v>269</v>
      </c>
    </row>
    <row r="44" spans="1:2" x14ac:dyDescent="0.25">
      <c r="A44" s="94" t="s">
        <v>306</v>
      </c>
      <c r="B44" s="137" t="s">
        <v>264</v>
      </c>
    </row>
    <row r="45" spans="1:2" x14ac:dyDescent="0.25">
      <c r="A45" s="94" t="s">
        <v>307</v>
      </c>
      <c r="B45" s="137" t="s">
        <v>264</v>
      </c>
    </row>
    <row r="46" spans="1:2" x14ac:dyDescent="0.25">
      <c r="A46" s="94" t="s">
        <v>308</v>
      </c>
      <c r="B46" s="137" t="s">
        <v>264</v>
      </c>
    </row>
    <row r="47" spans="1:2" x14ac:dyDescent="0.25">
      <c r="A47" s="94" t="s">
        <v>309</v>
      </c>
      <c r="B47" s="137" t="s">
        <v>269</v>
      </c>
    </row>
    <row r="48" spans="1:2" x14ac:dyDescent="0.25">
      <c r="A48" s="94" t="s">
        <v>310</v>
      </c>
      <c r="B48" s="137" t="s">
        <v>259</v>
      </c>
    </row>
    <row r="49" spans="1:2" x14ac:dyDescent="0.25">
      <c r="A49" s="94" t="s">
        <v>311</v>
      </c>
      <c r="B49" s="137" t="s">
        <v>504</v>
      </c>
    </row>
    <row r="50" spans="1:2" x14ac:dyDescent="0.25">
      <c r="A50" s="94" t="s">
        <v>312</v>
      </c>
      <c r="B50" s="137" t="s">
        <v>504</v>
      </c>
    </row>
    <row r="51" spans="1:2" x14ac:dyDescent="0.25">
      <c r="A51" s="94" t="s">
        <v>313</v>
      </c>
      <c r="B51" s="137" t="s">
        <v>259</v>
      </c>
    </row>
    <row r="52" spans="1:2" x14ac:dyDescent="0.25">
      <c r="A52" s="94" t="s">
        <v>314</v>
      </c>
      <c r="B52" s="137" t="s">
        <v>259</v>
      </c>
    </row>
    <row r="53" spans="1:2" x14ac:dyDescent="0.25">
      <c r="A53" s="94" t="s">
        <v>315</v>
      </c>
      <c r="B53" s="137" t="s">
        <v>259</v>
      </c>
    </row>
    <row r="54" spans="1:2" x14ac:dyDescent="0.25">
      <c r="A54" s="94" t="s">
        <v>316</v>
      </c>
      <c r="B54" s="137" t="s">
        <v>264</v>
      </c>
    </row>
    <row r="55" spans="1:2" x14ac:dyDescent="0.25">
      <c r="A55" s="94" t="s">
        <v>317</v>
      </c>
      <c r="B55" s="137" t="s">
        <v>504</v>
      </c>
    </row>
    <row r="56" spans="1:2" x14ac:dyDescent="0.25">
      <c r="A56" s="94" t="s">
        <v>318</v>
      </c>
      <c r="B56" s="137" t="s">
        <v>504</v>
      </c>
    </row>
    <row r="57" spans="1:2" x14ac:dyDescent="0.25">
      <c r="A57" s="94" t="s">
        <v>319</v>
      </c>
      <c r="B57" s="137" t="s">
        <v>269</v>
      </c>
    </row>
    <row r="58" spans="1:2" x14ac:dyDescent="0.25">
      <c r="A58" s="94" t="s">
        <v>320</v>
      </c>
      <c r="B58" s="137" t="s">
        <v>261</v>
      </c>
    </row>
    <row r="59" spans="1:2" x14ac:dyDescent="0.25">
      <c r="A59" s="94" t="s">
        <v>321</v>
      </c>
      <c r="B59" s="137" t="s">
        <v>269</v>
      </c>
    </row>
    <row r="60" spans="1:2" x14ac:dyDescent="0.25">
      <c r="A60" s="94" t="s">
        <v>322</v>
      </c>
      <c r="B60" s="137" t="s">
        <v>264</v>
      </c>
    </row>
    <row r="61" spans="1:2" x14ac:dyDescent="0.25">
      <c r="A61" s="94" t="s">
        <v>323</v>
      </c>
      <c r="B61" s="137" t="s">
        <v>264</v>
      </c>
    </row>
    <row r="62" spans="1:2" x14ac:dyDescent="0.25">
      <c r="A62" s="94" t="s">
        <v>324</v>
      </c>
      <c r="B62" s="137" t="s">
        <v>259</v>
      </c>
    </row>
    <row r="63" spans="1:2" x14ac:dyDescent="0.25">
      <c r="A63" s="94" t="s">
        <v>325</v>
      </c>
      <c r="B63" s="137" t="s">
        <v>264</v>
      </c>
    </row>
    <row r="64" spans="1:2" x14ac:dyDescent="0.25">
      <c r="A64" s="94" t="s">
        <v>326</v>
      </c>
      <c r="B64" s="137" t="s">
        <v>504</v>
      </c>
    </row>
    <row r="65" spans="1:2" x14ac:dyDescent="0.25">
      <c r="A65" s="94" t="s">
        <v>327</v>
      </c>
      <c r="B65" s="137" t="s">
        <v>504</v>
      </c>
    </row>
    <row r="66" spans="1:2" x14ac:dyDescent="0.25">
      <c r="A66" s="94" t="s">
        <v>328</v>
      </c>
      <c r="B66" s="137" t="s">
        <v>504</v>
      </c>
    </row>
    <row r="67" spans="1:2" x14ac:dyDescent="0.25">
      <c r="A67" s="94" t="s">
        <v>329</v>
      </c>
      <c r="B67" s="137" t="s">
        <v>259</v>
      </c>
    </row>
    <row r="68" spans="1:2" x14ac:dyDescent="0.25">
      <c r="A68" s="94" t="s">
        <v>330</v>
      </c>
      <c r="B68" s="137" t="s">
        <v>259</v>
      </c>
    </row>
    <row r="69" spans="1:2" x14ac:dyDescent="0.25">
      <c r="A69" s="94" t="s">
        <v>331</v>
      </c>
      <c r="B69" s="137" t="s">
        <v>269</v>
      </c>
    </row>
    <row r="70" spans="1:2" x14ac:dyDescent="0.25">
      <c r="A70" s="94" t="s">
        <v>332</v>
      </c>
      <c r="B70" s="137" t="s">
        <v>264</v>
      </c>
    </row>
    <row r="71" spans="1:2" x14ac:dyDescent="0.25">
      <c r="A71" s="94" t="s">
        <v>333</v>
      </c>
      <c r="B71" s="137" t="s">
        <v>264</v>
      </c>
    </row>
    <row r="72" spans="1:2" x14ac:dyDescent="0.25">
      <c r="A72" s="94" t="s">
        <v>334</v>
      </c>
      <c r="B72" s="137" t="s">
        <v>271</v>
      </c>
    </row>
    <row r="73" spans="1:2" x14ac:dyDescent="0.25">
      <c r="A73" s="94" t="s">
        <v>335</v>
      </c>
      <c r="B73" s="137" t="s">
        <v>259</v>
      </c>
    </row>
    <row r="74" spans="1:2" x14ac:dyDescent="0.25">
      <c r="A74" s="94" t="s">
        <v>336</v>
      </c>
      <c r="B74" s="137" t="s">
        <v>264</v>
      </c>
    </row>
    <row r="75" spans="1:2" x14ac:dyDescent="0.25">
      <c r="A75" s="94" t="s">
        <v>337</v>
      </c>
      <c r="B75" s="137" t="s">
        <v>259</v>
      </c>
    </row>
    <row r="76" spans="1:2" x14ac:dyDescent="0.25">
      <c r="A76" s="94" t="s">
        <v>338</v>
      </c>
      <c r="B76" s="137" t="s">
        <v>504</v>
      </c>
    </row>
    <row r="77" spans="1:2" x14ac:dyDescent="0.25">
      <c r="A77" s="94" t="s">
        <v>339</v>
      </c>
      <c r="B77" s="137" t="s">
        <v>504</v>
      </c>
    </row>
    <row r="78" spans="1:2" x14ac:dyDescent="0.25">
      <c r="A78" s="94" t="s">
        <v>340</v>
      </c>
      <c r="B78" s="137" t="s">
        <v>504</v>
      </c>
    </row>
    <row r="79" spans="1:2" x14ac:dyDescent="0.25">
      <c r="A79" s="94" t="s">
        <v>341</v>
      </c>
      <c r="B79" s="137" t="s">
        <v>504</v>
      </c>
    </row>
    <row r="80" spans="1:2" x14ac:dyDescent="0.25">
      <c r="A80" s="94" t="s">
        <v>342</v>
      </c>
      <c r="B80" s="137" t="s">
        <v>269</v>
      </c>
    </row>
    <row r="81" spans="1:2" x14ac:dyDescent="0.25">
      <c r="A81" s="94" t="s">
        <v>343</v>
      </c>
      <c r="B81" s="137" t="s">
        <v>264</v>
      </c>
    </row>
    <row r="82" spans="1:2" x14ac:dyDescent="0.25">
      <c r="A82" s="94" t="s">
        <v>344</v>
      </c>
      <c r="B82" s="137" t="s">
        <v>264</v>
      </c>
    </row>
    <row r="83" spans="1:2" x14ac:dyDescent="0.25">
      <c r="A83" s="94" t="s">
        <v>345</v>
      </c>
      <c r="B83" s="137" t="s">
        <v>269</v>
      </c>
    </row>
    <row r="84" spans="1:2" x14ac:dyDescent="0.25">
      <c r="A84" s="94" t="s">
        <v>346</v>
      </c>
      <c r="B84" s="137" t="s">
        <v>504</v>
      </c>
    </row>
    <row r="85" spans="1:2" x14ac:dyDescent="0.25">
      <c r="A85" s="94" t="s">
        <v>347</v>
      </c>
      <c r="B85" s="137" t="s">
        <v>269</v>
      </c>
    </row>
    <row r="86" spans="1:2" x14ac:dyDescent="0.25">
      <c r="A86" s="94" t="s">
        <v>348</v>
      </c>
      <c r="B86" s="137" t="s">
        <v>304</v>
      </c>
    </row>
    <row r="87" spans="1:2" x14ac:dyDescent="0.25">
      <c r="A87" s="94" t="s">
        <v>349</v>
      </c>
      <c r="B87" s="137" t="s">
        <v>259</v>
      </c>
    </row>
    <row r="88" spans="1:2" x14ac:dyDescent="0.25">
      <c r="A88" s="94" t="s">
        <v>350</v>
      </c>
      <c r="B88" s="137" t="s">
        <v>259</v>
      </c>
    </row>
    <row r="89" spans="1:2" x14ac:dyDescent="0.25">
      <c r="A89" s="94" t="s">
        <v>351</v>
      </c>
      <c r="B89" s="137" t="s">
        <v>504</v>
      </c>
    </row>
    <row r="90" spans="1:2" x14ac:dyDescent="0.25">
      <c r="A90" s="94" t="s">
        <v>352</v>
      </c>
      <c r="B90" s="137" t="s">
        <v>257</v>
      </c>
    </row>
    <row r="91" spans="1:2" x14ac:dyDescent="0.25">
      <c r="A91" s="94" t="s">
        <v>353</v>
      </c>
      <c r="B91" s="137" t="s">
        <v>273</v>
      </c>
    </row>
    <row r="92" spans="1:2" x14ac:dyDescent="0.25">
      <c r="A92" s="94" t="s">
        <v>354</v>
      </c>
      <c r="B92" s="137" t="s">
        <v>261</v>
      </c>
    </row>
    <row r="93" spans="1:2" x14ac:dyDescent="0.25">
      <c r="A93" s="94" t="s">
        <v>355</v>
      </c>
      <c r="B93" s="137" t="s">
        <v>261</v>
      </c>
    </row>
    <row r="94" spans="1:2" x14ac:dyDescent="0.25">
      <c r="A94" s="94" t="s">
        <v>356</v>
      </c>
      <c r="B94" s="137" t="s">
        <v>259</v>
      </c>
    </row>
    <row r="95" spans="1:2" x14ac:dyDescent="0.25">
      <c r="A95" s="94" t="s">
        <v>357</v>
      </c>
      <c r="B95" s="137" t="s">
        <v>261</v>
      </c>
    </row>
    <row r="96" spans="1:2" x14ac:dyDescent="0.25">
      <c r="A96" s="94" t="s">
        <v>358</v>
      </c>
      <c r="B96" s="137" t="s">
        <v>259</v>
      </c>
    </row>
    <row r="97" spans="1:2" x14ac:dyDescent="0.25">
      <c r="A97" s="94" t="s">
        <v>359</v>
      </c>
      <c r="B97" s="137" t="s">
        <v>264</v>
      </c>
    </row>
    <row r="98" spans="1:2" x14ac:dyDescent="0.25">
      <c r="A98" s="94" t="s">
        <v>360</v>
      </c>
      <c r="B98" s="137" t="s">
        <v>504</v>
      </c>
    </row>
    <row r="99" spans="1:2" x14ac:dyDescent="0.25">
      <c r="A99" s="94" t="s">
        <v>361</v>
      </c>
      <c r="B99" s="137" t="s">
        <v>304</v>
      </c>
    </row>
    <row r="100" spans="1:2" x14ac:dyDescent="0.25">
      <c r="A100" s="94" t="s">
        <v>362</v>
      </c>
      <c r="B100" s="137" t="s">
        <v>261</v>
      </c>
    </row>
    <row r="101" spans="1:2" x14ac:dyDescent="0.25">
      <c r="A101" s="94" t="s">
        <v>363</v>
      </c>
      <c r="B101" s="137" t="s">
        <v>271</v>
      </c>
    </row>
    <row r="102" spans="1:2" x14ac:dyDescent="0.25">
      <c r="A102" s="94" t="s">
        <v>364</v>
      </c>
      <c r="B102" s="137" t="s">
        <v>264</v>
      </c>
    </row>
    <row r="103" spans="1:2" x14ac:dyDescent="0.25">
      <c r="A103" s="94" t="s">
        <v>365</v>
      </c>
      <c r="B103" s="137" t="s">
        <v>504</v>
      </c>
    </row>
    <row r="104" spans="1:2" x14ac:dyDescent="0.25">
      <c r="A104" s="94" t="s">
        <v>366</v>
      </c>
      <c r="B104" s="137" t="s">
        <v>504</v>
      </c>
    </row>
    <row r="105" spans="1:2" x14ac:dyDescent="0.25">
      <c r="A105" s="94" t="s">
        <v>367</v>
      </c>
      <c r="B105" s="137" t="s">
        <v>304</v>
      </c>
    </row>
    <row r="106" spans="1:2" x14ac:dyDescent="0.25">
      <c r="A106" s="94" t="s">
        <v>368</v>
      </c>
      <c r="B106" s="137" t="s">
        <v>304</v>
      </c>
    </row>
    <row r="107" spans="1:2" x14ac:dyDescent="0.25">
      <c r="A107" s="94" t="s">
        <v>369</v>
      </c>
      <c r="B107" s="137" t="s">
        <v>261</v>
      </c>
    </row>
    <row r="108" spans="1:2" x14ac:dyDescent="0.25">
      <c r="A108" s="94" t="s">
        <v>370</v>
      </c>
      <c r="B108" s="137" t="s">
        <v>271</v>
      </c>
    </row>
    <row r="109" spans="1:2" x14ac:dyDescent="0.25">
      <c r="A109" s="94" t="s">
        <v>371</v>
      </c>
      <c r="B109" s="137" t="s">
        <v>273</v>
      </c>
    </row>
    <row r="110" spans="1:2" x14ac:dyDescent="0.25">
      <c r="A110" s="94" t="s">
        <v>372</v>
      </c>
      <c r="B110" s="137" t="s">
        <v>259</v>
      </c>
    </row>
    <row r="111" spans="1:2" x14ac:dyDescent="0.25">
      <c r="A111" s="94" t="s">
        <v>373</v>
      </c>
      <c r="B111" s="137" t="s">
        <v>261</v>
      </c>
    </row>
    <row r="112" spans="1:2" x14ac:dyDescent="0.25">
      <c r="A112" s="94" t="s">
        <v>374</v>
      </c>
      <c r="B112" s="137" t="s">
        <v>264</v>
      </c>
    </row>
    <row r="113" spans="1:2" x14ac:dyDescent="0.25">
      <c r="A113" s="94" t="s">
        <v>375</v>
      </c>
      <c r="B113" s="137" t="s">
        <v>264</v>
      </c>
    </row>
    <row r="114" spans="1:2" x14ac:dyDescent="0.25">
      <c r="A114" s="94" t="s">
        <v>376</v>
      </c>
      <c r="B114" s="137" t="s">
        <v>261</v>
      </c>
    </row>
    <row r="115" spans="1:2" x14ac:dyDescent="0.25">
      <c r="A115" s="94" t="s">
        <v>377</v>
      </c>
      <c r="B115" s="137" t="s">
        <v>259</v>
      </c>
    </row>
    <row r="116" spans="1:2" x14ac:dyDescent="0.25">
      <c r="A116" s="94" t="s">
        <v>378</v>
      </c>
      <c r="B116" s="137" t="s">
        <v>259</v>
      </c>
    </row>
    <row r="117" spans="1:2" x14ac:dyDescent="0.25">
      <c r="A117" s="94" t="s">
        <v>379</v>
      </c>
      <c r="B117" s="137" t="s">
        <v>259</v>
      </c>
    </row>
    <row r="118" spans="1:2" x14ac:dyDescent="0.25">
      <c r="A118" s="94" t="s">
        <v>380</v>
      </c>
      <c r="B118" s="137" t="s">
        <v>264</v>
      </c>
    </row>
    <row r="119" spans="1:2" x14ac:dyDescent="0.25">
      <c r="A119" s="94" t="s">
        <v>381</v>
      </c>
      <c r="B119" s="137" t="s">
        <v>264</v>
      </c>
    </row>
    <row r="120" spans="1:2" x14ac:dyDescent="0.25">
      <c r="A120" s="94" t="s">
        <v>382</v>
      </c>
      <c r="B120" s="137" t="s">
        <v>273</v>
      </c>
    </row>
    <row r="121" spans="1:2" x14ac:dyDescent="0.25">
      <c r="A121" s="94" t="s">
        <v>383</v>
      </c>
      <c r="B121" s="137" t="s">
        <v>504</v>
      </c>
    </row>
    <row r="122" spans="1:2" x14ac:dyDescent="0.25">
      <c r="A122" s="94" t="s">
        <v>384</v>
      </c>
      <c r="B122" s="137" t="s">
        <v>264</v>
      </c>
    </row>
    <row r="123" spans="1:2" x14ac:dyDescent="0.25">
      <c r="A123" s="94" t="s">
        <v>385</v>
      </c>
      <c r="B123" s="137" t="s">
        <v>259</v>
      </c>
    </row>
    <row r="124" spans="1:2" x14ac:dyDescent="0.25">
      <c r="A124" s="94" t="s">
        <v>386</v>
      </c>
      <c r="B124" s="137" t="s">
        <v>504</v>
      </c>
    </row>
    <row r="125" spans="1:2" x14ac:dyDescent="0.25">
      <c r="A125" s="94" t="s">
        <v>387</v>
      </c>
      <c r="B125" s="137" t="s">
        <v>264</v>
      </c>
    </row>
    <row r="126" spans="1:2" x14ac:dyDescent="0.25">
      <c r="A126" s="94" t="s">
        <v>388</v>
      </c>
      <c r="B126" s="137" t="s">
        <v>264</v>
      </c>
    </row>
    <row r="127" spans="1:2" x14ac:dyDescent="0.25">
      <c r="A127" s="94" t="s">
        <v>389</v>
      </c>
      <c r="B127" s="137" t="s">
        <v>298</v>
      </c>
    </row>
    <row r="128" spans="1:2" x14ac:dyDescent="0.25">
      <c r="A128" s="94" t="s">
        <v>390</v>
      </c>
      <c r="B128" s="137" t="s">
        <v>259</v>
      </c>
    </row>
    <row r="129" spans="1:2" x14ac:dyDescent="0.25">
      <c r="A129" s="94" t="s">
        <v>391</v>
      </c>
      <c r="B129" s="137" t="s">
        <v>304</v>
      </c>
    </row>
    <row r="130" spans="1:2" x14ac:dyDescent="0.25">
      <c r="A130" s="94" t="s">
        <v>392</v>
      </c>
      <c r="B130" s="137" t="s">
        <v>261</v>
      </c>
    </row>
    <row r="131" spans="1:2" x14ac:dyDescent="0.25">
      <c r="A131" s="94" t="s">
        <v>393</v>
      </c>
      <c r="B131" s="137" t="s">
        <v>264</v>
      </c>
    </row>
    <row r="132" spans="1:2" x14ac:dyDescent="0.25">
      <c r="A132" s="94" t="s">
        <v>394</v>
      </c>
      <c r="B132" s="137" t="s">
        <v>264</v>
      </c>
    </row>
    <row r="133" spans="1:2" x14ac:dyDescent="0.25">
      <c r="A133" s="94" t="s">
        <v>395</v>
      </c>
      <c r="B133" s="137" t="s">
        <v>257</v>
      </c>
    </row>
    <row r="134" spans="1:2" x14ac:dyDescent="0.25">
      <c r="A134" s="94" t="s">
        <v>396</v>
      </c>
      <c r="B134" s="137" t="s">
        <v>259</v>
      </c>
    </row>
    <row r="135" spans="1:2" x14ac:dyDescent="0.25">
      <c r="A135" s="94" t="s">
        <v>397</v>
      </c>
      <c r="B135" s="137" t="s">
        <v>504</v>
      </c>
    </row>
    <row r="136" spans="1:2" x14ac:dyDescent="0.25">
      <c r="A136" s="94" t="s">
        <v>398</v>
      </c>
      <c r="B136" s="137" t="s">
        <v>504</v>
      </c>
    </row>
    <row r="137" spans="1:2" x14ac:dyDescent="0.25">
      <c r="A137" s="94" t="s">
        <v>399</v>
      </c>
      <c r="B137" s="137" t="s">
        <v>273</v>
      </c>
    </row>
    <row r="138" spans="1:2" x14ac:dyDescent="0.25">
      <c r="A138" s="94" t="s">
        <v>400</v>
      </c>
      <c r="B138" s="137" t="s">
        <v>269</v>
      </c>
    </row>
    <row r="139" spans="1:2" x14ac:dyDescent="0.25">
      <c r="A139" s="94" t="s">
        <v>401</v>
      </c>
      <c r="B139" s="137" t="s">
        <v>264</v>
      </c>
    </row>
    <row r="140" spans="1:2" x14ac:dyDescent="0.25">
      <c r="A140" s="94" t="s">
        <v>402</v>
      </c>
      <c r="B140" s="137" t="s">
        <v>264</v>
      </c>
    </row>
    <row r="141" spans="1:2" x14ac:dyDescent="0.25">
      <c r="A141" s="94" t="s">
        <v>403</v>
      </c>
      <c r="B141" s="137" t="s">
        <v>504</v>
      </c>
    </row>
    <row r="142" spans="1:2" x14ac:dyDescent="0.25">
      <c r="A142" s="94" t="s">
        <v>404</v>
      </c>
      <c r="B142" s="137" t="s">
        <v>504</v>
      </c>
    </row>
    <row r="143" spans="1:2" x14ac:dyDescent="0.25">
      <c r="A143" s="94" t="s">
        <v>405</v>
      </c>
      <c r="B143" s="137" t="s">
        <v>259</v>
      </c>
    </row>
    <row r="144" spans="1:2" x14ac:dyDescent="0.25">
      <c r="A144" s="94" t="s">
        <v>406</v>
      </c>
      <c r="B144" s="137" t="s">
        <v>261</v>
      </c>
    </row>
    <row r="145" spans="1:2" x14ac:dyDescent="0.25">
      <c r="A145" s="94" t="s">
        <v>407</v>
      </c>
      <c r="B145" s="137" t="s">
        <v>257</v>
      </c>
    </row>
    <row r="146" spans="1:2" x14ac:dyDescent="0.25">
      <c r="A146" s="94" t="s">
        <v>408</v>
      </c>
      <c r="B146" s="137" t="s">
        <v>269</v>
      </c>
    </row>
    <row r="147" spans="1:2" x14ac:dyDescent="0.25">
      <c r="A147" s="94" t="s">
        <v>409</v>
      </c>
      <c r="B147" s="137" t="s">
        <v>273</v>
      </c>
    </row>
    <row r="148" spans="1:2" x14ac:dyDescent="0.25">
      <c r="A148" s="94" t="s">
        <v>410</v>
      </c>
      <c r="B148" s="137" t="s">
        <v>269</v>
      </c>
    </row>
    <row r="149" spans="1:2" x14ac:dyDescent="0.25">
      <c r="A149" s="94" t="s">
        <v>411</v>
      </c>
      <c r="B149" s="137" t="s">
        <v>269</v>
      </c>
    </row>
    <row r="150" spans="1:2" x14ac:dyDescent="0.25">
      <c r="A150" s="94" t="s">
        <v>412</v>
      </c>
      <c r="B150" s="137" t="s">
        <v>273</v>
      </c>
    </row>
    <row r="151" spans="1:2" x14ac:dyDescent="0.25">
      <c r="A151" s="94" t="s">
        <v>413</v>
      </c>
      <c r="B151" s="137" t="s">
        <v>259</v>
      </c>
    </row>
    <row r="152" spans="1:2" x14ac:dyDescent="0.25">
      <c r="A152" s="94" t="s">
        <v>414</v>
      </c>
      <c r="B152" s="137" t="s">
        <v>259</v>
      </c>
    </row>
    <row r="153" spans="1:2" x14ac:dyDescent="0.25">
      <c r="A153" s="94" t="s">
        <v>415</v>
      </c>
      <c r="B153" s="137" t="s">
        <v>504</v>
      </c>
    </row>
    <row r="154" spans="1:2" x14ac:dyDescent="0.25">
      <c r="A154" s="94" t="s">
        <v>416</v>
      </c>
      <c r="B154" s="137" t="s">
        <v>504</v>
      </c>
    </row>
    <row r="155" spans="1:2" x14ac:dyDescent="0.25">
      <c r="A155" s="94" t="s">
        <v>417</v>
      </c>
      <c r="B155" s="137" t="s">
        <v>261</v>
      </c>
    </row>
    <row r="156" spans="1:2" x14ac:dyDescent="0.25">
      <c r="A156" s="94" t="s">
        <v>418</v>
      </c>
      <c r="B156" s="137" t="s">
        <v>504</v>
      </c>
    </row>
    <row r="157" spans="1:2" x14ac:dyDescent="0.25">
      <c r="A157" s="94" t="s">
        <v>419</v>
      </c>
      <c r="B157" s="137" t="s">
        <v>504</v>
      </c>
    </row>
    <row r="158" spans="1:2" x14ac:dyDescent="0.25">
      <c r="A158" s="94" t="s">
        <v>420</v>
      </c>
      <c r="B158" s="137" t="s">
        <v>259</v>
      </c>
    </row>
    <row r="159" spans="1:2" x14ac:dyDescent="0.25">
      <c r="A159" s="94" t="s">
        <v>421</v>
      </c>
      <c r="B159" s="137" t="s">
        <v>271</v>
      </c>
    </row>
    <row r="160" spans="1:2" x14ac:dyDescent="0.25">
      <c r="A160" s="94" t="s">
        <v>422</v>
      </c>
      <c r="B160" s="137" t="s">
        <v>264</v>
      </c>
    </row>
    <row r="161" spans="1:2" x14ac:dyDescent="0.25">
      <c r="A161" s="94" t="s">
        <v>423</v>
      </c>
      <c r="B161" s="137" t="s">
        <v>264</v>
      </c>
    </row>
    <row r="162" spans="1:2" x14ac:dyDescent="0.25">
      <c r="A162" s="94" t="s">
        <v>424</v>
      </c>
      <c r="B162" s="137" t="s">
        <v>261</v>
      </c>
    </row>
    <row r="163" spans="1:2" x14ac:dyDescent="0.25">
      <c r="A163" s="94" t="s">
        <v>425</v>
      </c>
      <c r="B163" s="137" t="s">
        <v>264</v>
      </c>
    </row>
    <row r="164" spans="1:2" x14ac:dyDescent="0.25">
      <c r="A164" s="94" t="s">
        <v>426</v>
      </c>
      <c r="B164" s="137" t="s">
        <v>264</v>
      </c>
    </row>
    <row r="165" spans="1:2" x14ac:dyDescent="0.25">
      <c r="A165" s="94" t="s">
        <v>427</v>
      </c>
      <c r="B165" s="137" t="s">
        <v>264</v>
      </c>
    </row>
    <row r="166" spans="1:2" x14ac:dyDescent="0.25">
      <c r="A166" s="94" t="s">
        <v>428</v>
      </c>
      <c r="B166" s="137" t="s">
        <v>273</v>
      </c>
    </row>
    <row r="167" spans="1:2" x14ac:dyDescent="0.25">
      <c r="A167" s="94" t="s">
        <v>429</v>
      </c>
      <c r="B167" s="137" t="s">
        <v>259</v>
      </c>
    </row>
    <row r="168" spans="1:2" x14ac:dyDescent="0.25">
      <c r="A168" s="94" t="s">
        <v>430</v>
      </c>
      <c r="B168" s="137" t="s">
        <v>259</v>
      </c>
    </row>
    <row r="169" spans="1:2" x14ac:dyDescent="0.25">
      <c r="A169" s="94" t="s">
        <v>431</v>
      </c>
      <c r="B169" s="137" t="s">
        <v>504</v>
      </c>
    </row>
    <row r="170" spans="1:2" x14ac:dyDescent="0.25">
      <c r="A170" s="94" t="s">
        <v>432</v>
      </c>
      <c r="B170" s="137" t="s">
        <v>264</v>
      </c>
    </row>
    <row r="171" spans="1:2" x14ac:dyDescent="0.25">
      <c r="A171" s="94" t="s">
        <v>433</v>
      </c>
      <c r="B171" s="137" t="s">
        <v>264</v>
      </c>
    </row>
    <row r="172" spans="1:2" x14ac:dyDescent="0.25">
      <c r="A172" s="94" t="s">
        <v>434</v>
      </c>
      <c r="B172" s="137" t="s">
        <v>259</v>
      </c>
    </row>
    <row r="173" spans="1:2" x14ac:dyDescent="0.25">
      <c r="A173" s="94" t="s">
        <v>435</v>
      </c>
      <c r="B173" s="137" t="s">
        <v>257</v>
      </c>
    </row>
    <row r="174" spans="1:2" x14ac:dyDescent="0.25">
      <c r="A174" s="94" t="s">
        <v>436</v>
      </c>
      <c r="B174" s="137" t="s">
        <v>504</v>
      </c>
    </row>
    <row r="175" spans="1:2" x14ac:dyDescent="0.25">
      <c r="A175" s="94" t="s">
        <v>437</v>
      </c>
      <c r="B175" s="137" t="s">
        <v>504</v>
      </c>
    </row>
    <row r="176" spans="1:2" x14ac:dyDescent="0.25">
      <c r="A176" s="94" t="s">
        <v>438</v>
      </c>
      <c r="B176" s="137" t="s">
        <v>504</v>
      </c>
    </row>
    <row r="177" spans="1:2" x14ac:dyDescent="0.25">
      <c r="A177" s="94" t="s">
        <v>439</v>
      </c>
      <c r="B177" s="137" t="s">
        <v>264</v>
      </c>
    </row>
    <row r="178" spans="1:2" x14ac:dyDescent="0.25">
      <c r="A178" s="94" t="s">
        <v>440</v>
      </c>
      <c r="B178" s="137" t="s">
        <v>269</v>
      </c>
    </row>
    <row r="179" spans="1:2" x14ac:dyDescent="0.25">
      <c r="A179" s="94" t="s">
        <v>441</v>
      </c>
      <c r="B179" s="137" t="s">
        <v>264</v>
      </c>
    </row>
    <row r="180" spans="1:2" x14ac:dyDescent="0.25">
      <c r="A180" s="94" t="s">
        <v>442</v>
      </c>
      <c r="B180" s="137" t="s">
        <v>259</v>
      </c>
    </row>
    <row r="181" spans="1:2" x14ac:dyDescent="0.25">
      <c r="A181" s="94" t="s">
        <v>443</v>
      </c>
      <c r="B181" s="137" t="s">
        <v>259</v>
      </c>
    </row>
    <row r="182" spans="1:2" x14ac:dyDescent="0.25">
      <c r="A182" s="94" t="s">
        <v>444</v>
      </c>
      <c r="B182" s="137" t="s">
        <v>261</v>
      </c>
    </row>
    <row r="183" spans="1:2" x14ac:dyDescent="0.25">
      <c r="A183" s="94" t="s">
        <v>445</v>
      </c>
      <c r="B183" s="137" t="s">
        <v>504</v>
      </c>
    </row>
    <row r="184" spans="1:2" x14ac:dyDescent="0.25">
      <c r="A184" s="94" t="s">
        <v>446</v>
      </c>
      <c r="B184" s="137" t="s">
        <v>271</v>
      </c>
    </row>
    <row r="185" spans="1:2" x14ac:dyDescent="0.25">
      <c r="A185" s="94" t="s">
        <v>447</v>
      </c>
      <c r="B185" s="137" t="s">
        <v>264</v>
      </c>
    </row>
    <row r="186" spans="1:2" x14ac:dyDescent="0.25">
      <c r="A186" s="94" t="s">
        <v>448</v>
      </c>
      <c r="B186" s="137" t="s">
        <v>273</v>
      </c>
    </row>
    <row r="187" spans="1:2" x14ac:dyDescent="0.25">
      <c r="A187" s="94" t="s">
        <v>449</v>
      </c>
      <c r="B187" s="137" t="s">
        <v>264</v>
      </c>
    </row>
    <row r="188" spans="1:2" x14ac:dyDescent="0.25">
      <c r="A188" s="94" t="s">
        <v>450</v>
      </c>
      <c r="B188" s="137" t="s">
        <v>504</v>
      </c>
    </row>
    <row r="189" spans="1:2" x14ac:dyDescent="0.25">
      <c r="A189" s="94" t="s">
        <v>451</v>
      </c>
      <c r="B189" s="137" t="s">
        <v>261</v>
      </c>
    </row>
    <row r="190" spans="1:2" x14ac:dyDescent="0.25">
      <c r="A190" s="94" t="s">
        <v>452</v>
      </c>
      <c r="B190" s="137" t="s">
        <v>259</v>
      </c>
    </row>
    <row r="191" spans="1:2" x14ac:dyDescent="0.25">
      <c r="A191" s="94" t="s">
        <v>453</v>
      </c>
      <c r="B191" s="137" t="s">
        <v>271</v>
      </c>
    </row>
    <row r="192" spans="1:2" x14ac:dyDescent="0.25">
      <c r="A192" s="94" t="s">
        <v>454</v>
      </c>
      <c r="B192" s="137" t="s">
        <v>264</v>
      </c>
    </row>
    <row r="193" spans="1:2" x14ac:dyDescent="0.25">
      <c r="A193" s="94" t="s">
        <v>455</v>
      </c>
      <c r="B193" s="137" t="s">
        <v>259</v>
      </c>
    </row>
    <row r="194" spans="1:2" x14ac:dyDescent="0.25">
      <c r="A194" s="94" t="s">
        <v>456</v>
      </c>
      <c r="B194" s="137" t="s">
        <v>261</v>
      </c>
    </row>
    <row r="195" spans="1:2" x14ac:dyDescent="0.25">
      <c r="A195" s="94" t="s">
        <v>457</v>
      </c>
      <c r="B195" s="137" t="s">
        <v>259</v>
      </c>
    </row>
    <row r="196" spans="1:2" x14ac:dyDescent="0.25">
      <c r="A196" s="94" t="s">
        <v>458</v>
      </c>
      <c r="B196" s="137" t="s">
        <v>298</v>
      </c>
    </row>
    <row r="197" spans="1:2" x14ac:dyDescent="0.25">
      <c r="A197" s="94" t="s">
        <v>459</v>
      </c>
      <c r="B197" s="137" t="s">
        <v>264</v>
      </c>
    </row>
    <row r="198" spans="1:2" x14ac:dyDescent="0.25">
      <c r="A198" s="94" t="s">
        <v>460</v>
      </c>
      <c r="B198" s="137" t="s">
        <v>269</v>
      </c>
    </row>
    <row r="199" spans="1:2" x14ac:dyDescent="0.25">
      <c r="A199" s="94" t="s">
        <v>461</v>
      </c>
      <c r="B199" s="137" t="s">
        <v>271</v>
      </c>
    </row>
    <row r="200" spans="1:2" x14ac:dyDescent="0.25">
      <c r="A200" s="94" t="s">
        <v>462</v>
      </c>
      <c r="B200" s="137" t="s">
        <v>269</v>
      </c>
    </row>
    <row r="201" spans="1:2" x14ac:dyDescent="0.25">
      <c r="A201" s="94" t="s">
        <v>463</v>
      </c>
      <c r="B201" s="137" t="s">
        <v>273</v>
      </c>
    </row>
    <row r="202" spans="1:2" x14ac:dyDescent="0.25">
      <c r="A202" s="94" t="s">
        <v>464</v>
      </c>
      <c r="B202" s="137" t="s">
        <v>504</v>
      </c>
    </row>
    <row r="203" spans="1:2" x14ac:dyDescent="0.25">
      <c r="A203" s="94" t="s">
        <v>465</v>
      </c>
      <c r="B203" s="137" t="s">
        <v>261</v>
      </c>
    </row>
    <row r="204" spans="1:2" x14ac:dyDescent="0.25">
      <c r="A204" s="94" t="s">
        <v>466</v>
      </c>
      <c r="B204" s="137" t="s">
        <v>264</v>
      </c>
    </row>
    <row r="205" spans="1:2" x14ac:dyDescent="0.25">
      <c r="A205" s="94" t="s">
        <v>467</v>
      </c>
      <c r="B205" s="137" t="s">
        <v>261</v>
      </c>
    </row>
    <row r="206" spans="1:2" x14ac:dyDescent="0.25">
      <c r="A206" s="94" t="s">
        <v>468</v>
      </c>
      <c r="B206" s="137" t="s">
        <v>259</v>
      </c>
    </row>
    <row r="207" spans="1:2" x14ac:dyDescent="0.25">
      <c r="A207" s="94" t="s">
        <v>469</v>
      </c>
      <c r="B207" s="137" t="s">
        <v>264</v>
      </c>
    </row>
    <row r="208" spans="1:2" x14ac:dyDescent="0.25">
      <c r="A208" s="94" t="s">
        <v>470</v>
      </c>
      <c r="B208" s="137" t="s">
        <v>264</v>
      </c>
    </row>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2EC85-841A-4807-9DBB-BF7EF2C68D89}">
  <sheetPr codeName="Sheet1"/>
  <dimension ref="A2:D30"/>
  <sheetViews>
    <sheetView workbookViewId="0"/>
  </sheetViews>
  <sheetFormatPr defaultRowHeight="15" x14ac:dyDescent="0.25"/>
  <cols>
    <col min="1" max="1" width="9.140625" style="26"/>
  </cols>
  <sheetData>
    <row r="2" spans="1:4" x14ac:dyDescent="0.25">
      <c r="A2" s="93" t="s">
        <v>215</v>
      </c>
      <c r="B2" s="92"/>
      <c r="C2" s="91"/>
      <c r="D2" s="91"/>
    </row>
    <row r="3" spans="1:4" x14ac:dyDescent="0.25">
      <c r="A3" t="s">
        <v>183</v>
      </c>
    </row>
    <row r="4" spans="1:4" x14ac:dyDescent="0.25">
      <c r="A4" t="s">
        <v>164</v>
      </c>
    </row>
    <row r="5" spans="1:4" x14ac:dyDescent="0.25">
      <c r="A5" t="s">
        <v>100</v>
      </c>
    </row>
    <row r="6" spans="1:4" x14ac:dyDescent="0.25">
      <c r="A6" t="s">
        <v>216</v>
      </c>
    </row>
    <row r="7" spans="1:4" x14ac:dyDescent="0.25">
      <c r="A7" t="s">
        <v>500</v>
      </c>
    </row>
    <row r="8" spans="1:4" x14ac:dyDescent="0.25">
      <c r="A8" t="s">
        <v>156</v>
      </c>
    </row>
    <row r="9" spans="1:4" x14ac:dyDescent="0.25">
      <c r="A9" t="s">
        <v>142</v>
      </c>
    </row>
    <row r="10" spans="1:4" x14ac:dyDescent="0.25">
      <c r="A10" t="s">
        <v>162</v>
      </c>
    </row>
    <row r="11" spans="1:4" x14ac:dyDescent="0.25">
      <c r="A11" t="s">
        <v>178</v>
      </c>
    </row>
    <row r="12" spans="1:4" x14ac:dyDescent="0.25">
      <c r="A12" t="s">
        <v>214</v>
      </c>
    </row>
    <row r="13" spans="1:4" x14ac:dyDescent="0.25">
      <c r="A13" t="s">
        <v>122</v>
      </c>
    </row>
    <row r="14" spans="1:4" x14ac:dyDescent="0.25">
      <c r="A14" t="s">
        <v>123</v>
      </c>
    </row>
    <row r="15" spans="1:4" x14ac:dyDescent="0.25">
      <c r="A15" t="s">
        <v>157</v>
      </c>
    </row>
    <row r="16" spans="1:4" x14ac:dyDescent="0.25">
      <c r="A16" t="s">
        <v>217</v>
      </c>
    </row>
    <row r="17" spans="1:1" x14ac:dyDescent="0.25">
      <c r="A17" t="s">
        <v>101</v>
      </c>
    </row>
    <row r="18" spans="1:1" x14ac:dyDescent="0.25">
      <c r="A18" t="s">
        <v>102</v>
      </c>
    </row>
    <row r="19" spans="1:1" x14ac:dyDescent="0.25">
      <c r="A19" t="s">
        <v>143</v>
      </c>
    </row>
    <row r="20" spans="1:1" x14ac:dyDescent="0.25">
      <c r="A20" t="s">
        <v>182</v>
      </c>
    </row>
    <row r="21" spans="1:1" x14ac:dyDescent="0.25">
      <c r="A21" t="s">
        <v>250</v>
      </c>
    </row>
    <row r="22" spans="1:1" x14ac:dyDescent="0.25">
      <c r="A22" t="s">
        <v>251</v>
      </c>
    </row>
    <row r="23" spans="1:1" x14ac:dyDescent="0.25">
      <c r="A23" t="s">
        <v>177</v>
      </c>
    </row>
    <row r="24" spans="1:1" x14ac:dyDescent="0.25">
      <c r="A24" t="s">
        <v>118</v>
      </c>
    </row>
    <row r="25" spans="1:1" x14ac:dyDescent="0.25">
      <c r="A25" t="s">
        <v>144</v>
      </c>
    </row>
    <row r="26" spans="1:1" x14ac:dyDescent="0.25">
      <c r="A26" t="s">
        <v>169</v>
      </c>
    </row>
    <row r="27" spans="1:1" x14ac:dyDescent="0.25">
      <c r="A27" t="s">
        <v>163</v>
      </c>
    </row>
    <row r="28" spans="1:1" x14ac:dyDescent="0.25">
      <c r="A28" t="s">
        <v>529</v>
      </c>
    </row>
    <row r="29" spans="1:1" x14ac:dyDescent="0.25">
      <c r="A29" t="s">
        <v>533</v>
      </c>
    </row>
    <row r="30" spans="1:1" x14ac:dyDescent="0.25">
      <c r="A30" t="s">
        <v>537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864E-0579-4CFF-9B61-B33514B8307E}">
  <dimension ref="A2:W36"/>
  <sheetViews>
    <sheetView zoomScale="80" zoomScaleNormal="80" workbookViewId="0"/>
  </sheetViews>
  <sheetFormatPr defaultRowHeight="15" x14ac:dyDescent="0.25"/>
  <cols>
    <col min="1" max="1" width="201.140625" customWidth="1"/>
    <col min="2" max="2" width="19" customWidth="1"/>
  </cols>
  <sheetData>
    <row r="2" spans="1:23" x14ac:dyDescent="0.25">
      <c r="A2" s="21" t="s">
        <v>106</v>
      </c>
    </row>
    <row r="3" spans="1:23" x14ac:dyDescent="0.25">
      <c r="A3" s="43" t="s">
        <v>112</v>
      </c>
      <c r="M3" s="8"/>
      <c r="N3" s="8"/>
      <c r="O3" s="8"/>
      <c r="P3" s="8"/>
      <c r="Q3" s="8"/>
      <c r="R3" s="8"/>
      <c r="S3" s="8"/>
      <c r="T3" s="8"/>
      <c r="U3" s="8"/>
      <c r="V3" s="8"/>
      <c r="W3" s="8"/>
    </row>
    <row r="4" spans="1:23" x14ac:dyDescent="0.25">
      <c r="A4" s="43" t="s">
        <v>103</v>
      </c>
    </row>
    <row r="5" spans="1:23" x14ac:dyDescent="0.25">
      <c r="A5" s="43" t="s">
        <v>104</v>
      </c>
    </row>
    <row r="6" spans="1:23" x14ac:dyDescent="0.25">
      <c r="A6" s="43" t="s">
        <v>111</v>
      </c>
    </row>
    <row r="7" spans="1:23" x14ac:dyDescent="0.25">
      <c r="A7" s="43" t="s">
        <v>113</v>
      </c>
    </row>
    <row r="8" spans="1:23" ht="45" x14ac:dyDescent="0.25">
      <c r="A8" s="76" t="s">
        <v>107</v>
      </c>
    </row>
    <row r="9" spans="1:23" x14ac:dyDescent="0.25">
      <c r="A9" s="76" t="s">
        <v>207</v>
      </c>
    </row>
    <row r="10" spans="1:23" x14ac:dyDescent="0.25">
      <c r="A10" s="43"/>
    </row>
    <row r="11" spans="1:23" x14ac:dyDescent="0.25">
      <c r="A11" s="21" t="s">
        <v>105</v>
      </c>
    </row>
    <row r="12" spans="1:23" x14ac:dyDescent="0.25">
      <c r="A12" s="43" t="s">
        <v>117</v>
      </c>
    </row>
    <row r="13" spans="1:23" x14ac:dyDescent="0.25">
      <c r="A13" s="43" t="s">
        <v>108</v>
      </c>
    </row>
    <row r="14" spans="1:23" x14ac:dyDescent="0.25">
      <c r="A14" s="43" t="s">
        <v>114</v>
      </c>
    </row>
    <row r="16" spans="1:23" x14ac:dyDescent="0.25">
      <c r="A16" s="21" t="s">
        <v>120</v>
      </c>
    </row>
    <row r="17" spans="1:2" ht="45" x14ac:dyDescent="0.25">
      <c r="A17" s="13" t="s">
        <v>119</v>
      </c>
    </row>
    <row r="18" spans="1:2" x14ac:dyDescent="0.25">
      <c r="A18" t="s">
        <v>125</v>
      </c>
    </row>
    <row r="19" spans="1:2" x14ac:dyDescent="0.25">
      <c r="A19" t="s">
        <v>121</v>
      </c>
    </row>
    <row r="20" spans="1:2" x14ac:dyDescent="0.25">
      <c r="A20" t="s">
        <v>124</v>
      </c>
    </row>
    <row r="21" spans="1:2" x14ac:dyDescent="0.25">
      <c r="A21" t="s">
        <v>126</v>
      </c>
    </row>
    <row r="23" spans="1:2" x14ac:dyDescent="0.25">
      <c r="A23" s="21" t="s">
        <v>109</v>
      </c>
    </row>
    <row r="24" spans="1:2" x14ac:dyDescent="0.25">
      <c r="A24" s="35" t="s">
        <v>110</v>
      </c>
    </row>
    <row r="25" spans="1:2" x14ac:dyDescent="0.25">
      <c r="A25" t="s">
        <v>115</v>
      </c>
    </row>
    <row r="26" spans="1:2" x14ac:dyDescent="0.25">
      <c r="A26" t="s">
        <v>479</v>
      </c>
    </row>
    <row r="27" spans="1:2" ht="105" x14ac:dyDescent="0.25">
      <c r="B27" s="23" t="s">
        <v>499</v>
      </c>
    </row>
    <row r="28" spans="1:2" x14ac:dyDescent="0.25">
      <c r="A28" s="42" t="s">
        <v>14</v>
      </c>
      <c r="B28" s="36">
        <v>0.4</v>
      </c>
    </row>
    <row r="29" spans="1:2" x14ac:dyDescent="0.25">
      <c r="A29" s="42" t="s">
        <v>221</v>
      </c>
      <c r="B29" s="36">
        <v>0.4</v>
      </c>
    </row>
    <row r="30" spans="1:2" x14ac:dyDescent="0.25">
      <c r="A30" s="42" t="s">
        <v>18</v>
      </c>
      <c r="B30" s="36">
        <v>0.4</v>
      </c>
    </row>
    <row r="31" spans="1:2" x14ac:dyDescent="0.25">
      <c r="A31" s="42" t="s">
        <v>21</v>
      </c>
      <c r="B31" s="36">
        <v>0.4</v>
      </c>
    </row>
    <row r="32" spans="1:2" x14ac:dyDescent="0.25">
      <c r="A32" s="42" t="s">
        <v>23</v>
      </c>
      <c r="B32" s="36">
        <v>0.5</v>
      </c>
    </row>
    <row r="33" spans="1:2" x14ac:dyDescent="0.25">
      <c r="A33" s="42" t="s">
        <v>29</v>
      </c>
      <c r="B33" s="36">
        <v>0.4</v>
      </c>
    </row>
    <row r="34" spans="1:2" x14ac:dyDescent="0.25">
      <c r="A34" s="42" t="s">
        <v>38</v>
      </c>
      <c r="B34" s="36">
        <v>0.5</v>
      </c>
    </row>
    <row r="35" spans="1:2" x14ac:dyDescent="0.25">
      <c r="A35" s="42" t="s">
        <v>39</v>
      </c>
      <c r="B35" s="36">
        <v>0.4</v>
      </c>
    </row>
    <row r="36" spans="1:2" x14ac:dyDescent="0.25">
      <c r="A36" s="35"/>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C2F41-16BC-48CA-A32D-6AE713E29E15}">
  <sheetPr codeName="Sheet3"/>
  <dimension ref="A1:K56"/>
  <sheetViews>
    <sheetView zoomScale="86" zoomScaleNormal="86" workbookViewId="0">
      <selection activeCell="A2" sqref="A2"/>
    </sheetView>
  </sheetViews>
  <sheetFormatPr defaultRowHeight="15" x14ac:dyDescent="0.25"/>
  <cols>
    <col min="1" max="1" width="65.140625" customWidth="1"/>
    <col min="2" max="2" width="81.85546875" style="1" bestFit="1" customWidth="1"/>
    <col min="3" max="4" width="40.42578125" customWidth="1"/>
    <col min="5" max="5" width="22.7109375" bestFit="1" customWidth="1"/>
    <col min="6" max="6" width="58.5703125" bestFit="1" customWidth="1"/>
    <col min="7" max="7" width="26.7109375" customWidth="1"/>
    <col min="8" max="8" width="58.5703125" customWidth="1"/>
    <col min="9" max="9" width="16.85546875" customWidth="1"/>
    <col min="10" max="10" width="24" customWidth="1"/>
    <col min="11" max="11" width="13.42578125" customWidth="1"/>
    <col min="44" max="44" width="11.42578125" customWidth="1"/>
    <col min="45" max="45" width="22" customWidth="1"/>
    <col min="46" max="46" width="27.85546875" bestFit="1" customWidth="1"/>
    <col min="47" max="47" width="11.5703125" customWidth="1"/>
    <col min="48" max="48" width="29.42578125" customWidth="1"/>
  </cols>
  <sheetData>
    <row r="1" spans="1:6" x14ac:dyDescent="0.25">
      <c r="A1" s="37" t="s">
        <v>136</v>
      </c>
    </row>
    <row r="2" spans="1:6" x14ac:dyDescent="0.25">
      <c r="A2" s="8"/>
      <c r="B2" s="1" t="s">
        <v>22</v>
      </c>
    </row>
    <row r="3" spans="1:6" x14ac:dyDescent="0.25">
      <c r="A3" s="24" t="s">
        <v>40</v>
      </c>
      <c r="B3" s="10">
        <v>1.1299999999999999</v>
      </c>
      <c r="C3" t="s">
        <v>171</v>
      </c>
    </row>
    <row r="4" spans="1:6" ht="17.25" x14ac:dyDescent="0.25">
      <c r="A4" s="8" t="s">
        <v>32</v>
      </c>
      <c r="B4" s="1">
        <v>0.01</v>
      </c>
    </row>
    <row r="5" spans="1:6" ht="12.75" customHeight="1" x14ac:dyDescent="0.25">
      <c r="A5" s="39" t="s">
        <v>24</v>
      </c>
      <c r="B5" s="3">
        <v>0.05</v>
      </c>
    </row>
    <row r="6" spans="1:6" ht="12.75" customHeight="1" x14ac:dyDescent="0.25">
      <c r="A6" s="8"/>
      <c r="B6" s="3"/>
    </row>
    <row r="7" spans="1:6" x14ac:dyDescent="0.25">
      <c r="A7" s="37" t="s">
        <v>137</v>
      </c>
    </row>
    <row r="8" spans="1:6" ht="16.5" customHeight="1" x14ac:dyDescent="0.25">
      <c r="D8" s="38"/>
    </row>
    <row r="9" spans="1:6" ht="16.5" customHeight="1" x14ac:dyDescent="0.25">
      <c r="A9" s="8" t="s">
        <v>33</v>
      </c>
      <c r="B9" s="36" t="s">
        <v>34</v>
      </c>
      <c r="D9" t="s">
        <v>167</v>
      </c>
    </row>
    <row r="10" spans="1:6" x14ac:dyDescent="0.25">
      <c r="A10" s="24" t="s">
        <v>35</v>
      </c>
      <c r="B10" s="15">
        <v>0.9</v>
      </c>
      <c r="D10" s="19" t="s">
        <v>140</v>
      </c>
    </row>
    <row r="11" spans="1:6" x14ac:dyDescent="0.25">
      <c r="A11" s="24" t="s">
        <v>139</v>
      </c>
      <c r="B11" s="83">
        <v>0.95</v>
      </c>
      <c r="D11" s="19" t="s">
        <v>141</v>
      </c>
    </row>
    <row r="12" spans="1:6" ht="17.25" x14ac:dyDescent="0.25">
      <c r="A12" s="33" t="s">
        <v>152</v>
      </c>
      <c r="B12" s="17">
        <v>262412.39</v>
      </c>
      <c r="C12" s="38" t="s">
        <v>146</v>
      </c>
      <c r="D12" s="38" t="s">
        <v>151</v>
      </c>
    </row>
    <row r="13" spans="1:6" x14ac:dyDescent="0.25">
      <c r="A13" s="33" t="s">
        <v>153</v>
      </c>
      <c r="B13" s="17">
        <v>164</v>
      </c>
      <c r="C13" s="38" t="s">
        <v>145</v>
      </c>
      <c r="D13" t="s">
        <v>138</v>
      </c>
      <c r="F13" s="51"/>
    </row>
    <row r="14" spans="1:6" x14ac:dyDescent="0.25">
      <c r="A14" s="33" t="s">
        <v>148</v>
      </c>
      <c r="B14" s="17">
        <v>310</v>
      </c>
      <c r="C14" s="38" t="s">
        <v>145</v>
      </c>
      <c r="D14" t="s">
        <v>147</v>
      </c>
      <c r="F14" s="51"/>
    </row>
    <row r="15" spans="1:6" x14ac:dyDescent="0.25">
      <c r="A15" s="33" t="s">
        <v>154</v>
      </c>
      <c r="B15" s="17">
        <v>310</v>
      </c>
      <c r="C15" s="38" t="s">
        <v>145</v>
      </c>
      <c r="D15" t="s">
        <v>147</v>
      </c>
      <c r="F15" s="51"/>
    </row>
    <row r="16" spans="1:6" ht="17.25" x14ac:dyDescent="0.25">
      <c r="A16" s="33" t="s">
        <v>149</v>
      </c>
      <c r="B16" s="17">
        <f>(B15/B13)*B12 * 0.8</f>
        <v>396818.73609756096</v>
      </c>
      <c r="C16" s="38" t="s">
        <v>146</v>
      </c>
      <c r="D16" t="s">
        <v>150</v>
      </c>
      <c r="F16" s="51"/>
    </row>
    <row r="17" spans="1:8" x14ac:dyDescent="0.25">
      <c r="A17" s="33"/>
      <c r="B17" s="17"/>
      <c r="C17" s="38"/>
      <c r="D17" t="s">
        <v>155</v>
      </c>
      <c r="F17" s="51"/>
    </row>
    <row r="18" spans="1:8" x14ac:dyDescent="0.25">
      <c r="A18" s="33" t="s">
        <v>42</v>
      </c>
      <c r="B18" s="36">
        <v>25</v>
      </c>
      <c r="C18" s="38" t="s">
        <v>26</v>
      </c>
      <c r="D18" s="38" t="s">
        <v>151</v>
      </c>
      <c r="H18" s="51"/>
    </row>
    <row r="19" spans="1:8" x14ac:dyDescent="0.25">
      <c r="A19" s="33" t="s">
        <v>28</v>
      </c>
      <c r="B19" s="18">
        <f>(B5*(1+B5)^B18 )/((1+B5)^B18 -1)</f>
        <v>7.0952457299229624E-2</v>
      </c>
      <c r="C19" s="38"/>
      <c r="D19" s="38"/>
      <c r="G19" s="38"/>
      <c r="H19" s="51"/>
    </row>
    <row r="20" spans="1:8" x14ac:dyDescent="0.25">
      <c r="A20" s="33" t="s">
        <v>62</v>
      </c>
      <c r="B20" s="22">
        <v>0.06</v>
      </c>
      <c r="D20" t="s">
        <v>138</v>
      </c>
      <c r="G20" s="38"/>
      <c r="H20" s="51"/>
    </row>
    <row r="21" spans="1:8" ht="17.25" x14ac:dyDescent="0.25">
      <c r="A21" s="33" t="s">
        <v>25</v>
      </c>
      <c r="B21" s="17">
        <v>2000</v>
      </c>
      <c r="C21" s="38" t="s">
        <v>63</v>
      </c>
      <c r="D21" t="s">
        <v>158</v>
      </c>
      <c r="E21" t="s">
        <v>159</v>
      </c>
      <c r="F21" s="8"/>
      <c r="G21" s="38"/>
      <c r="H21" s="51"/>
    </row>
    <row r="22" spans="1:8" x14ac:dyDescent="0.25">
      <c r="G22" s="38"/>
      <c r="H22" s="51"/>
    </row>
    <row r="23" spans="1:8" x14ac:dyDescent="0.25">
      <c r="A23" s="37" t="s">
        <v>160</v>
      </c>
      <c r="B23" s="17"/>
      <c r="C23" s="38"/>
      <c r="F23" s="8"/>
      <c r="H23" s="80"/>
    </row>
    <row r="24" spans="1:8" x14ac:dyDescent="0.25">
      <c r="A24" s="84"/>
      <c r="B24" s="17"/>
      <c r="C24" s="38"/>
      <c r="F24" s="8"/>
      <c r="H24" s="80"/>
    </row>
    <row r="25" spans="1:8" ht="17.25" x14ac:dyDescent="0.25">
      <c r="A25" s="33" t="s">
        <v>30</v>
      </c>
      <c r="B25" s="156" t="s">
        <v>161</v>
      </c>
      <c r="C25" s="38" t="s">
        <v>63</v>
      </c>
      <c r="F25" s="8"/>
      <c r="H25" s="80"/>
    </row>
    <row r="26" spans="1:8" x14ac:dyDescent="0.25">
      <c r="A26" s="33" t="s">
        <v>31</v>
      </c>
      <c r="B26" s="156"/>
      <c r="C26" s="38" t="s">
        <v>74</v>
      </c>
      <c r="F26" s="8"/>
      <c r="H26" s="80"/>
    </row>
    <row r="27" spans="1:8" ht="17.25" x14ac:dyDescent="0.25">
      <c r="A27" s="33" t="s">
        <v>72</v>
      </c>
      <c r="B27" s="156"/>
      <c r="C27" s="38" t="s">
        <v>63</v>
      </c>
      <c r="F27" s="8"/>
      <c r="H27" s="80"/>
    </row>
    <row r="28" spans="1:8" ht="17.25" x14ac:dyDescent="0.25">
      <c r="A28" s="33" t="s">
        <v>73</v>
      </c>
      <c r="B28" s="156"/>
      <c r="C28" s="38" t="s">
        <v>63</v>
      </c>
      <c r="F28" s="8"/>
      <c r="H28" s="80"/>
    </row>
    <row r="29" spans="1:8" x14ac:dyDescent="0.25">
      <c r="A29" s="33" t="s">
        <v>41</v>
      </c>
      <c r="B29" s="17">
        <v>40</v>
      </c>
      <c r="C29" s="38" t="s">
        <v>75</v>
      </c>
      <c r="F29" s="8"/>
      <c r="H29" s="80"/>
    </row>
    <row r="30" spans="1:8" ht="30" x14ac:dyDescent="0.25">
      <c r="A30" s="33" t="s">
        <v>27</v>
      </c>
      <c r="B30" s="18">
        <f>(B5*(1+B5)^B29)/((1+B5)^B29 -1)</f>
        <v>5.8278161166035E-2</v>
      </c>
      <c r="C30" s="38"/>
      <c r="F30" s="8"/>
      <c r="H30" s="80"/>
    </row>
    <row r="31" spans="1:8" x14ac:dyDescent="0.25">
      <c r="A31" s="84"/>
      <c r="B31" s="17"/>
      <c r="C31" s="38"/>
      <c r="F31" s="8"/>
      <c r="H31" s="80"/>
    </row>
    <row r="32" spans="1:8" x14ac:dyDescent="0.25">
      <c r="A32" s="37" t="s">
        <v>44</v>
      </c>
      <c r="F32" s="51"/>
      <c r="G32" s="58"/>
      <c r="H32" s="40"/>
    </row>
    <row r="33" spans="1:11" x14ac:dyDescent="0.25">
      <c r="A33" s="84"/>
      <c r="B33" s="36"/>
      <c r="F33" s="51"/>
      <c r="G33" s="58"/>
      <c r="H33" s="40"/>
    </row>
    <row r="34" spans="1:11" ht="44.25" customHeight="1" x14ac:dyDescent="0.25">
      <c r="A34" s="33" t="s">
        <v>64</v>
      </c>
      <c r="B34" s="22">
        <v>0.2</v>
      </c>
      <c r="D34" s="13" t="s">
        <v>166</v>
      </c>
      <c r="F34" s="51"/>
      <c r="G34" s="58"/>
      <c r="H34" s="40"/>
    </row>
    <row r="35" spans="1:11" x14ac:dyDescent="0.25">
      <c r="A35" s="8" t="s">
        <v>61</v>
      </c>
      <c r="B35" s="3">
        <v>0.5</v>
      </c>
      <c r="D35" t="s">
        <v>165</v>
      </c>
      <c r="F35" s="51"/>
      <c r="G35" s="58"/>
      <c r="H35" s="40"/>
    </row>
    <row r="36" spans="1:11" ht="30" x14ac:dyDescent="0.25">
      <c r="A36" s="30" t="s">
        <v>57</v>
      </c>
      <c r="B36" s="1">
        <v>100</v>
      </c>
      <c r="C36" t="s">
        <v>36</v>
      </c>
      <c r="D36" t="s">
        <v>37</v>
      </c>
      <c r="F36" s="51"/>
      <c r="G36" s="58"/>
      <c r="H36" s="40"/>
    </row>
    <row r="37" spans="1:11" x14ac:dyDescent="0.25">
      <c r="A37" s="30" t="s">
        <v>65</v>
      </c>
      <c r="B37" s="22">
        <v>0.25</v>
      </c>
      <c r="E37" t="s">
        <v>168</v>
      </c>
      <c r="F37" s="51"/>
      <c r="G37" s="58"/>
      <c r="H37" s="40"/>
    </row>
    <row r="38" spans="1:11" x14ac:dyDescent="0.25">
      <c r="A38" s="84"/>
      <c r="B38" s="36"/>
      <c r="F38" s="51"/>
      <c r="G38" s="58"/>
      <c r="H38" s="40"/>
    </row>
    <row r="39" spans="1:11" s="8" customFormat="1" x14ac:dyDescent="0.25">
      <c r="A39" s="29" t="s">
        <v>170</v>
      </c>
      <c r="B39" s="25"/>
      <c r="H39" s="40"/>
      <c r="I39" s="43"/>
    </row>
    <row r="40" spans="1:11" x14ac:dyDescent="0.25">
      <c r="A40" s="8" t="s">
        <v>49</v>
      </c>
      <c r="B40" s="27">
        <v>0.53869999999999996</v>
      </c>
      <c r="D40" s="28" t="s">
        <v>172</v>
      </c>
      <c r="H40" s="36"/>
    </row>
    <row r="41" spans="1:11" ht="30" x14ac:dyDescent="0.25">
      <c r="A41" s="30" t="s">
        <v>71</v>
      </c>
      <c r="B41" s="27">
        <v>0.58440000000000003</v>
      </c>
      <c r="D41" s="28" t="s">
        <v>172</v>
      </c>
      <c r="E41" s="13"/>
      <c r="H41" s="36"/>
    </row>
    <row r="42" spans="1:11" x14ac:dyDescent="0.25">
      <c r="A42" s="8" t="s">
        <v>50</v>
      </c>
      <c r="B42" s="27">
        <v>0.33</v>
      </c>
      <c r="H42" s="36"/>
    </row>
    <row r="43" spans="1:11" x14ac:dyDescent="0.25">
      <c r="A43" s="8" t="s">
        <v>51</v>
      </c>
      <c r="B43" s="27">
        <v>0.33</v>
      </c>
      <c r="H43" s="36"/>
      <c r="I43" s="51"/>
      <c r="K43" s="51"/>
    </row>
    <row r="44" spans="1:11" x14ac:dyDescent="0.25">
      <c r="A44" s="8" t="s">
        <v>53</v>
      </c>
      <c r="B44" s="155">
        <v>4</v>
      </c>
      <c r="C44" t="s">
        <v>3</v>
      </c>
      <c r="D44" t="s">
        <v>172</v>
      </c>
      <c r="E44" t="s">
        <v>48</v>
      </c>
      <c r="H44" s="36"/>
    </row>
    <row r="45" spans="1:11" x14ac:dyDescent="0.25">
      <c r="A45" s="8" t="s">
        <v>52</v>
      </c>
      <c r="B45" s="155"/>
      <c r="H45" s="36"/>
      <c r="I45" s="52"/>
      <c r="K45" s="52"/>
    </row>
    <row r="46" spans="1:11" x14ac:dyDescent="0.25">
      <c r="A46" s="8" t="s">
        <v>54</v>
      </c>
      <c r="B46" s="155"/>
    </row>
    <row r="47" spans="1:11" ht="45" x14ac:dyDescent="0.25">
      <c r="A47" s="30" t="s">
        <v>66</v>
      </c>
      <c r="B47" s="3">
        <f>60/225.58</f>
        <v>0.26598102668676299</v>
      </c>
      <c r="D47" t="s">
        <v>173</v>
      </c>
    </row>
    <row r="48" spans="1:11" x14ac:dyDescent="0.25">
      <c r="B48" s="36"/>
    </row>
    <row r="49" spans="1:4" x14ac:dyDescent="0.25">
      <c r="A49" s="29" t="s">
        <v>59</v>
      </c>
    </row>
    <row r="50" spans="1:4" ht="30" x14ac:dyDescent="0.25">
      <c r="A50" s="30" t="s">
        <v>56</v>
      </c>
      <c r="B50" s="22">
        <v>0.32</v>
      </c>
      <c r="D50" t="s">
        <v>174</v>
      </c>
    </row>
    <row r="52" spans="1:4" x14ac:dyDescent="0.25">
      <c r="A52" s="29" t="s">
        <v>58</v>
      </c>
    </row>
    <row r="53" spans="1:4" ht="30" x14ac:dyDescent="0.25">
      <c r="A53" s="30" t="s">
        <v>56</v>
      </c>
      <c r="B53" s="22">
        <v>0.1</v>
      </c>
      <c r="D53" t="s">
        <v>175</v>
      </c>
    </row>
    <row r="55" spans="1:4" x14ac:dyDescent="0.25">
      <c r="A55" s="29" t="s">
        <v>60</v>
      </c>
    </row>
    <row r="56" spans="1:4" ht="30" x14ac:dyDescent="0.25">
      <c r="A56" s="30" t="s">
        <v>56</v>
      </c>
      <c r="B56" s="22">
        <v>0.1</v>
      </c>
      <c r="D56" t="s">
        <v>176</v>
      </c>
    </row>
  </sheetData>
  <mergeCells count="2">
    <mergeCell ref="B44:B46"/>
    <mergeCell ref="B25:B2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15DED-A791-4303-B228-EDF88B791EE1}">
  <sheetPr codeName="Sheet7">
    <tabColor theme="9" tint="0.39997558519241921"/>
  </sheetPr>
  <dimension ref="A1:CX106"/>
  <sheetViews>
    <sheetView zoomScale="80" zoomScaleNormal="80" workbookViewId="0">
      <selection activeCell="K1" sqref="K1:K1048576"/>
    </sheetView>
  </sheetViews>
  <sheetFormatPr defaultRowHeight="15" x14ac:dyDescent="0.25"/>
  <cols>
    <col min="1" max="1" width="20" customWidth="1"/>
    <col min="2" max="3" width="24.140625" bestFit="1" customWidth="1"/>
    <col min="4" max="4" width="12" bestFit="1" customWidth="1"/>
    <col min="5" max="5" width="12.140625" bestFit="1" customWidth="1"/>
    <col min="6" max="6" width="25" bestFit="1" customWidth="1"/>
    <col min="7" max="7" width="27" bestFit="1" customWidth="1"/>
    <col min="8" max="9" width="35" customWidth="1"/>
    <col min="10" max="10" width="26" style="1" customWidth="1"/>
    <col min="11" max="12" width="27.7109375" style="36" customWidth="1"/>
    <col min="13" max="13" width="16.28515625" style="15" customWidth="1"/>
    <col min="14" max="14" width="23.28515625" style="19" customWidth="1"/>
    <col min="15" max="16" width="11.5703125" style="19" bestFit="1" customWidth="1"/>
    <col min="17" max="17" width="12.5703125" style="19" bestFit="1" customWidth="1"/>
    <col min="18" max="102" width="9.140625" style="19"/>
  </cols>
  <sheetData>
    <row r="1" spans="1:17" ht="15.75" x14ac:dyDescent="0.25">
      <c r="A1" s="81" t="s">
        <v>15</v>
      </c>
      <c r="B1" s="81" t="s">
        <v>14</v>
      </c>
      <c r="C1" s="81" t="s">
        <v>55</v>
      </c>
      <c r="D1" s="81"/>
      <c r="F1" s="8"/>
      <c r="G1" s="8"/>
    </row>
    <row r="2" spans="1:17" x14ac:dyDescent="0.25">
      <c r="A2" s="43"/>
      <c r="B2" s="43"/>
      <c r="C2" s="43"/>
      <c r="F2" s="8"/>
      <c r="G2" s="8"/>
      <c r="I2" s="8" t="s">
        <v>85</v>
      </c>
      <c r="J2" s="8">
        <f>(G50-G7)/(44-1)</f>
        <v>5.3142641043174583</v>
      </c>
    </row>
    <row r="3" spans="1:17" x14ac:dyDescent="0.25">
      <c r="A3" s="43"/>
      <c r="B3" s="43"/>
      <c r="C3" s="43"/>
      <c r="F3" s="8"/>
      <c r="G3" s="8"/>
      <c r="I3" s="8" t="s">
        <v>86</v>
      </c>
      <c r="J3" s="8">
        <f>0.93*J2</f>
        <v>4.9422656170152361</v>
      </c>
    </row>
    <row r="4" spans="1:17" ht="15.75" thickBot="1" x14ac:dyDescent="0.3">
      <c r="C4" s="1"/>
      <c r="D4" s="1"/>
      <c r="N4" s="157"/>
      <c r="O4" s="157"/>
      <c r="P4" s="157"/>
      <c r="Q4" s="157"/>
    </row>
    <row r="5" spans="1:17" s="19" customFormat="1" ht="60.75" thickBot="1" x14ac:dyDescent="0.3">
      <c r="A5" s="72" t="s">
        <v>13</v>
      </c>
      <c r="B5" s="73" t="s">
        <v>12</v>
      </c>
      <c r="C5" s="74" t="s">
        <v>11</v>
      </c>
      <c r="D5" s="74" t="s">
        <v>10</v>
      </c>
      <c r="E5" s="74" t="s">
        <v>9</v>
      </c>
      <c r="F5" s="73" t="s">
        <v>8</v>
      </c>
      <c r="G5" s="74" t="s">
        <v>116</v>
      </c>
      <c r="H5" s="73" t="s">
        <v>7</v>
      </c>
      <c r="I5" s="73" t="s">
        <v>83</v>
      </c>
      <c r="J5" s="74" t="s">
        <v>6</v>
      </c>
      <c r="K5" s="74" t="s">
        <v>230</v>
      </c>
      <c r="L5" s="97"/>
      <c r="M5" s="60"/>
      <c r="N5" s="54"/>
      <c r="O5" s="55"/>
      <c r="P5" s="55"/>
      <c r="Q5" s="55"/>
    </row>
    <row r="6" spans="1:17" ht="17.25" x14ac:dyDescent="0.25">
      <c r="A6" s="69" t="s">
        <v>5</v>
      </c>
      <c r="B6" s="69" t="s">
        <v>4</v>
      </c>
      <c r="C6" s="70" t="s">
        <v>3</v>
      </c>
      <c r="D6" s="70" t="s">
        <v>3</v>
      </c>
      <c r="E6" s="70" t="s">
        <v>2</v>
      </c>
      <c r="F6" s="69" t="s">
        <v>1</v>
      </c>
      <c r="G6" s="69" t="s">
        <v>1</v>
      </c>
      <c r="H6" s="69" t="s">
        <v>0</v>
      </c>
      <c r="I6" s="69" t="s">
        <v>0</v>
      </c>
      <c r="J6" s="71"/>
      <c r="K6" s="69" t="s">
        <v>0</v>
      </c>
      <c r="L6" s="98"/>
      <c r="N6" s="158"/>
      <c r="O6" s="158"/>
      <c r="P6" s="158"/>
      <c r="Q6" s="158"/>
    </row>
    <row r="7" spans="1:17" x14ac:dyDescent="0.25">
      <c r="A7" s="61">
        <v>1</v>
      </c>
      <c r="B7" s="63">
        <f>(2.55896+1.83486 * A7)</f>
        <v>4.3938199999999998</v>
      </c>
      <c r="C7" s="63">
        <f t="shared" ref="C7:C38" si="0">1.27242+0.57171 * B7 -
0.00862* B7^2+0.00006 * B7^3</f>
        <v>3.6230856272317311</v>
      </c>
      <c r="D7" s="63">
        <f>EXP(-1.0634+2.57921 * LN(LN(B7+ 1) + 0.06742/2))</f>
        <v>1.3962834420997412</v>
      </c>
      <c r="E7" s="63">
        <f xml:space="preserve">  3.14*(D7/2)^2</f>
        <v>1.5304418487852927</v>
      </c>
      <c r="F7" s="63">
        <f>H7</f>
        <v>2.311761646144852</v>
      </c>
      <c r="G7" s="63">
        <f>F7</f>
        <v>2.311761646144852</v>
      </c>
      <c r="H7" s="68">
        <f>H10/4</f>
        <v>2.311761646144852</v>
      </c>
      <c r="I7" s="62">
        <f>G7</f>
        <v>2.311761646144852</v>
      </c>
      <c r="J7" s="63">
        <f>(I7/E7)*12/44</f>
        <v>0.41195975492241438</v>
      </c>
      <c r="K7" s="64">
        <f>I7*(1+KeyParameters!$B$37)*(1+KeyParameters!$B$53)</f>
        <v>3.178672263449172</v>
      </c>
      <c r="L7" s="99"/>
      <c r="M7" s="32"/>
      <c r="N7" s="56"/>
      <c r="O7" s="56"/>
      <c r="P7" s="56"/>
      <c r="Q7" s="56"/>
    </row>
    <row r="8" spans="1:17" x14ac:dyDescent="0.25">
      <c r="A8" s="61">
        <v>2</v>
      </c>
      <c r="B8" s="63">
        <f t="shared" ref="B8:B38" si="1">(2.55896+1.83486 * A8)</f>
        <v>6.2286799999999998</v>
      </c>
      <c r="C8" s="63">
        <f t="shared" si="0"/>
        <v>4.5134922466732608</v>
      </c>
      <c r="D8" s="63">
        <f t="shared" ref="D8:D50" si="2">EXP(-1.0634+2.57921 * LN(LN(B8+ 1) + 0.06742/2))</f>
        <v>2.0948914671876269</v>
      </c>
      <c r="E8" s="63">
        <f t="shared" ref="E8:E38" si="3" xml:space="preserve">  3.14*(D8/2)^2</f>
        <v>3.4450276535469895</v>
      </c>
      <c r="F8" s="63">
        <f>H8-H7</f>
        <v>0.77058721538161734</v>
      </c>
      <c r="G8" s="63">
        <f t="shared" ref="G8:G14" si="4">H8-H7</f>
        <v>0.77058721538161734</v>
      </c>
      <c r="H8" s="68">
        <f>H10/3</f>
        <v>3.0823488615264694</v>
      </c>
      <c r="I8" s="64">
        <f>I7+G8</f>
        <v>3.0823488615264694</v>
      </c>
      <c r="J8" s="63">
        <f t="shared" ref="J8:J38" si="5">(I8/E8)*12/44</f>
        <v>0.24401563155308992</v>
      </c>
      <c r="K8" s="64">
        <f>I8*(1+KeyParameters!$B$37)*(1+KeyParameters!$B$53)</f>
        <v>4.2382296845988954</v>
      </c>
      <c r="L8" s="99"/>
      <c r="M8" s="32"/>
      <c r="N8" s="159"/>
      <c r="O8" s="159"/>
      <c r="P8" s="159"/>
      <c r="Q8" s="159"/>
    </row>
    <row r="9" spans="1:17" x14ac:dyDescent="0.25">
      <c r="A9" s="61">
        <v>3</v>
      </c>
      <c r="B9" s="63">
        <f>(2.55896+1.83486 * A9)</f>
        <v>8.0635399999999997</v>
      </c>
      <c r="C9" s="63">
        <f t="shared" si="0"/>
        <v>5.3534060247510356</v>
      </c>
      <c r="D9" s="63">
        <f t="shared" si="2"/>
        <v>2.7575204455631841</v>
      </c>
      <c r="E9" s="63">
        <f t="shared" si="3"/>
        <v>5.9690764210437006</v>
      </c>
      <c r="F9" s="63">
        <f>H9-H8</f>
        <v>1.5411744307632347</v>
      </c>
      <c r="G9" s="63">
        <f t="shared" si="4"/>
        <v>1.5411744307632347</v>
      </c>
      <c r="H9" s="68">
        <f>H10/2</f>
        <v>4.623523292289704</v>
      </c>
      <c r="I9" s="64">
        <f>I8+G9</f>
        <v>4.623523292289704</v>
      </c>
      <c r="J9" s="63">
        <f t="shared" si="5"/>
        <v>0.21124891171634747</v>
      </c>
      <c r="K9" s="64">
        <f>I9*(1+KeyParameters!$B$37)*(1+KeyParameters!$B$53)</f>
        <v>6.357344526898344</v>
      </c>
      <c r="L9" s="99"/>
      <c r="M9" s="32"/>
      <c r="N9" s="56"/>
      <c r="O9" s="56"/>
      <c r="P9" s="15"/>
      <c r="Q9" s="15"/>
    </row>
    <row r="10" spans="1:17" x14ac:dyDescent="0.25">
      <c r="A10" s="61">
        <v>4</v>
      </c>
      <c r="B10" s="63">
        <f t="shared" si="1"/>
        <v>9.8983999999999988</v>
      </c>
      <c r="C10" s="63">
        <f t="shared" si="0"/>
        <v>6.1450508412144744</v>
      </c>
      <c r="D10" s="63">
        <f t="shared" si="2"/>
        <v>3.3821104267941116</v>
      </c>
      <c r="E10" s="63">
        <f t="shared" si="3"/>
        <v>8.9793566871381163</v>
      </c>
      <c r="F10" s="63">
        <f>18.802 * C10 - 0.2081 * C10^2 - 98.434</f>
        <v>9.2470465845794081</v>
      </c>
      <c r="G10" s="63">
        <f t="shared" si="4"/>
        <v>4.623523292289704</v>
      </c>
      <c r="H10" s="63">
        <f>F10</f>
        <v>9.2470465845794081</v>
      </c>
      <c r="I10" s="64">
        <f t="shared" ref="I10:I39" si="6">I9+G10</f>
        <v>9.2470465845794081</v>
      </c>
      <c r="J10" s="63">
        <f t="shared" si="5"/>
        <v>0.28085773665798835</v>
      </c>
      <c r="K10" s="64">
        <f>I10*(1+KeyParameters!$B$37)*(1+KeyParameters!$B$53)</f>
        <v>12.714689053796688</v>
      </c>
      <c r="L10" s="99"/>
      <c r="M10" s="32"/>
      <c r="N10" s="45"/>
      <c r="O10" s="45"/>
    </row>
    <row r="11" spans="1:17" x14ac:dyDescent="0.25">
      <c r="A11" s="61">
        <v>5</v>
      </c>
      <c r="B11" s="63">
        <f t="shared" si="1"/>
        <v>11.733259999999998</v>
      </c>
      <c r="C11" s="63">
        <f t="shared" si="0"/>
        <v>6.8906505758130017</v>
      </c>
      <c r="D11" s="63">
        <f t="shared" si="2"/>
        <v>3.9712272002015601</v>
      </c>
      <c r="E11" s="63">
        <f t="shared" si="3"/>
        <v>12.379956698362268</v>
      </c>
      <c r="F11" s="63">
        <f>18.802 * C11 - 0.2081 * C11^2 - 98.434</f>
        <v>21.243202425446242</v>
      </c>
      <c r="G11" s="63">
        <f t="shared" si="4"/>
        <v>21.243202425446242</v>
      </c>
      <c r="H11" s="63">
        <f>H10+F11</f>
        <v>30.49024901002565</v>
      </c>
      <c r="I11" s="64">
        <f>I10+G11</f>
        <v>30.49024901002565</v>
      </c>
      <c r="J11" s="63">
        <f t="shared" si="5"/>
        <v>0.67169237016634931</v>
      </c>
      <c r="K11" s="64">
        <f>I11*(1+KeyParameters!$B$37)*(1+KeyParameters!$B$53)</f>
        <v>41.924092388785269</v>
      </c>
      <c r="L11" s="99"/>
      <c r="M11" s="32"/>
      <c r="N11" s="45"/>
      <c r="O11" s="45"/>
    </row>
    <row r="12" spans="1:17" x14ac:dyDescent="0.25">
      <c r="A12" s="61">
        <v>6</v>
      </c>
      <c r="B12" s="63">
        <f t="shared" si="1"/>
        <v>13.56812</v>
      </c>
      <c r="C12" s="63">
        <f t="shared" si="0"/>
        <v>7.5924291082960389</v>
      </c>
      <c r="D12" s="63">
        <f t="shared" si="2"/>
        <v>4.5283673960933521</v>
      </c>
      <c r="E12" s="63">
        <f t="shared" si="3"/>
        <v>16.097297350091011</v>
      </c>
      <c r="F12" s="63">
        <f>18.802 * C12- (0.2081 * (C12)^2) - 98.434</f>
        <v>32.322931805189455</v>
      </c>
      <c r="G12" s="63">
        <f t="shared" si="4"/>
        <v>32.322931805189455</v>
      </c>
      <c r="H12" s="63">
        <f>F12+H11</f>
        <v>62.813180815215105</v>
      </c>
      <c r="I12" s="64">
        <f t="shared" si="6"/>
        <v>62.813180815215105</v>
      </c>
      <c r="J12" s="63">
        <f t="shared" si="5"/>
        <v>1.0642076817299899</v>
      </c>
      <c r="K12" s="64">
        <f>I12*(1+KeyParameters!$B$37)*(1+KeyParameters!$B$53)</f>
        <v>86.36812362092077</v>
      </c>
      <c r="L12" s="99"/>
      <c r="M12" s="32"/>
      <c r="N12" s="45"/>
      <c r="O12" s="45"/>
    </row>
    <row r="13" spans="1:17" x14ac:dyDescent="0.25">
      <c r="A13" s="61">
        <v>7</v>
      </c>
      <c r="B13" s="63">
        <f t="shared" si="1"/>
        <v>15.402979999999999</v>
      </c>
      <c r="C13" s="63">
        <f>1.27242+0.57171 * B13 -
0.00862* B13^2+0.00006 * B13^3</f>
        <v>8.2526103184130104</v>
      </c>
      <c r="D13" s="63">
        <f t="shared" si="2"/>
        <v>5.0569369288950554</v>
      </c>
      <c r="E13" s="63">
        <f t="shared" si="3"/>
        <v>20.074499715715707</v>
      </c>
      <c r="F13" s="63">
        <f t="shared" ref="F13:F26" si="7">18.802 * C13- (0.2081 * (C13)^2) - 98.434</f>
        <v>42.558808619038672</v>
      </c>
      <c r="G13" s="63">
        <f t="shared" si="4"/>
        <v>42.558808619038672</v>
      </c>
      <c r="H13" s="63">
        <f t="shared" ref="H13:H49" si="8">F13+H12</f>
        <v>105.37198943425378</v>
      </c>
      <c r="I13" s="64">
        <f t="shared" si="6"/>
        <v>105.37198943425378</v>
      </c>
      <c r="J13" s="63">
        <f t="shared" si="5"/>
        <v>1.4315582309507362</v>
      </c>
      <c r="K13" s="64">
        <f>I13*(1+KeyParameters!$B$37)*(1+KeyParameters!$B$53)</f>
        <v>144.88648547209897</v>
      </c>
      <c r="L13" s="99"/>
      <c r="M13" s="32"/>
      <c r="N13" s="45"/>
      <c r="O13" s="45"/>
    </row>
    <row r="14" spans="1:17" x14ac:dyDescent="0.25">
      <c r="A14" s="61">
        <v>8</v>
      </c>
      <c r="B14" s="63">
        <f t="shared" si="1"/>
        <v>17.237839999999998</v>
      </c>
      <c r="C14" s="63">
        <f t="shared" si="0"/>
        <v>8.8734180859133343</v>
      </c>
      <c r="D14" s="63">
        <f t="shared" si="2"/>
        <v>5.5599812117127936</v>
      </c>
      <c r="E14" s="63">
        <f t="shared" si="3"/>
        <v>24.267011993560423</v>
      </c>
      <c r="F14" s="63">
        <f t="shared" si="7"/>
        <v>52.018723002787681</v>
      </c>
      <c r="G14" s="63">
        <f t="shared" si="4"/>
        <v>52.018723002787681</v>
      </c>
      <c r="H14" s="63">
        <f t="shared" si="8"/>
        <v>157.39071243704146</v>
      </c>
      <c r="I14" s="64">
        <f t="shared" si="6"/>
        <v>157.39071243704146</v>
      </c>
      <c r="J14" s="63">
        <f t="shared" si="5"/>
        <v>1.7688514666308079</v>
      </c>
      <c r="K14" s="64">
        <f>I14*(1+KeyParameters!$B$37)*(1+KeyParameters!$B$53)</f>
        <v>216.41222960093202</v>
      </c>
      <c r="L14" s="99"/>
      <c r="M14" s="32"/>
      <c r="N14" s="45"/>
      <c r="O14" s="45"/>
    </row>
    <row r="15" spans="1:17" x14ac:dyDescent="0.25">
      <c r="A15" s="61">
        <v>9</v>
      </c>
      <c r="B15" s="63">
        <f t="shared" si="1"/>
        <v>19.072699999999998</v>
      </c>
      <c r="C15" s="63">
        <f t="shared" si="0"/>
        <v>9.4570762905464356</v>
      </c>
      <c r="D15" s="63">
        <f t="shared" si="2"/>
        <v>6.0401467656894763</v>
      </c>
      <c r="E15" s="63">
        <f t="shared" si="3"/>
        <v>28.6394477665892</v>
      </c>
      <c r="F15" s="63">
        <f t="shared" si="7"/>
        <v>60.766256056892729</v>
      </c>
      <c r="G15" s="63">
        <f t="shared" ref="G15:G49" si="9">H15-H14</f>
        <v>60.766256056892729</v>
      </c>
      <c r="H15" s="63">
        <f t="shared" si="8"/>
        <v>218.15696849393419</v>
      </c>
      <c r="I15" s="64">
        <f t="shared" si="6"/>
        <v>218.15696849393419</v>
      </c>
      <c r="J15" s="63">
        <f t="shared" si="5"/>
        <v>2.0774616720511592</v>
      </c>
      <c r="K15" s="64">
        <f>I15*(1+KeyParameters!$B$37)*(1+KeyParameters!$B$53)</f>
        <v>299.96583167915952</v>
      </c>
      <c r="L15" s="99"/>
      <c r="M15" s="32"/>
      <c r="N15" s="45"/>
      <c r="O15" s="45"/>
    </row>
    <row r="16" spans="1:17" ht="14.25" customHeight="1" x14ac:dyDescent="0.25">
      <c r="A16" s="61">
        <v>10</v>
      </c>
      <c r="B16" s="63">
        <f t="shared" si="1"/>
        <v>20.907559999999997</v>
      </c>
      <c r="C16" s="63">
        <f t="shared" si="0"/>
        <v>10.005808812061737</v>
      </c>
      <c r="D16" s="63">
        <f t="shared" si="2"/>
        <v>6.4997134623050137</v>
      </c>
      <c r="E16" s="63">
        <f t="shared" si="3"/>
        <v>33.163325947274188</v>
      </c>
      <c r="F16" s="63">
        <f>18.802 * C16- (0.2081 * (C16)^2) - 98.434</f>
        <v>68.861033986811691</v>
      </c>
      <c r="G16" s="63">
        <f t="shared" si="9"/>
        <v>68.861033986811663</v>
      </c>
      <c r="H16" s="63">
        <f t="shared" si="8"/>
        <v>287.01800248074585</v>
      </c>
      <c r="I16" s="64">
        <f t="shared" si="6"/>
        <v>287.01800248074585</v>
      </c>
      <c r="J16" s="63">
        <f t="shared" si="5"/>
        <v>2.3603675085139439</v>
      </c>
      <c r="K16" s="64">
        <f>I16*(1+KeyParameters!$B$37)*(1+KeyParameters!$B$53)</f>
        <v>394.64975341102559</v>
      </c>
      <c r="L16" s="99"/>
      <c r="M16" s="32"/>
      <c r="N16" s="45"/>
      <c r="O16" s="45"/>
    </row>
    <row r="17" spans="1:102" x14ac:dyDescent="0.25">
      <c r="A17" s="61">
        <v>11</v>
      </c>
      <c r="B17" s="63">
        <f t="shared" si="1"/>
        <v>22.742419999999999</v>
      </c>
      <c r="C17" s="63">
        <f t="shared" si="0"/>
        <v>10.521839530208663</v>
      </c>
      <c r="D17" s="63">
        <f t="shared" si="2"/>
        <v>6.9406441079924299</v>
      </c>
      <c r="E17" s="63">
        <f t="shared" si="3"/>
        <v>37.815444397540873</v>
      </c>
      <c r="F17" s="63">
        <f t="shared" si="7"/>
        <v>76.359061659585308</v>
      </c>
      <c r="G17" s="63">
        <f t="shared" si="9"/>
        <v>76.359061659585336</v>
      </c>
      <c r="H17" s="63">
        <f t="shared" si="8"/>
        <v>363.37706414033119</v>
      </c>
      <c r="I17" s="64">
        <f t="shared" si="6"/>
        <v>363.37706414033119</v>
      </c>
      <c r="J17" s="63">
        <f t="shared" si="5"/>
        <v>2.6206973699105967</v>
      </c>
      <c r="K17" s="64">
        <f>I17*(1+KeyParameters!$B$37)*(1+KeyParameters!$B$53)</f>
        <v>499.64346319295544</v>
      </c>
      <c r="L17" s="99"/>
      <c r="M17" s="32"/>
      <c r="N17" s="45"/>
      <c r="O17" s="45"/>
    </row>
    <row r="18" spans="1:102" x14ac:dyDescent="0.25">
      <c r="A18" s="61">
        <v>12</v>
      </c>
      <c r="B18" s="63">
        <f t="shared" si="1"/>
        <v>24.577279999999998</v>
      </c>
      <c r="C18" s="63">
        <f t="shared" si="0"/>
        <v>11.007392324736626</v>
      </c>
      <c r="D18" s="63">
        <f t="shared" si="2"/>
        <v>7.3646335594909109</v>
      </c>
      <c r="E18" s="63">
        <f t="shared" si="3"/>
        <v>42.576694560480114</v>
      </c>
      <c r="F18" s="63">
        <f t="shared" si="7"/>
        <v>83.313035576659473</v>
      </c>
      <c r="G18" s="63">
        <f t="shared" si="9"/>
        <v>83.313035576659445</v>
      </c>
      <c r="H18" s="63">
        <f t="shared" si="8"/>
        <v>446.69009971699063</v>
      </c>
      <c r="I18" s="64">
        <f t="shared" si="6"/>
        <v>446.69009971699063</v>
      </c>
      <c r="J18" s="63">
        <f t="shared" si="5"/>
        <v>2.861297099450423</v>
      </c>
      <c r="K18" s="64">
        <f>I18*(1+KeyParameters!$B$37)*(1+KeyParameters!$B$53)</f>
        <v>614.19888711086219</v>
      </c>
      <c r="L18" s="99"/>
      <c r="M18" s="32"/>
      <c r="N18" s="45"/>
      <c r="O18" s="45"/>
    </row>
    <row r="19" spans="1:102" x14ac:dyDescent="0.25">
      <c r="A19" s="61">
        <v>13</v>
      </c>
      <c r="B19" s="63">
        <f t="shared" si="1"/>
        <v>26.412139999999997</v>
      </c>
      <c r="C19" s="63">
        <f t="shared" si="0"/>
        <v>11.464691075395059</v>
      </c>
      <c r="D19" s="63">
        <f t="shared" si="2"/>
        <v>7.7731519762970676</v>
      </c>
      <c r="E19" s="63">
        <f t="shared" si="3"/>
        <v>47.431184942589645</v>
      </c>
      <c r="F19" s="63">
        <f t="shared" si="7"/>
        <v>89.772636262949902</v>
      </c>
      <c r="G19" s="63">
        <f t="shared" si="9"/>
        <v>89.772636262949959</v>
      </c>
      <c r="H19" s="63">
        <f t="shared" si="8"/>
        <v>536.46273597994059</v>
      </c>
      <c r="I19" s="64">
        <f t="shared" si="6"/>
        <v>536.46273597994059</v>
      </c>
      <c r="J19" s="63">
        <f t="shared" si="5"/>
        <v>3.0846376509612883</v>
      </c>
      <c r="K19" s="64">
        <f>I19*(1+KeyParameters!$B$37)*(1+KeyParameters!$B$53)</f>
        <v>737.63626197241842</v>
      </c>
      <c r="L19" s="99"/>
      <c r="M19" s="32"/>
      <c r="N19" s="45"/>
      <c r="O19" s="45"/>
    </row>
    <row r="20" spans="1:102" x14ac:dyDescent="0.25">
      <c r="A20" s="61">
        <v>14</v>
      </c>
      <c r="B20" s="63">
        <f t="shared" si="1"/>
        <v>28.247</v>
      </c>
      <c r="C20" s="63">
        <f t="shared" si="0"/>
        <v>11.895959661933384</v>
      </c>
      <c r="D20" s="63">
        <f t="shared" si="2"/>
        <v>8.1674812340800003</v>
      </c>
      <c r="E20" s="63">
        <f t="shared" si="3"/>
        <v>52.36558352160344</v>
      </c>
      <c r="F20" s="63">
        <f t="shared" si="7"/>
        <v>95.784800072147647</v>
      </c>
      <c r="G20" s="63">
        <f t="shared" si="9"/>
        <v>95.784800072147618</v>
      </c>
      <c r="H20" s="63">
        <f t="shared" si="8"/>
        <v>632.24753605208821</v>
      </c>
      <c r="I20" s="64">
        <f t="shared" si="6"/>
        <v>632.24753605208821</v>
      </c>
      <c r="J20" s="63">
        <f t="shared" si="5"/>
        <v>3.2928334719098</v>
      </c>
      <c r="K20" s="64">
        <f>I20*(1+KeyParameters!$B$37)*(1+KeyParameters!$B$53)</f>
        <v>869.34036207162137</v>
      </c>
      <c r="L20" s="99"/>
      <c r="M20" s="32"/>
      <c r="N20" s="45"/>
      <c r="O20" s="45"/>
    </row>
    <row r="21" spans="1:102" x14ac:dyDescent="0.25">
      <c r="A21" s="61">
        <v>15</v>
      </c>
      <c r="B21" s="63">
        <f t="shared" si="1"/>
        <v>30.081859999999999</v>
      </c>
      <c r="C21" s="63">
        <f t="shared" si="0"/>
        <v>12.303421964101016</v>
      </c>
      <c r="D21" s="63">
        <f t="shared" si="2"/>
        <v>8.5487450212717455</v>
      </c>
      <c r="E21" s="63">
        <f t="shared" si="3"/>
        <v>57.368617529393994</v>
      </c>
      <c r="F21" s="63">
        <f t="shared" si="7"/>
        <v>101.39397040826617</v>
      </c>
      <c r="G21" s="63">
        <f t="shared" si="9"/>
        <v>101.39397040826611</v>
      </c>
      <c r="H21" s="63">
        <f t="shared" si="8"/>
        <v>733.64150646035432</v>
      </c>
      <c r="I21" s="64">
        <f t="shared" si="6"/>
        <v>733.64150646035432</v>
      </c>
      <c r="J21" s="63">
        <f t="shared" si="5"/>
        <v>3.4876916306017502</v>
      </c>
      <c r="K21" s="64">
        <f>I21*(1+KeyParameters!$B$37)*(1+KeyParameters!$B$53)</f>
        <v>1008.7570713829873</v>
      </c>
      <c r="L21" s="99"/>
      <c r="M21" s="32"/>
      <c r="N21" s="45"/>
      <c r="O21" s="45"/>
    </row>
    <row r="22" spans="1:102" x14ac:dyDescent="0.25">
      <c r="A22" s="61">
        <v>16</v>
      </c>
      <c r="B22" s="63">
        <f t="shared" si="1"/>
        <v>31.916719999999998</v>
      </c>
      <c r="C22" s="63">
        <f t="shared" si="0"/>
        <v>12.68930186164738</v>
      </c>
      <c r="D22" s="63">
        <f t="shared" si="2"/>
        <v>8.9179335525532881</v>
      </c>
      <c r="E22" s="63">
        <f t="shared" si="3"/>
        <v>62.430687995488242</v>
      </c>
      <c r="F22" s="63">
        <f t="shared" si="7"/>
        <v>106.64232836343083</v>
      </c>
      <c r="G22" s="63">
        <f t="shared" si="9"/>
        <v>106.64232836343081</v>
      </c>
      <c r="H22" s="63">
        <f t="shared" si="8"/>
        <v>840.28383482378513</v>
      </c>
      <c r="I22" s="64">
        <f t="shared" si="6"/>
        <v>840.28383482378513</v>
      </c>
      <c r="J22" s="63">
        <f t="shared" si="5"/>
        <v>3.6707639455273449</v>
      </c>
      <c r="K22" s="64">
        <f>I22*(1+KeyParameters!$B$37)*(1+KeyParameters!$B$53)</f>
        <v>1155.3902728827047</v>
      </c>
      <c r="L22" s="99"/>
      <c r="M22" s="32"/>
      <c r="N22" s="45"/>
      <c r="O22" s="45"/>
    </row>
    <row r="23" spans="1:102" x14ac:dyDescent="0.25">
      <c r="A23" s="61">
        <v>17</v>
      </c>
      <c r="B23" s="63">
        <f t="shared" si="1"/>
        <v>33.751579999999997</v>
      </c>
      <c r="C23" s="63">
        <f t="shared" si="0"/>
        <v>13.055823234321899</v>
      </c>
      <c r="D23" s="63">
        <f t="shared" si="2"/>
        <v>9.2759238485383815</v>
      </c>
      <c r="E23" s="63">
        <f t="shared" si="3"/>
        <v>67.543569146448235</v>
      </c>
      <c r="F23" s="63">
        <f t="shared" si="7"/>
        <v>111.57000277190897</v>
      </c>
      <c r="G23" s="63">
        <f t="shared" si="9"/>
        <v>111.570002771909</v>
      </c>
      <c r="H23" s="63">
        <f t="shared" si="8"/>
        <v>951.85383759569413</v>
      </c>
      <c r="I23" s="64">
        <f t="shared" si="6"/>
        <v>951.85383759569413</v>
      </c>
      <c r="J23" s="63">
        <f t="shared" si="5"/>
        <v>3.8433933006946059</v>
      </c>
      <c r="K23" s="64">
        <f>I23*(1+KeyParameters!$B$37)*(1+KeyParameters!$B$53)</f>
        <v>1308.7990266940794</v>
      </c>
      <c r="L23" s="99"/>
      <c r="M23" s="32"/>
      <c r="N23" s="45"/>
      <c r="O23" s="45"/>
    </row>
    <row r="24" spans="1:102" x14ac:dyDescent="0.25">
      <c r="A24" s="61">
        <v>18</v>
      </c>
      <c r="B24" s="63">
        <f t="shared" si="1"/>
        <v>35.586439999999996</v>
      </c>
      <c r="C24" s="63">
        <f t="shared" si="0"/>
        <v>13.405209961873998</v>
      </c>
      <c r="D24" s="63">
        <f t="shared" si="2"/>
        <v>9.6234964169451978</v>
      </c>
      <c r="E24" s="63">
        <f t="shared" si="3"/>
        <v>72.700171380261295</v>
      </c>
      <c r="F24" s="63">
        <f t="shared" si="7"/>
        <v>116.21525968038213</v>
      </c>
      <c r="G24" s="63">
        <f t="shared" si="9"/>
        <v>116.21525968038213</v>
      </c>
      <c r="H24" s="63">
        <f t="shared" si="8"/>
        <v>1068.0690972760763</v>
      </c>
      <c r="I24" s="64">
        <f t="shared" si="6"/>
        <v>1068.0690972760763</v>
      </c>
      <c r="J24" s="63">
        <f t="shared" si="5"/>
        <v>4.0067522050363769</v>
      </c>
      <c r="K24" s="64">
        <f>I24*(1+KeyParameters!$B$37)*(1+KeyParameters!$B$53)</f>
        <v>1468.595008754605</v>
      </c>
      <c r="L24" s="99"/>
      <c r="M24" s="32"/>
      <c r="N24" s="45"/>
      <c r="O24" s="45"/>
    </row>
    <row r="25" spans="1:102" x14ac:dyDescent="0.25">
      <c r="A25" s="61">
        <v>19</v>
      </c>
      <c r="B25" s="63">
        <f t="shared" si="1"/>
        <v>37.421299999999995</v>
      </c>
      <c r="C25" s="63">
        <f t="shared" si="0"/>
        <v>13.739685924053099</v>
      </c>
      <c r="D25" s="63">
        <f t="shared" si="2"/>
        <v>9.9613490288516324</v>
      </c>
      <c r="E25" s="63">
        <f t="shared" si="3"/>
        <v>77.894352462563646</v>
      </c>
      <c r="F25" s="63">
        <f t="shared" si="7"/>
        <v>120.61467123445965</v>
      </c>
      <c r="G25" s="63">
        <f t="shared" si="9"/>
        <v>120.61467123445959</v>
      </c>
      <c r="H25" s="63">
        <f t="shared" si="8"/>
        <v>1188.6837685105359</v>
      </c>
      <c r="I25" s="64">
        <f t="shared" si="6"/>
        <v>1188.6837685105359</v>
      </c>
      <c r="J25" s="63">
        <f t="shared" si="5"/>
        <v>4.161874026449615</v>
      </c>
      <c r="K25" s="64">
        <f>I25*(1+KeyParameters!$B$37)*(1+KeyParameters!$B$53)</f>
        <v>1634.4401817019868</v>
      </c>
      <c r="L25" s="99"/>
      <c r="M25" s="32"/>
      <c r="N25" s="45"/>
      <c r="O25" s="45"/>
    </row>
    <row r="26" spans="1:102" s="5" customFormat="1" x14ac:dyDescent="0.25">
      <c r="A26" s="65">
        <v>20</v>
      </c>
      <c r="B26" s="75">
        <f t="shared" si="1"/>
        <v>39.256159999999994</v>
      </c>
      <c r="C26" s="75">
        <f t="shared" si="0"/>
        <v>14.061475000608622</v>
      </c>
      <c r="D26" s="63">
        <f t="shared" si="2"/>
        <v>10.290108151026923</v>
      </c>
      <c r="E26" s="75">
        <f t="shared" si="3"/>
        <v>83.120765721467109</v>
      </c>
      <c r="F26" s="75">
        <f t="shared" si="7"/>
        <v>124.80326398143387</v>
      </c>
      <c r="G26" s="63">
        <f t="shared" si="9"/>
        <v>124.80326398143393</v>
      </c>
      <c r="H26" s="63">
        <f t="shared" si="8"/>
        <v>1313.4870324919698</v>
      </c>
      <c r="I26" s="64">
        <f t="shared" si="6"/>
        <v>1313.4870324919698</v>
      </c>
      <c r="J26" s="63">
        <f t="shared" si="5"/>
        <v>4.3096780091579125</v>
      </c>
      <c r="K26" s="64">
        <f>I26*(1+KeyParameters!$B$37)*(1+KeyParameters!$B$53)</f>
        <v>1806.0446696764586</v>
      </c>
      <c r="L26" s="99"/>
      <c r="M26" s="32"/>
      <c r="N26" s="57"/>
      <c r="O26" s="57"/>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row>
    <row r="27" spans="1:102" x14ac:dyDescent="0.25">
      <c r="A27" s="61">
        <v>21</v>
      </c>
      <c r="B27" s="63">
        <f t="shared" si="1"/>
        <v>41.09102</v>
      </c>
      <c r="C27" s="63">
        <f t="shared" si="0"/>
        <v>14.372801071289988</v>
      </c>
      <c r="D27" s="63">
        <f t="shared" si="2"/>
        <v>10.610338482753743</v>
      </c>
      <c r="E27" s="63">
        <f t="shared" si="3"/>
        <v>88.374736934104931</v>
      </c>
      <c r="F27" s="63">
        <f t="shared" ref="F27:F43" si="10">18.802 * C27 - 0.2081 * C27^2 - 98.434</f>
        <v>128.81464658927692</v>
      </c>
      <c r="G27" s="63">
        <f t="shared" si="9"/>
        <v>128.81464658927689</v>
      </c>
      <c r="H27" s="63">
        <f t="shared" si="8"/>
        <v>1442.3016790812467</v>
      </c>
      <c r="I27" s="64">
        <f t="shared" si="6"/>
        <v>1442.3016790812467</v>
      </c>
      <c r="J27" s="63">
        <f t="shared" si="5"/>
        <v>4.4509892423113264</v>
      </c>
      <c r="K27" s="64">
        <f>I27*(1+KeyParameters!$B$37)*(1+KeyParameters!$B$53)</f>
        <v>1983.1648087367146</v>
      </c>
      <c r="L27" s="99"/>
      <c r="M27" s="32"/>
      <c r="N27" s="45"/>
      <c r="O27" s="45"/>
    </row>
    <row r="28" spans="1:102" x14ac:dyDescent="0.25">
      <c r="A28" s="61">
        <v>22</v>
      </c>
      <c r="B28" s="63">
        <f t="shared" si="1"/>
        <v>42.925879999999999</v>
      </c>
      <c r="C28" s="63">
        <f t="shared" si="0"/>
        <v>14.675888015846619</v>
      </c>
      <c r="D28" s="63">
        <f t="shared" si="2"/>
        <v>10.922550954015868</v>
      </c>
      <c r="E28" s="63">
        <f t="shared" si="3"/>
        <v>93.652163684312271</v>
      </c>
      <c r="F28" s="63">
        <f t="shared" si="10"/>
        <v>132.68111698187931</v>
      </c>
      <c r="G28" s="63">
        <f t="shared" si="9"/>
        <v>132.68111698187931</v>
      </c>
      <c r="H28" s="63">
        <f t="shared" si="8"/>
        <v>1574.982796063126</v>
      </c>
      <c r="I28" s="64">
        <f t="shared" si="6"/>
        <v>1574.982796063126</v>
      </c>
      <c r="J28" s="63">
        <f t="shared" si="5"/>
        <v>4.5865546044466177</v>
      </c>
      <c r="K28" s="64">
        <f>I28*(1+KeyParameters!$B$37)*(1+KeyParameters!$B$53)</f>
        <v>2165.6013445867984</v>
      </c>
      <c r="L28" s="99"/>
      <c r="M28" s="32"/>
      <c r="N28" s="45"/>
      <c r="O28" s="45"/>
    </row>
    <row r="29" spans="1:102" x14ac:dyDescent="0.25">
      <c r="A29" s="61">
        <v>23</v>
      </c>
      <c r="B29" s="63">
        <f t="shared" si="1"/>
        <v>44.760739999999998</v>
      </c>
      <c r="C29" s="63">
        <f t="shared" si="0"/>
        <v>14.972959714027938</v>
      </c>
      <c r="D29" s="63">
        <f t="shared" si="2"/>
        <v>11.227209469013379</v>
      </c>
      <c r="E29" s="63">
        <f t="shared" si="3"/>
        <v>98.949432481966397</v>
      </c>
      <c r="F29" s="63">
        <f t="shared" si="10"/>
        <v>136.43374889052959</v>
      </c>
      <c r="G29" s="63">
        <f t="shared" si="9"/>
        <v>136.43374889052961</v>
      </c>
      <c r="H29" s="63">
        <f t="shared" si="8"/>
        <v>1711.4165449536556</v>
      </c>
      <c r="I29" s="64">
        <f t="shared" si="6"/>
        <v>1711.4165449536556</v>
      </c>
      <c r="J29" s="63">
        <f t="shared" si="5"/>
        <v>4.7170555211684304</v>
      </c>
      <c r="K29" s="64">
        <f>I29*(1+KeyParameters!$B$37)*(1+KeyParameters!$B$53)</f>
        <v>2353.1977493112763</v>
      </c>
      <c r="L29" s="99"/>
      <c r="M29" s="32"/>
      <c r="N29" s="45"/>
      <c r="O29" s="45"/>
    </row>
    <row r="30" spans="1:102" x14ac:dyDescent="0.25">
      <c r="A30" s="61">
        <v>24</v>
      </c>
      <c r="B30" s="63">
        <f t="shared" si="1"/>
        <v>46.595599999999997</v>
      </c>
      <c r="C30" s="63">
        <f t="shared" si="0"/>
        <v>15.266240045583373</v>
      </c>
      <c r="D30" s="63">
        <f t="shared" si="2"/>
        <v>11.524736621438668</v>
      </c>
      <c r="E30" s="63">
        <f t="shared" si="3"/>
        <v>104.26335004192072</v>
      </c>
      <c r="F30" s="63">
        <f t="shared" si="10"/>
        <v>140.10245782163597</v>
      </c>
      <c r="G30" s="63">
        <f t="shared" si="9"/>
        <v>140.10245782163588</v>
      </c>
      <c r="H30" s="63">
        <f t="shared" si="8"/>
        <v>1851.5190027752915</v>
      </c>
      <c r="I30" s="64">
        <f t="shared" si="6"/>
        <v>1851.5190027752915</v>
      </c>
      <c r="J30" s="63">
        <f t="shared" si="5"/>
        <v>4.8431181985481766</v>
      </c>
      <c r="K30" s="64">
        <f>I30*(1+KeyParameters!$B$37)*(1+KeyParameters!$B$53)</f>
        <v>2545.8386288160259</v>
      </c>
      <c r="L30" s="99"/>
      <c r="M30" s="32"/>
      <c r="N30" s="45"/>
      <c r="O30" s="45"/>
    </row>
    <row r="31" spans="1:102" x14ac:dyDescent="0.25">
      <c r="A31" s="61">
        <v>25</v>
      </c>
      <c r="B31" s="63">
        <f t="shared" si="1"/>
        <v>48.430459999999997</v>
      </c>
      <c r="C31" s="63">
        <f t="shared" si="0"/>
        <v>15.557952890262339</v>
      </c>
      <c r="D31" s="63">
        <f t="shared" si="2"/>
        <v>11.815518562711464</v>
      </c>
      <c r="E31" s="63">
        <f t="shared" si="3"/>
        <v>109.59108594103665</v>
      </c>
      <c r="F31" s="63">
        <f t="shared" si="10"/>
        <v>143.71604644068952</v>
      </c>
      <c r="G31" s="63">
        <f t="shared" si="9"/>
        <v>143.71604644068952</v>
      </c>
      <c r="H31" s="63">
        <f t="shared" si="8"/>
        <v>1995.235049215981</v>
      </c>
      <c r="I31" s="64">
        <f t="shared" si="6"/>
        <v>1995.235049215981</v>
      </c>
      <c r="J31" s="63">
        <f t="shared" si="5"/>
        <v>4.9653218484878616</v>
      </c>
      <c r="K31" s="64">
        <f>I31*(1+KeyParameters!$B$37)*(1+KeyParameters!$B$53)</f>
        <v>2743.4481926719741</v>
      </c>
      <c r="L31" s="99"/>
      <c r="M31" s="32"/>
    </row>
    <row r="32" spans="1:102" x14ac:dyDescent="0.25">
      <c r="A32" s="61">
        <v>26</v>
      </c>
      <c r="B32" s="63">
        <f t="shared" si="1"/>
        <v>50.265319999999996</v>
      </c>
      <c r="C32" s="63">
        <f t="shared" si="0"/>
        <v>15.850322127814263</v>
      </c>
      <c r="D32" s="63">
        <f t="shared" si="2"/>
        <v>12.099909168801869</v>
      </c>
      <c r="E32" s="63">
        <f t="shared" si="3"/>
        <v>114.9301244862056</v>
      </c>
      <c r="F32" s="63">
        <f t="shared" si="10"/>
        <v>147.3022293724687</v>
      </c>
      <c r="G32" s="63">
        <f t="shared" si="9"/>
        <v>147.30222937246867</v>
      </c>
      <c r="H32" s="63">
        <f t="shared" si="8"/>
        <v>2142.5372785884497</v>
      </c>
      <c r="I32" s="64">
        <f t="shared" si="6"/>
        <v>2142.5372785884497</v>
      </c>
      <c r="J32" s="63">
        <f t="shared" si="5"/>
        <v>5.0842053057731995</v>
      </c>
      <c r="K32" s="64">
        <f>I32*(1+KeyParameters!$B$37)*(1+KeyParameters!$B$53)</f>
        <v>2945.9887580591185</v>
      </c>
      <c r="L32" s="99"/>
      <c r="M32" s="32"/>
    </row>
    <row r="33" spans="1:13" x14ac:dyDescent="0.25">
      <c r="A33" s="61">
        <v>27</v>
      </c>
      <c r="B33" s="63">
        <f t="shared" si="1"/>
        <v>52.100179999999995</v>
      </c>
      <c r="C33" s="63">
        <f t="shared" si="0"/>
        <v>16.145571637988567</v>
      </c>
      <c r="D33" s="63">
        <f t="shared" si="2"/>
        <v>12.378233623241639</v>
      </c>
      <c r="E33" s="63">
        <f t="shared" si="3"/>
        <v>120.27822409076663</v>
      </c>
      <c r="F33" s="63">
        <f t="shared" si="10"/>
        <v>150.88763741748576</v>
      </c>
      <c r="G33" s="63">
        <f t="shared" si="9"/>
        <v>150.88763741748562</v>
      </c>
      <c r="H33" s="63">
        <f t="shared" si="8"/>
        <v>2293.4249160059353</v>
      </c>
      <c r="I33" s="64">
        <f t="shared" si="6"/>
        <v>2293.4249160059353</v>
      </c>
      <c r="J33" s="63">
        <f t="shared" si="5"/>
        <v>5.2002723458492541</v>
      </c>
      <c r="K33" s="64">
        <f>I33*(1+KeyParameters!$B$37)*(1+KeyParameters!$B$53)</f>
        <v>3153.4592595081613</v>
      </c>
      <c r="L33" s="99"/>
      <c r="M33" s="32"/>
    </row>
    <row r="34" spans="1:13" x14ac:dyDescent="0.25">
      <c r="A34" s="61">
        <v>28</v>
      </c>
      <c r="B34" s="63">
        <f t="shared" si="1"/>
        <v>53.935040000000001</v>
      </c>
      <c r="C34" s="63">
        <f t="shared" si="0"/>
        <v>16.445925300534668</v>
      </c>
      <c r="D34" s="63">
        <f t="shared" si="2"/>
        <v>12.650791511763545</v>
      </c>
      <c r="E34" s="63">
        <f t="shared" si="3"/>
        <v>125.63338281117524</v>
      </c>
      <c r="F34" s="63">
        <f t="shared" si="10"/>
        <v>154.49780118467433</v>
      </c>
      <c r="G34" s="63">
        <f t="shared" si="9"/>
        <v>154.49780118467424</v>
      </c>
      <c r="H34" s="63">
        <f t="shared" si="8"/>
        <v>2447.9227171906095</v>
      </c>
      <c r="I34" s="64">
        <f>I33+G34</f>
        <v>2447.9227171906095</v>
      </c>
      <c r="J34" s="63">
        <f t="shared" si="5"/>
        <v>5.3139959425429453</v>
      </c>
      <c r="K34" s="64">
        <f>I34*(1+KeyParameters!$B$37)*(1+KeyParameters!$B$53)</f>
        <v>3365.8937361370886</v>
      </c>
      <c r="L34" s="99"/>
      <c r="M34" s="32"/>
    </row>
    <row r="35" spans="1:13" x14ac:dyDescent="0.25">
      <c r="A35" s="61">
        <v>29</v>
      </c>
      <c r="B35" s="63">
        <f t="shared" si="1"/>
        <v>55.7699</v>
      </c>
      <c r="C35" s="63">
        <f t="shared" si="0"/>
        <v>16.753606995201988</v>
      </c>
      <c r="D35" s="63">
        <f t="shared" si="2"/>
        <v>12.917859506415141</v>
      </c>
      <c r="E35" s="63">
        <f t="shared" si="3"/>
        <v>130.99380896857184</v>
      </c>
      <c r="F35" s="63">
        <f t="shared" si="10"/>
        <v>158.15711414031918</v>
      </c>
      <c r="G35" s="63">
        <f t="shared" si="9"/>
        <v>158.15711414031921</v>
      </c>
      <c r="H35" s="63">
        <f t="shared" si="8"/>
        <v>2606.0798313309288</v>
      </c>
      <c r="I35" s="64">
        <f t="shared" si="6"/>
        <v>2606.0798313309288</v>
      </c>
      <c r="J35" s="63">
        <f t="shared" si="5"/>
        <v>5.4258216514565101</v>
      </c>
      <c r="K35" s="64">
        <f>I35*(1+KeyParameters!$B$37)*(1+KeyParameters!$B$53)</f>
        <v>3583.3597680800272</v>
      </c>
      <c r="L35" s="99"/>
      <c r="M35" s="32"/>
    </row>
    <row r="36" spans="1:13" x14ac:dyDescent="0.25">
      <c r="A36" s="61">
        <v>30</v>
      </c>
      <c r="B36" s="63">
        <f t="shared" si="1"/>
        <v>57.604759999999999</v>
      </c>
      <c r="C36" s="63">
        <f t="shared" si="0"/>
        <v>17.07084060173996</v>
      </c>
      <c r="D36" s="63">
        <f t="shared" si="2"/>
        <v>13.179693702962128</v>
      </c>
      <c r="E36" s="63">
        <f t="shared" si="3"/>
        <v>136.35789599156118</v>
      </c>
      <c r="F36" s="63">
        <f t="shared" si="10"/>
        <v>161.88877507322692</v>
      </c>
      <c r="G36" s="63">
        <f t="shared" si="9"/>
        <v>161.88877507322695</v>
      </c>
      <c r="H36" s="63">
        <f t="shared" si="8"/>
        <v>2767.9686064041557</v>
      </c>
      <c r="I36" s="64">
        <f t="shared" si="6"/>
        <v>2767.9686064041557</v>
      </c>
      <c r="J36" s="63">
        <f t="shared" si="5"/>
        <v>5.5361702637743386</v>
      </c>
      <c r="K36" s="64">
        <f>I36*(1+KeyParameters!$B$37)*(1+KeyParameters!$B$53)</f>
        <v>3805.9568338057147</v>
      </c>
      <c r="L36" s="99"/>
      <c r="M36" s="32"/>
    </row>
    <row r="37" spans="1:13" x14ac:dyDescent="0.25">
      <c r="A37" s="61">
        <v>31</v>
      </c>
      <c r="B37" s="63">
        <f t="shared" si="1"/>
        <v>59.439619999999998</v>
      </c>
      <c r="C37" s="63">
        <f t="shared" si="0"/>
        <v>17.399849999897995</v>
      </c>
      <c r="D37" s="63">
        <f t="shared" si="2"/>
        <v>13.436531664153625</v>
      </c>
      <c r="E37" s="63">
        <f t="shared" si="3"/>
        <v>141.72420078201534</v>
      </c>
      <c r="F37" s="63">
        <f t="shared" si="10"/>
        <v>165.71470997613855</v>
      </c>
      <c r="G37" s="63">
        <f t="shared" si="9"/>
        <v>165.71470997613869</v>
      </c>
      <c r="H37" s="63">
        <f t="shared" si="8"/>
        <v>2933.6833163802944</v>
      </c>
      <c r="I37" s="64">
        <f t="shared" si="6"/>
        <v>2933.6833163802944</v>
      </c>
      <c r="J37" s="63">
        <f t="shared" si="5"/>
        <v>5.6454398437745832</v>
      </c>
      <c r="K37" s="64">
        <f>I37*(1+KeyParameters!$B$37)*(1+KeyParameters!$B$53)</f>
        <v>4033.8145600229054</v>
      </c>
      <c r="L37" s="99"/>
      <c r="M37" s="32"/>
    </row>
    <row r="38" spans="1:13" x14ac:dyDescent="0.25">
      <c r="A38" s="61">
        <v>32</v>
      </c>
      <c r="B38" s="63">
        <f t="shared" si="1"/>
        <v>61.274479999999997</v>
      </c>
      <c r="C38" s="63">
        <f t="shared" si="0"/>
        <v>17.742859069425528</v>
      </c>
      <c r="D38" s="63">
        <f t="shared" si="2"/>
        <v>13.688594212367708</v>
      </c>
      <c r="E38" s="63">
        <f t="shared" si="3"/>
        <v>147.09142503603036</v>
      </c>
      <c r="F38" s="63">
        <f t="shared" si="10"/>
        <v>169.65547334338393</v>
      </c>
      <c r="G38" s="63">
        <f t="shared" si="9"/>
        <v>169.65547334338407</v>
      </c>
      <c r="H38" s="63">
        <f t="shared" si="8"/>
        <v>3103.3387897236785</v>
      </c>
      <c r="I38" s="64">
        <f t="shared" si="6"/>
        <v>3103.3387897236785</v>
      </c>
      <c r="J38" s="63">
        <f t="shared" si="5"/>
        <v>5.7540072391220312</v>
      </c>
      <c r="K38" s="64">
        <f>I38*(1+KeyParameters!$B$37)*(1+KeyParameters!$B$53)</f>
        <v>4267.0908358700581</v>
      </c>
      <c r="L38" s="99"/>
      <c r="M38" s="32"/>
    </row>
    <row r="39" spans="1:13" x14ac:dyDescent="0.25">
      <c r="A39" s="61">
        <v>33</v>
      </c>
      <c r="B39" s="63">
        <f t="shared" ref="B39:B45" si="11">(2.55896+1.83486 * A39)</f>
        <v>63.109339999999996</v>
      </c>
      <c r="C39" s="63">
        <f t="shared" ref="C39:C50" si="12">1.27242+0.57171 * B39 -
0.00862* B39^2+0.00006 * B39^3</f>
        <v>18.102091690071966</v>
      </c>
      <c r="D39" s="63">
        <f t="shared" si="2"/>
        <v>13.936087007830224</v>
      </c>
      <c r="E39" s="63">
        <f xml:space="preserve">  3.14*(D39/2)^2</f>
        <v>152.45839905550429</v>
      </c>
      <c r="F39" s="63">
        <f t="shared" si="10"/>
        <v>173.73012888477686</v>
      </c>
      <c r="G39" s="63">
        <f t="shared" si="9"/>
        <v>173.73012888477706</v>
      </c>
      <c r="H39" s="63">
        <f t="shared" si="8"/>
        <v>3277.0689186084555</v>
      </c>
      <c r="I39" s="64">
        <f t="shared" si="6"/>
        <v>3277.0689186084555</v>
      </c>
      <c r="J39" s="63">
        <f t="shared" ref="J39:J70" si="13">(I39/E39)*12/44</f>
        <v>5.8622291342966157</v>
      </c>
      <c r="K39" s="64">
        <f>I39*(1+KeyParameters!$B$37)*(1+KeyParameters!$B$53)</f>
        <v>4505.9697630866267</v>
      </c>
      <c r="L39" s="99"/>
      <c r="M39" s="32"/>
    </row>
    <row r="40" spans="1:13" x14ac:dyDescent="0.25">
      <c r="A40" s="61">
        <v>34</v>
      </c>
      <c r="B40" s="63">
        <f t="shared" si="11"/>
        <v>64.944199999999995</v>
      </c>
      <c r="C40" s="63">
        <f t="shared" si="12"/>
        <v>18.479771741586735</v>
      </c>
      <c r="D40" s="63">
        <f t="shared" si="2"/>
        <v>14.179201942643612</v>
      </c>
      <c r="E40" s="63">
        <f xml:space="preserve">  3.14*(D40/2)^2</f>
        <v>157.82406766826068</v>
      </c>
      <c r="F40" s="63">
        <f t="shared" si="10"/>
        <v>177.9561096557529</v>
      </c>
      <c r="G40" s="63">
        <f t="shared" si="9"/>
        <v>177.9561096557527</v>
      </c>
      <c r="H40" s="63">
        <f t="shared" si="8"/>
        <v>3455.0250282642082</v>
      </c>
      <c r="I40" s="64">
        <f t="shared" ref="I40:I71" si="14">I39+G40</f>
        <v>3455.0250282642082</v>
      </c>
      <c r="J40" s="63">
        <f t="shared" si="13"/>
        <v>5.9704427029697174</v>
      </c>
      <c r="K40" s="64">
        <f>I40*(1+KeyParameters!$B$37)*(1+KeyParameters!$B$53)</f>
        <v>4750.6594138632863</v>
      </c>
      <c r="L40" s="99"/>
      <c r="M40" s="32"/>
    </row>
    <row r="41" spans="1:13" x14ac:dyDescent="0.25">
      <c r="A41" s="61">
        <v>35</v>
      </c>
      <c r="B41" s="63">
        <f t="shared" si="11"/>
        <v>66.779060000000001</v>
      </c>
      <c r="C41" s="63">
        <f t="shared" si="12"/>
        <v>18.878123103719268</v>
      </c>
      <c r="D41" s="63">
        <f t="shared" si="2"/>
        <v>14.418118375996936</v>
      </c>
      <c r="E41" s="63">
        <f xml:space="preserve">  3.14*(D41/2)^2</f>
        <v>163.18747794084453</v>
      </c>
      <c r="F41" s="63">
        <f t="shared" si="10"/>
        <v>182.34905760374849</v>
      </c>
      <c r="G41" s="63">
        <f t="shared" si="9"/>
        <v>182.34905760374841</v>
      </c>
      <c r="H41" s="63">
        <f t="shared" si="8"/>
        <v>3637.3740858679566</v>
      </c>
      <c r="I41" s="64">
        <f t="shared" si="14"/>
        <v>3637.3740858679566</v>
      </c>
      <c r="J41" s="63">
        <f t="shared" si="13"/>
        <v>6.0789659037884549</v>
      </c>
      <c r="K41" s="64">
        <f>I41*(1+KeyParameters!$B$37)*(1+KeyParameters!$B$53)</f>
        <v>5001.3893680684405</v>
      </c>
      <c r="L41" s="99"/>
      <c r="M41" s="32"/>
    </row>
    <row r="42" spans="1:13" x14ac:dyDescent="0.25">
      <c r="A42" s="61">
        <v>36</v>
      </c>
      <c r="B42" s="63">
        <f t="shared" si="11"/>
        <v>68.613919999999993</v>
      </c>
      <c r="C42" s="63">
        <f t="shared" si="12"/>
        <v>19.299369656218982</v>
      </c>
      <c r="D42" s="63">
        <f t="shared" si="2"/>
        <v>14.653004231934906</v>
      </c>
      <c r="E42" s="63">
        <f xml:space="preserve">  3.14*(D42/2)^2</f>
        <v>168.54776842156528</v>
      </c>
      <c r="F42" s="63">
        <f t="shared" si="10"/>
        <v>186.9226425308203</v>
      </c>
      <c r="G42" s="63">
        <f t="shared" si="9"/>
        <v>186.92264253082021</v>
      </c>
      <c r="H42" s="63">
        <f t="shared" si="8"/>
        <v>3824.2967283987768</v>
      </c>
      <c r="I42" s="64">
        <f t="shared" si="14"/>
        <v>3824.2967283987768</v>
      </c>
      <c r="J42" s="63">
        <f t="shared" si="13"/>
        <v>6.1880974551222954</v>
      </c>
      <c r="K42" s="64">
        <f>I42*(1+KeyParameters!$B$37)*(1+KeyParameters!$B$53)</f>
        <v>5258.4080015483187</v>
      </c>
      <c r="L42" s="99"/>
      <c r="M42" s="32"/>
    </row>
    <row r="43" spans="1:13" x14ac:dyDescent="0.25">
      <c r="A43" s="61">
        <v>37</v>
      </c>
      <c r="B43" s="63">
        <f t="shared" si="11"/>
        <v>70.448779999999999</v>
      </c>
      <c r="C43" s="63">
        <f t="shared" si="12"/>
        <v>19.745735278835294</v>
      </c>
      <c r="D43" s="63">
        <f t="shared" si="2"/>
        <v>14.884016977772301</v>
      </c>
      <c r="E43" s="63">
        <f xml:space="preserve">  3.14*(D43/2)^2</f>
        <v>173.90415969477206</v>
      </c>
      <c r="F43" s="63">
        <f t="shared" si="10"/>
        <v>191.68836047250815</v>
      </c>
      <c r="G43" s="63">
        <f t="shared" si="9"/>
        <v>191.68836047250807</v>
      </c>
      <c r="H43" s="63">
        <f t="shared" si="8"/>
        <v>4015.9850888712849</v>
      </c>
      <c r="I43" s="64">
        <f t="shared" si="14"/>
        <v>4015.9850888712849</v>
      </c>
      <c r="J43" s="63">
        <f t="shared" si="13"/>
        <v>6.2981165173025229</v>
      </c>
      <c r="K43" s="64">
        <f>I43*(1+KeyParameters!$B$37)*(1+KeyParameters!$B$53)</f>
        <v>5521.9794971980173</v>
      </c>
      <c r="L43" s="99"/>
      <c r="M43" s="32"/>
    </row>
    <row r="44" spans="1:13" x14ac:dyDescent="0.25">
      <c r="A44" s="61">
        <v>38</v>
      </c>
      <c r="B44" s="63">
        <f t="shared" si="11"/>
        <v>72.283639999999991</v>
      </c>
      <c r="C44" s="63">
        <f t="shared" si="12"/>
        <v>20.219443851317624</v>
      </c>
      <c r="D44" s="63">
        <f t="shared" si="2"/>
        <v>15.111304498514357</v>
      </c>
      <c r="E44" s="63">
        <f t="shared" ref="E44:E56" si="15" xml:space="preserve">  3.14*(D44/2)^2</f>
        <v>179.25594606275391</v>
      </c>
      <c r="F44" s="63">
        <f>18.802 * C44 - 0.2081 * C44^2 - 98.434</f>
        <v>196.65531149293841</v>
      </c>
      <c r="G44" s="63">
        <f t="shared" si="9"/>
        <v>196.65531149293884</v>
      </c>
      <c r="H44" s="63">
        <f t="shared" si="8"/>
        <v>4212.6404003642238</v>
      </c>
      <c r="I44" s="64">
        <f t="shared" si="14"/>
        <v>4212.6404003642238</v>
      </c>
      <c r="J44" s="63">
        <f t="shared" si="13"/>
        <v>6.4092821053191367</v>
      </c>
      <c r="K44" s="64">
        <f>I44*(1+KeyParameters!$B$37)*(1+KeyParameters!$B$53)</f>
        <v>5792.3805505008086</v>
      </c>
      <c r="L44" s="99"/>
      <c r="M44" s="32"/>
    </row>
    <row r="45" spans="1:13" s="19" customFormat="1" x14ac:dyDescent="0.25">
      <c r="A45" s="66">
        <v>39</v>
      </c>
      <c r="B45" s="64">
        <f t="shared" si="11"/>
        <v>74.118499999999997</v>
      </c>
      <c r="C45" s="64">
        <f t="shared" si="12"/>
        <v>20.722719253415402</v>
      </c>
      <c r="D45" s="63">
        <f t="shared" si="2"/>
        <v>15.335005880377999</v>
      </c>
      <c r="E45" s="64">
        <f xml:space="preserve">  3.14*(D45/2)^2</f>
        <v>184.60248820071382</v>
      </c>
      <c r="F45" s="64">
        <f>18.802 * C45 - 0.2081 * C45^2 - 98.434</f>
        <v>201.82995689616914</v>
      </c>
      <c r="G45" s="63">
        <f t="shared" si="9"/>
        <v>201.82995689616928</v>
      </c>
      <c r="H45" s="63">
        <f t="shared" si="8"/>
        <v>4414.470357260393</v>
      </c>
      <c r="I45" s="64">
        <f t="shared" si="14"/>
        <v>4414.470357260393</v>
      </c>
      <c r="J45" s="63">
        <f t="shared" si="13"/>
        <v>6.5218322505057156</v>
      </c>
      <c r="K45" s="64">
        <f>I45*(1+KeyParameters!$B$37)*(1+KeyParameters!$B$53)</f>
        <v>6069.8967412330412</v>
      </c>
      <c r="L45" s="99"/>
      <c r="M45" s="32"/>
    </row>
    <row r="46" spans="1:13" s="19" customFormat="1" x14ac:dyDescent="0.25">
      <c r="A46" s="66">
        <v>40</v>
      </c>
      <c r="B46" s="64">
        <f>(2.55896+1.83486 * A46)</f>
        <v>75.953359999999989</v>
      </c>
      <c r="C46" s="64">
        <f t="shared" si="12"/>
        <v>21.25778536487805</v>
      </c>
      <c r="D46" s="63">
        <f t="shared" si="2"/>
        <v>15.555252114616946</v>
      </c>
      <c r="E46" s="64">
        <f t="shared" ref="E46:E49" si="16" xml:space="preserve">  3.14*(D46/2)^2</f>
        <v>189.94320665419659</v>
      </c>
      <c r="F46" s="64">
        <f t="shared" ref="F46:F49" si="17">18.802 * C46 - 0.2081 * C46^2 - 98.434</f>
        <v>207.21585585377673</v>
      </c>
      <c r="G46" s="63">
        <f t="shared" si="9"/>
        <v>207.2158558537767</v>
      </c>
      <c r="H46" s="63">
        <f t="shared" si="8"/>
        <v>4621.6862131141697</v>
      </c>
      <c r="I46" s="64">
        <f t="shared" si="14"/>
        <v>4621.6862131141697</v>
      </c>
      <c r="J46" s="63">
        <f t="shared" si="13"/>
        <v>6.6359829261944077</v>
      </c>
      <c r="K46" s="64">
        <f>I46*(1+KeyParameters!$B$37)*(1+KeyParameters!$B$53)</f>
        <v>6354.8185430319836</v>
      </c>
      <c r="L46" s="99"/>
      <c r="M46" s="32"/>
    </row>
    <row r="47" spans="1:13" s="19" customFormat="1" x14ac:dyDescent="0.25">
      <c r="A47" s="66">
        <v>41</v>
      </c>
      <c r="B47" s="64">
        <f t="shared" ref="B47:B49" si="18">(2.55896+1.83486 * A47)</f>
        <v>77.788219999999995</v>
      </c>
      <c r="C47" s="64">
        <f t="shared" si="12"/>
        <v>21.826866065454983</v>
      </c>
      <c r="D47" s="63">
        <f t="shared" si="2"/>
        <v>15.772166731268349</v>
      </c>
      <c r="E47" s="64">
        <f t="shared" si="16"/>
        <v>195.27757606815857</v>
      </c>
      <c r="F47" s="64">
        <f t="shared" si="17"/>
        <v>212.81338144868411</v>
      </c>
      <c r="G47" s="63">
        <f t="shared" si="9"/>
        <v>212.81338144868369</v>
      </c>
      <c r="H47" s="63">
        <f t="shared" si="8"/>
        <v>4834.4995945628534</v>
      </c>
      <c r="I47" s="64">
        <f>I46+G47</f>
        <v>4834.4995945628534</v>
      </c>
      <c r="J47" s="63">
        <f t="shared" si="13"/>
        <v>6.7519267494698463</v>
      </c>
      <c r="K47" s="64">
        <f>I47*(1+KeyParameters!$B$37)*(1+KeyParameters!$B$53)</f>
        <v>6647.4369425239238</v>
      </c>
      <c r="L47" s="99"/>
      <c r="M47" s="32"/>
    </row>
    <row r="48" spans="1:13" s="19" customFormat="1" x14ac:dyDescent="0.25">
      <c r="A48" s="66">
        <v>42</v>
      </c>
      <c r="B48" s="64">
        <f t="shared" si="18"/>
        <v>79.623080000000002</v>
      </c>
      <c r="C48" s="64">
        <f t="shared" si="12"/>
        <v>22.432185234895645</v>
      </c>
      <c r="D48" s="63">
        <f t="shared" si="2"/>
        <v>15.985866371105226</v>
      </c>
      <c r="E48" s="64">
        <f t="shared" si="16"/>
        <v>200.60512005334391</v>
      </c>
      <c r="F48" s="64">
        <f t="shared" si="17"/>
        <v>218.61941613523121</v>
      </c>
      <c r="G48" s="63">
        <f t="shared" si="9"/>
        <v>218.6194161352314</v>
      </c>
      <c r="H48" s="63">
        <f t="shared" si="8"/>
        <v>5053.1190106980848</v>
      </c>
      <c r="I48" s="64">
        <f t="shared" si="14"/>
        <v>5053.1190106980848</v>
      </c>
      <c r="J48" s="63">
        <f t="shared" si="13"/>
        <v>6.8698314688456579</v>
      </c>
      <c r="K48" s="64">
        <f>I48*(1+KeyParameters!$B$37)*(1+KeyParameters!$B$53)</f>
        <v>6948.0386397098673</v>
      </c>
      <c r="L48" s="99"/>
      <c r="M48" s="32"/>
    </row>
    <row r="49" spans="1:102" s="19" customFormat="1" x14ac:dyDescent="0.25">
      <c r="A49" s="66">
        <v>43</v>
      </c>
      <c r="B49" s="64">
        <f t="shared" si="18"/>
        <v>81.457939999999994</v>
      </c>
      <c r="C49" s="64">
        <f t="shared" si="12"/>
        <v>23.075966752949419</v>
      </c>
      <c r="D49" s="63">
        <f t="shared" si="2"/>
        <v>16.196461302952336</v>
      </c>
      <c r="E49" s="64">
        <f t="shared" si="16"/>
        <v>205.92540660935552</v>
      </c>
      <c r="F49" s="64">
        <f t="shared" si="17"/>
        <v>224.62702661548539</v>
      </c>
      <c r="G49" s="63">
        <f t="shared" si="9"/>
        <v>224.62702661548519</v>
      </c>
      <c r="H49" s="63">
        <f t="shared" si="8"/>
        <v>5277.74603731357</v>
      </c>
      <c r="I49" s="64">
        <f t="shared" si="14"/>
        <v>5277.74603731357</v>
      </c>
      <c r="J49" s="63">
        <f t="shared" si="13"/>
        <v>6.9898382458180235</v>
      </c>
      <c r="K49" s="64">
        <f>I49*(1+KeyParameters!$B$37)*(1+KeyParameters!$B$53)</f>
        <v>7256.9008013061593</v>
      </c>
      <c r="L49" s="99"/>
      <c r="M49" s="32"/>
    </row>
    <row r="50" spans="1:102" s="12" customFormat="1" x14ac:dyDescent="0.25">
      <c r="A50" s="67">
        <v>44</v>
      </c>
      <c r="B50" s="68">
        <f>(2.55896+1.83486 * A50)</f>
        <v>83.2928</v>
      </c>
      <c r="C50" s="68">
        <f t="shared" si="12"/>
        <v>23.760434499365772</v>
      </c>
      <c r="D50" s="68">
        <f t="shared" si="2"/>
        <v>16.404055892569914</v>
      </c>
      <c r="E50" s="68">
        <f xml:space="preserve">  3.14*(D50/2)^2</f>
        <v>211.23804403534785</v>
      </c>
      <c r="F50" s="68">
        <f>18.802 * C50 - 0.2081 * C50^2 - 98.434</f>
        <v>230.8251181317959</v>
      </c>
      <c r="G50" s="68">
        <f>H50-H49</f>
        <v>230.82511813179553</v>
      </c>
      <c r="H50" s="68">
        <f>F50+H49</f>
        <v>5508.5711554453655</v>
      </c>
      <c r="I50" s="68">
        <f t="shared" si="14"/>
        <v>5508.5711554453655</v>
      </c>
      <c r="J50" s="68">
        <f t="shared" si="13"/>
        <v>7.1120597367268745</v>
      </c>
      <c r="K50" s="68">
        <f>I50*(1+KeyParameters!$B$37)*(1+KeyParameters!$B$53)</f>
        <v>7574.2853387373789</v>
      </c>
      <c r="L50" s="100"/>
      <c r="M50" s="32"/>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row>
    <row r="51" spans="1:102" s="12" customFormat="1" x14ac:dyDescent="0.25">
      <c r="A51" s="67">
        <v>45</v>
      </c>
      <c r="B51" s="68">
        <f>B50</f>
        <v>83.2928</v>
      </c>
      <c r="C51" s="68">
        <f t="shared" ref="C51:C86" si="19">C50</f>
        <v>23.760434499365772</v>
      </c>
      <c r="D51" s="68">
        <f t="shared" ref="D51:D86" si="20">D50</f>
        <v>16.404055892569914</v>
      </c>
      <c r="E51" s="68">
        <f t="shared" si="15"/>
        <v>211.23804403534785</v>
      </c>
      <c r="F51" s="68">
        <f>H51-H50</f>
        <v>127.1909930837337</v>
      </c>
      <c r="G51" s="68">
        <v>230.82511813179599</v>
      </c>
      <c r="H51" s="68">
        <f>H50+(($B$50/100)^2*KeyParameters!$B$36*KeyParameters!$B$35*44/12)</f>
        <v>5635.7621485290992</v>
      </c>
      <c r="I51" s="68">
        <f t="shared" si="14"/>
        <v>5739.396273577162</v>
      </c>
      <c r="J51" s="68">
        <f t="shared" si="13"/>
        <v>7.4100756799842422</v>
      </c>
      <c r="K51" s="68">
        <f>I51*(1+KeyParameters!$B$37)*(1+KeyParameters!$B$53)</f>
        <v>7891.6698761685993</v>
      </c>
      <c r="L51" s="100"/>
      <c r="M51" s="32"/>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row>
    <row r="52" spans="1:102" s="12" customFormat="1" x14ac:dyDescent="0.25">
      <c r="A52" s="67">
        <v>46</v>
      </c>
      <c r="B52" s="68">
        <f>B51</f>
        <v>83.2928</v>
      </c>
      <c r="C52" s="68">
        <f t="shared" si="19"/>
        <v>23.760434499365772</v>
      </c>
      <c r="D52" s="68">
        <f t="shared" si="20"/>
        <v>16.404055892569914</v>
      </c>
      <c r="E52" s="68">
        <f t="shared" si="15"/>
        <v>211.23804403534785</v>
      </c>
      <c r="F52" s="68">
        <f>H52-H51</f>
        <v>105.76340308030922</v>
      </c>
      <c r="G52" s="68">
        <v>230</v>
      </c>
      <c r="H52" s="68">
        <f>H51+(($B$46/100)^2*KeyParameters!$B$36*KeyParameters!$B$35*44/12)</f>
        <v>5741.5255516094085</v>
      </c>
      <c r="I52" s="68">
        <f t="shared" si="14"/>
        <v>5969.396273577162</v>
      </c>
      <c r="J52" s="68">
        <f t="shared" si="13"/>
        <v>7.707026321681985</v>
      </c>
      <c r="K52" s="68">
        <f>I52*(1+KeyParameters!$B$37)*(1+KeyParameters!$B$53)</f>
        <v>8207.9198761685984</v>
      </c>
      <c r="L52" s="100"/>
      <c r="M52" s="32"/>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row>
    <row r="53" spans="1:102" s="19" customFormat="1" x14ac:dyDescent="0.25">
      <c r="A53" s="66">
        <v>47</v>
      </c>
      <c r="B53" s="64">
        <f t="shared" ref="B53:B86" si="21">B52</f>
        <v>83.2928</v>
      </c>
      <c r="C53" s="64">
        <f t="shared" si="19"/>
        <v>23.760434499365772</v>
      </c>
      <c r="D53" s="64">
        <f t="shared" si="20"/>
        <v>16.404055892569914</v>
      </c>
      <c r="E53" s="64">
        <f t="shared" si="15"/>
        <v>211.23804403534785</v>
      </c>
      <c r="F53" s="64">
        <f t="shared" ref="F53:F86" si="22">H53-H52</f>
        <v>105.76340308030922</v>
      </c>
      <c r="G53" s="64">
        <f>230</f>
        <v>230</v>
      </c>
      <c r="H53" s="64">
        <f>H52+(($B$46/100)^2*KeyParameters!$B$36*KeyParameters!$B$35*44/12)</f>
        <v>5847.2889546897177</v>
      </c>
      <c r="I53" s="64">
        <f>I52+G53</f>
        <v>6199.396273577162</v>
      </c>
      <c r="J53" s="63">
        <f t="shared" si="13"/>
        <v>8.0039769633797295</v>
      </c>
      <c r="K53" s="64">
        <f>I53*(1+KeyParameters!$B$37)*(1+KeyParameters!$B$53)</f>
        <v>8524.1698761685984</v>
      </c>
      <c r="L53" s="100"/>
      <c r="M53" s="32"/>
    </row>
    <row r="54" spans="1:102" s="19" customFormat="1" x14ac:dyDescent="0.25">
      <c r="A54" s="66">
        <v>48</v>
      </c>
      <c r="B54" s="64">
        <f t="shared" si="21"/>
        <v>83.2928</v>
      </c>
      <c r="C54" s="64">
        <f t="shared" si="19"/>
        <v>23.760434499365772</v>
      </c>
      <c r="D54" s="64">
        <f t="shared" si="20"/>
        <v>16.404055892569914</v>
      </c>
      <c r="E54" s="64">
        <f t="shared" si="15"/>
        <v>211.23804403534785</v>
      </c>
      <c r="F54" s="64">
        <f>H54-H53</f>
        <v>105.76340308030922</v>
      </c>
      <c r="G54" s="64">
        <f>G53-$J$3</f>
        <v>225.05773438298476</v>
      </c>
      <c r="H54" s="64">
        <f>H53+(($B$46/100)^2*KeyParameters!$B$36*KeyParameters!$B$35*44/12)</f>
        <v>5953.0523577700269</v>
      </c>
      <c r="I54" s="64">
        <f t="shared" si="14"/>
        <v>6424.4540079601466</v>
      </c>
      <c r="J54" s="63">
        <f t="shared" si="13"/>
        <v>8.2945466966148054</v>
      </c>
      <c r="K54" s="64">
        <f>I54*(1+KeyParameters!$B$37)*(1+KeyParameters!$B$53)</f>
        <v>8833.624260945202</v>
      </c>
      <c r="L54" s="100"/>
      <c r="M54" s="32"/>
    </row>
    <row r="55" spans="1:102" s="19" customFormat="1" x14ac:dyDescent="0.25">
      <c r="A55" s="66">
        <v>49</v>
      </c>
      <c r="B55" s="64">
        <f t="shared" si="21"/>
        <v>83.2928</v>
      </c>
      <c r="C55" s="64">
        <f t="shared" si="19"/>
        <v>23.760434499365772</v>
      </c>
      <c r="D55" s="64">
        <f t="shared" si="20"/>
        <v>16.404055892569914</v>
      </c>
      <c r="E55" s="64">
        <f t="shared" si="15"/>
        <v>211.23804403534785</v>
      </c>
      <c r="F55" s="64">
        <f t="shared" si="22"/>
        <v>105.76340308030922</v>
      </c>
      <c r="G55" s="64">
        <f t="shared" ref="G55:G78" si="23">G54-$J$3</f>
        <v>220.11546876596952</v>
      </c>
      <c r="H55" s="64">
        <f>H54+(($B$46/100)^2*KeyParameters!$B$36*KeyParameters!$B$35*44/12)</f>
        <v>6058.8157608503361</v>
      </c>
      <c r="I55" s="64">
        <f t="shared" si="14"/>
        <v>6644.5694767261157</v>
      </c>
      <c r="J55" s="63">
        <f t="shared" si="13"/>
        <v>8.5787355213872143</v>
      </c>
      <c r="K55" s="64">
        <f>I55*(1+KeyParameters!$B$37)*(1+KeyParameters!$B$53)</f>
        <v>9136.2830304984091</v>
      </c>
      <c r="L55" s="99"/>
      <c r="M55" s="32"/>
    </row>
    <row r="56" spans="1:102" s="19" customFormat="1" x14ac:dyDescent="0.25">
      <c r="A56" s="66">
        <v>50</v>
      </c>
      <c r="B56" s="64">
        <f t="shared" si="21"/>
        <v>83.2928</v>
      </c>
      <c r="C56" s="64">
        <f t="shared" si="19"/>
        <v>23.760434499365772</v>
      </c>
      <c r="D56" s="64">
        <f t="shared" si="20"/>
        <v>16.404055892569914</v>
      </c>
      <c r="E56" s="64">
        <f t="shared" si="15"/>
        <v>211.23804403534785</v>
      </c>
      <c r="F56" s="64">
        <f t="shared" si="22"/>
        <v>105.76340308030922</v>
      </c>
      <c r="G56" s="64">
        <f t="shared" si="23"/>
        <v>215.17320314895429</v>
      </c>
      <c r="H56" s="64">
        <f>H55+(($B$46/100)^2*KeyParameters!$B$36*KeyParameters!$B$35*44/12)</f>
        <v>6164.5791639306453</v>
      </c>
      <c r="I56" s="64">
        <f t="shared" si="14"/>
        <v>6859.7426798750703</v>
      </c>
      <c r="J56" s="63">
        <f t="shared" si="13"/>
        <v>8.8565434376969563</v>
      </c>
      <c r="K56" s="64">
        <f>I56*(1+KeyParameters!$B$37)*(1+KeyParameters!$B$53)</f>
        <v>9432.1461848282233</v>
      </c>
      <c r="L56" s="99"/>
      <c r="M56" s="32"/>
    </row>
    <row r="57" spans="1:102" s="19" customFormat="1" x14ac:dyDescent="0.25">
      <c r="A57" s="66">
        <v>51</v>
      </c>
      <c r="B57" s="64">
        <f t="shared" si="21"/>
        <v>83.2928</v>
      </c>
      <c r="C57" s="64">
        <f t="shared" si="19"/>
        <v>23.760434499365772</v>
      </c>
      <c r="D57" s="64">
        <f t="shared" si="20"/>
        <v>16.404055892569914</v>
      </c>
      <c r="E57" s="64">
        <f t="shared" ref="E57:E86" si="24" xml:space="preserve">  3.14*(D57/2)^2</f>
        <v>211.23804403534785</v>
      </c>
      <c r="F57" s="64">
        <f t="shared" si="22"/>
        <v>105.76340308030922</v>
      </c>
      <c r="G57" s="64">
        <f t="shared" si="23"/>
        <v>210.23093753193905</v>
      </c>
      <c r="H57" s="64">
        <f>H56+(($B$46/100)^2*KeyParameters!$B$36*KeyParameters!$B$35*44/12)</f>
        <v>6270.3425670109546</v>
      </c>
      <c r="I57" s="64">
        <f t="shared" si="14"/>
        <v>7069.9736174070094</v>
      </c>
      <c r="J57" s="63">
        <f t="shared" si="13"/>
        <v>9.1279704455440349</v>
      </c>
      <c r="K57" s="64">
        <f>I57*(1+KeyParameters!$B$37)*(1+KeyParameters!$B$53)</f>
        <v>9721.2137239346393</v>
      </c>
      <c r="L57" s="99"/>
      <c r="M57" s="32"/>
    </row>
    <row r="58" spans="1:102" s="19" customFormat="1" x14ac:dyDescent="0.25">
      <c r="A58" s="66">
        <v>52</v>
      </c>
      <c r="B58" s="64">
        <f t="shared" si="21"/>
        <v>83.2928</v>
      </c>
      <c r="C58" s="64">
        <f t="shared" si="19"/>
        <v>23.760434499365772</v>
      </c>
      <c r="D58" s="64">
        <f t="shared" si="20"/>
        <v>16.404055892569914</v>
      </c>
      <c r="E58" s="64">
        <f t="shared" si="24"/>
        <v>211.23804403534785</v>
      </c>
      <c r="F58" s="64">
        <f t="shared" si="22"/>
        <v>105.76340308030922</v>
      </c>
      <c r="G58" s="64">
        <f t="shared" si="23"/>
        <v>205.28867191492381</v>
      </c>
      <c r="H58" s="64">
        <f>H57+(($B$46/100)^2*KeyParameters!$B$36*KeyParameters!$B$35*44/12)</f>
        <v>6376.1059700912638</v>
      </c>
      <c r="I58" s="64">
        <f t="shared" si="14"/>
        <v>7275.2622893219332</v>
      </c>
      <c r="J58" s="63">
        <f t="shared" si="13"/>
        <v>9.3930165449284448</v>
      </c>
      <c r="K58" s="64">
        <f>I58*(1+KeyParameters!$B$37)*(1+KeyParameters!$B$53)</f>
        <v>10003.485647817659</v>
      </c>
      <c r="L58" s="99"/>
      <c r="M58" s="32"/>
    </row>
    <row r="59" spans="1:102" s="19" customFormat="1" x14ac:dyDescent="0.25">
      <c r="A59" s="66">
        <v>53</v>
      </c>
      <c r="B59" s="64">
        <f t="shared" si="21"/>
        <v>83.2928</v>
      </c>
      <c r="C59" s="64">
        <f t="shared" si="19"/>
        <v>23.760434499365772</v>
      </c>
      <c r="D59" s="64">
        <f t="shared" si="20"/>
        <v>16.404055892569914</v>
      </c>
      <c r="E59" s="64">
        <f t="shared" si="24"/>
        <v>211.23804403534785</v>
      </c>
      <c r="F59" s="64">
        <f t="shared" si="22"/>
        <v>105.76340308030922</v>
      </c>
      <c r="G59" s="64">
        <f t="shared" si="23"/>
        <v>200.34640629790857</v>
      </c>
      <c r="H59" s="64">
        <f>H58+(($B$46/100)^2*KeyParameters!$B$36*KeyParameters!$B$35*44/12)</f>
        <v>6481.869373171573</v>
      </c>
      <c r="I59" s="64">
        <f t="shared" si="14"/>
        <v>7475.6086956198415</v>
      </c>
      <c r="J59" s="63">
        <f t="shared" si="13"/>
        <v>9.6516817358501861</v>
      </c>
      <c r="K59" s="64">
        <f>I59*(1+KeyParameters!$B$37)*(1+KeyParameters!$B$53)</f>
        <v>10278.961956477282</v>
      </c>
      <c r="L59" s="99"/>
      <c r="M59" s="32"/>
    </row>
    <row r="60" spans="1:102" s="19" customFormat="1" x14ac:dyDescent="0.25">
      <c r="A60" s="66">
        <v>54</v>
      </c>
      <c r="B60" s="64">
        <f t="shared" si="21"/>
        <v>83.2928</v>
      </c>
      <c r="C60" s="64">
        <f t="shared" si="19"/>
        <v>23.760434499365772</v>
      </c>
      <c r="D60" s="64">
        <f t="shared" si="20"/>
        <v>16.404055892569914</v>
      </c>
      <c r="E60" s="64">
        <f t="shared" si="24"/>
        <v>211.23804403534785</v>
      </c>
      <c r="F60" s="64">
        <f t="shared" si="22"/>
        <v>105.76340308030922</v>
      </c>
      <c r="G60" s="64">
        <f t="shared" si="23"/>
        <v>195.40414068089333</v>
      </c>
      <c r="H60" s="64">
        <f>H59+(($B$46/100)^2*KeyParameters!$B$36*KeyParameters!$B$35*44/12)</f>
        <v>6587.6327762518822</v>
      </c>
      <c r="I60" s="64">
        <f t="shared" si="14"/>
        <v>7671.0128363007352</v>
      </c>
      <c r="J60" s="64">
        <f t="shared" si="13"/>
        <v>9.9039660183092604</v>
      </c>
      <c r="K60" s="64">
        <f>I60*(1+KeyParameters!$B$37)*(1+KeyParameters!$B$53)</f>
        <v>10547.642649913512</v>
      </c>
      <c r="L60" s="100"/>
      <c r="M60" s="32"/>
    </row>
    <row r="61" spans="1:102" s="19" customFormat="1" x14ac:dyDescent="0.25">
      <c r="A61" s="66">
        <v>55</v>
      </c>
      <c r="B61" s="64">
        <f t="shared" si="21"/>
        <v>83.2928</v>
      </c>
      <c r="C61" s="64">
        <f t="shared" si="19"/>
        <v>23.760434499365772</v>
      </c>
      <c r="D61" s="64">
        <f t="shared" si="20"/>
        <v>16.404055892569914</v>
      </c>
      <c r="E61" s="64">
        <f t="shared" si="24"/>
        <v>211.23804403534785</v>
      </c>
      <c r="F61" s="64">
        <f t="shared" si="22"/>
        <v>105.76340308030922</v>
      </c>
      <c r="G61" s="64">
        <f t="shared" si="23"/>
        <v>190.4618750638781</v>
      </c>
      <c r="H61" s="64">
        <f>H60+(($B$46/100)^2*KeyParameters!$B$36*KeyParameters!$B$35*44/12)</f>
        <v>6693.3961793321914</v>
      </c>
      <c r="I61" s="64">
        <f t="shared" si="14"/>
        <v>7861.4747113646135</v>
      </c>
      <c r="J61" s="63">
        <f t="shared" si="13"/>
        <v>10.149869392305671</v>
      </c>
      <c r="K61" s="64">
        <f>I61*(1+KeyParameters!$B$37)*(1+KeyParameters!$B$53)</f>
        <v>10809.527728126344</v>
      </c>
      <c r="L61" s="99"/>
      <c r="M61" s="32"/>
    </row>
    <row r="62" spans="1:102" s="19" customFormat="1" x14ac:dyDescent="0.25">
      <c r="A62" s="66">
        <v>56</v>
      </c>
      <c r="B62" s="64">
        <f t="shared" si="21"/>
        <v>83.2928</v>
      </c>
      <c r="C62" s="64">
        <f t="shared" si="19"/>
        <v>23.760434499365772</v>
      </c>
      <c r="D62" s="64">
        <f t="shared" si="20"/>
        <v>16.404055892569914</v>
      </c>
      <c r="E62" s="64">
        <f t="shared" si="24"/>
        <v>211.23804403534785</v>
      </c>
      <c r="F62" s="64">
        <f t="shared" si="22"/>
        <v>105.76340308030922</v>
      </c>
      <c r="G62" s="64">
        <f t="shared" si="23"/>
        <v>185.51960944686286</v>
      </c>
      <c r="H62" s="64">
        <f>H61+(($B$46/100)^2*KeyParameters!$B$36*KeyParameters!$B$35*44/12)</f>
        <v>6799.1595824125006</v>
      </c>
      <c r="I62" s="64">
        <f t="shared" si="14"/>
        <v>8046.9943208114764</v>
      </c>
      <c r="J62" s="63">
        <f t="shared" si="13"/>
        <v>10.389391857839412</v>
      </c>
      <c r="K62" s="64">
        <f>I62*(1+KeyParameters!$B$37)*(1+KeyParameters!$B$53)</f>
        <v>11064.617191115782</v>
      </c>
      <c r="L62" s="99"/>
      <c r="M62" s="32"/>
    </row>
    <row r="63" spans="1:102" s="19" customFormat="1" x14ac:dyDescent="0.25">
      <c r="A63" s="66">
        <v>57</v>
      </c>
      <c r="B63" s="64">
        <f t="shared" si="21"/>
        <v>83.2928</v>
      </c>
      <c r="C63" s="64">
        <f t="shared" si="19"/>
        <v>23.760434499365772</v>
      </c>
      <c r="D63" s="64">
        <f t="shared" si="20"/>
        <v>16.404055892569914</v>
      </c>
      <c r="E63" s="64">
        <f t="shared" si="24"/>
        <v>211.23804403534785</v>
      </c>
      <c r="F63" s="64">
        <f t="shared" si="22"/>
        <v>105.76340308030922</v>
      </c>
      <c r="G63" s="64">
        <f t="shared" si="23"/>
        <v>180.57734382984762</v>
      </c>
      <c r="H63" s="64">
        <f>H62+(($B$46/100)^2*KeyParameters!$B$36*KeyParameters!$B$35*44/12)</f>
        <v>6904.9229854928099</v>
      </c>
      <c r="I63" s="64">
        <f t="shared" si="14"/>
        <v>8227.5716646413239</v>
      </c>
      <c r="J63" s="63">
        <f t="shared" si="13"/>
        <v>10.622533414910489</v>
      </c>
      <c r="K63" s="64">
        <f>I63*(1+KeyParameters!$B$37)*(1+KeyParameters!$B$53)</f>
        <v>11312.911038881821</v>
      </c>
      <c r="L63" s="99"/>
      <c r="M63" s="32"/>
    </row>
    <row r="64" spans="1:102" s="19" customFormat="1" x14ac:dyDescent="0.25">
      <c r="A64" s="66">
        <v>58</v>
      </c>
      <c r="B64" s="64">
        <f t="shared" si="21"/>
        <v>83.2928</v>
      </c>
      <c r="C64" s="64">
        <f t="shared" si="19"/>
        <v>23.760434499365772</v>
      </c>
      <c r="D64" s="64">
        <f t="shared" si="20"/>
        <v>16.404055892569914</v>
      </c>
      <c r="E64" s="64">
        <f t="shared" si="24"/>
        <v>211.23804403534785</v>
      </c>
      <c r="F64" s="64">
        <f t="shared" si="22"/>
        <v>105.76340308030922</v>
      </c>
      <c r="G64" s="64">
        <f t="shared" si="23"/>
        <v>175.63507821283238</v>
      </c>
      <c r="H64" s="64">
        <f>H63+(($B$46/100)^2*KeyParameters!$B$36*KeyParameters!$B$35*44/12)</f>
        <v>7010.6863885731191</v>
      </c>
      <c r="I64" s="64">
        <f t="shared" si="14"/>
        <v>8403.2067428541559</v>
      </c>
      <c r="J64" s="63">
        <f t="shared" si="13"/>
        <v>10.849294063518895</v>
      </c>
      <c r="K64" s="64">
        <f>I64*(1+KeyParameters!$B$37)*(1+KeyParameters!$B$53)</f>
        <v>11554.409271424465</v>
      </c>
      <c r="L64" s="99"/>
      <c r="M64" s="32"/>
    </row>
    <row r="65" spans="1:13" s="19" customFormat="1" x14ac:dyDescent="0.25">
      <c r="A65" s="66">
        <v>59</v>
      </c>
      <c r="B65" s="64">
        <f t="shared" si="21"/>
        <v>83.2928</v>
      </c>
      <c r="C65" s="64">
        <f t="shared" si="19"/>
        <v>23.760434499365772</v>
      </c>
      <c r="D65" s="64">
        <f t="shared" si="20"/>
        <v>16.404055892569914</v>
      </c>
      <c r="E65" s="64">
        <f t="shared" si="24"/>
        <v>211.23804403534785</v>
      </c>
      <c r="F65" s="64">
        <f t="shared" si="22"/>
        <v>105.76340308030922</v>
      </c>
      <c r="G65" s="64">
        <f t="shared" si="23"/>
        <v>170.69281259581714</v>
      </c>
      <c r="H65" s="64">
        <f>H64+(($B$46/100)^2*KeyParameters!$B$36*KeyParameters!$B$35*44/12)</f>
        <v>7116.4497916534283</v>
      </c>
      <c r="I65" s="64">
        <f t="shared" si="14"/>
        <v>8573.8995554499725</v>
      </c>
      <c r="J65" s="63">
        <f t="shared" si="13"/>
        <v>11.069673803664637</v>
      </c>
      <c r="K65" s="64">
        <f>I65*(1+KeyParameters!$B$37)*(1+KeyParameters!$B$53)</f>
        <v>11789.111888743713</v>
      </c>
      <c r="L65" s="99"/>
      <c r="M65" s="32"/>
    </row>
    <row r="66" spans="1:13" s="19" customFormat="1" x14ac:dyDescent="0.25">
      <c r="A66" s="66">
        <v>60</v>
      </c>
      <c r="B66" s="64">
        <f t="shared" si="21"/>
        <v>83.2928</v>
      </c>
      <c r="C66" s="64">
        <f t="shared" si="19"/>
        <v>23.760434499365772</v>
      </c>
      <c r="D66" s="64">
        <f t="shared" si="20"/>
        <v>16.404055892569914</v>
      </c>
      <c r="E66" s="64">
        <f t="shared" si="24"/>
        <v>211.23804403534785</v>
      </c>
      <c r="F66" s="64">
        <f t="shared" si="22"/>
        <v>105.76340308030922</v>
      </c>
      <c r="G66" s="64">
        <f t="shared" si="23"/>
        <v>165.75054697880191</v>
      </c>
      <c r="H66" s="64">
        <f>H65+(($B$46/100)^2*KeyParameters!$B$36*KeyParameters!$B$35*44/12)</f>
        <v>7222.2131947337375</v>
      </c>
      <c r="I66" s="64">
        <f t="shared" si="14"/>
        <v>8739.6501024287736</v>
      </c>
      <c r="J66" s="63">
        <f t="shared" si="13"/>
        <v>11.28367263534771</v>
      </c>
      <c r="K66" s="64">
        <f>I66*(1+KeyParameters!$B$37)*(1+KeyParameters!$B$53)</f>
        <v>12017.018890839565</v>
      </c>
      <c r="L66" s="99"/>
      <c r="M66" s="32"/>
    </row>
    <row r="67" spans="1:13" s="19" customFormat="1" x14ac:dyDescent="0.25">
      <c r="A67" s="66">
        <v>61</v>
      </c>
      <c r="B67" s="64">
        <f t="shared" si="21"/>
        <v>83.2928</v>
      </c>
      <c r="C67" s="64">
        <f t="shared" si="19"/>
        <v>23.760434499365772</v>
      </c>
      <c r="D67" s="64">
        <f t="shared" si="20"/>
        <v>16.404055892569914</v>
      </c>
      <c r="E67" s="64">
        <f t="shared" si="24"/>
        <v>211.23804403534785</v>
      </c>
      <c r="F67" s="64">
        <f t="shared" si="22"/>
        <v>105.76340308030922</v>
      </c>
      <c r="G67" s="64">
        <f t="shared" si="23"/>
        <v>160.80828136178667</v>
      </c>
      <c r="H67" s="64">
        <f>H66+(($B$46/100)^2*KeyParameters!$B$36*KeyParameters!$B$35*44/12)</f>
        <v>7327.9765978140467</v>
      </c>
      <c r="I67" s="64">
        <f t="shared" si="14"/>
        <v>8900.4583837905611</v>
      </c>
      <c r="J67" s="63">
        <f t="shared" si="13"/>
        <v>11.491290558568119</v>
      </c>
      <c r="K67" s="64">
        <f>I67*(1+KeyParameters!$B$37)*(1+KeyParameters!$B$53)</f>
        <v>12238.130277712022</v>
      </c>
      <c r="L67" s="99"/>
      <c r="M67" s="32"/>
    </row>
    <row r="68" spans="1:13" s="19" customFormat="1" x14ac:dyDescent="0.25">
      <c r="A68" s="66">
        <v>62</v>
      </c>
      <c r="B68" s="64">
        <f t="shared" si="21"/>
        <v>83.2928</v>
      </c>
      <c r="C68" s="64">
        <f t="shared" si="19"/>
        <v>23.760434499365772</v>
      </c>
      <c r="D68" s="64">
        <f t="shared" si="20"/>
        <v>16.404055892569914</v>
      </c>
      <c r="E68" s="64">
        <f t="shared" si="24"/>
        <v>211.23804403534785</v>
      </c>
      <c r="F68" s="64">
        <f t="shared" si="22"/>
        <v>105.76340308030922</v>
      </c>
      <c r="G68" s="64">
        <f t="shared" si="23"/>
        <v>155.86601574477143</v>
      </c>
      <c r="H68" s="64">
        <f>H67+(($B$46/100)^2*KeyParameters!$B$36*KeyParameters!$B$35*44/12)</f>
        <v>7433.7400008943559</v>
      </c>
      <c r="I68" s="64">
        <f t="shared" si="14"/>
        <v>9056.3243995353332</v>
      </c>
      <c r="J68" s="63">
        <f t="shared" si="13"/>
        <v>11.69252757332586</v>
      </c>
      <c r="K68" s="64">
        <f>I68*(1+KeyParameters!$B$37)*(1+KeyParameters!$B$53)</f>
        <v>12452.446049361084</v>
      </c>
      <c r="L68" s="99"/>
      <c r="M68" s="32"/>
    </row>
    <row r="69" spans="1:13" s="19" customFormat="1" x14ac:dyDescent="0.25">
      <c r="A69" s="66">
        <v>63</v>
      </c>
      <c r="B69" s="64">
        <f t="shared" si="21"/>
        <v>83.2928</v>
      </c>
      <c r="C69" s="64">
        <f t="shared" si="19"/>
        <v>23.760434499365772</v>
      </c>
      <c r="D69" s="64">
        <f t="shared" si="20"/>
        <v>16.404055892569914</v>
      </c>
      <c r="E69" s="64">
        <f t="shared" si="24"/>
        <v>211.23804403534785</v>
      </c>
      <c r="F69" s="64">
        <f t="shared" si="22"/>
        <v>105.76340308030922</v>
      </c>
      <c r="G69" s="64">
        <f t="shared" si="23"/>
        <v>150.92375012775619</v>
      </c>
      <c r="H69" s="64">
        <f>H68+(($B$46/100)^2*KeyParameters!$B$36*KeyParameters!$B$35*44/12)</f>
        <v>7539.5034039746652</v>
      </c>
      <c r="I69" s="64">
        <f t="shared" si="14"/>
        <v>9207.2481496630899</v>
      </c>
      <c r="J69" s="63">
        <f t="shared" si="13"/>
        <v>11.887383679620934</v>
      </c>
      <c r="K69" s="64">
        <f>I69*(1+KeyParameters!$B$37)*(1+KeyParameters!$B$53)</f>
        <v>12659.96620578675</v>
      </c>
      <c r="L69" s="99"/>
      <c r="M69" s="32"/>
    </row>
    <row r="70" spans="1:13" s="19" customFormat="1" x14ac:dyDescent="0.25">
      <c r="A70" s="66">
        <v>64</v>
      </c>
      <c r="B70" s="64">
        <f t="shared" si="21"/>
        <v>83.2928</v>
      </c>
      <c r="C70" s="64">
        <f t="shared" si="19"/>
        <v>23.760434499365772</v>
      </c>
      <c r="D70" s="64">
        <f t="shared" si="20"/>
        <v>16.404055892569914</v>
      </c>
      <c r="E70" s="64">
        <f t="shared" si="24"/>
        <v>211.23804403534785</v>
      </c>
      <c r="F70" s="64">
        <f t="shared" si="22"/>
        <v>105.76340308030922</v>
      </c>
      <c r="G70" s="64">
        <f t="shared" si="23"/>
        <v>145.98148451074096</v>
      </c>
      <c r="H70" s="64">
        <f>H69+(($B$46/100)^2*KeyParameters!$B$36*KeyParameters!$B$35*44/12)</f>
        <v>7645.2668070549744</v>
      </c>
      <c r="I70" s="64">
        <f t="shared" si="14"/>
        <v>9353.2296341738311</v>
      </c>
      <c r="J70" s="63">
        <f t="shared" si="13"/>
        <v>12.075858877453344</v>
      </c>
      <c r="K70" s="64">
        <f>I70*(1+KeyParameters!$B$37)*(1+KeyParameters!$B$53)</f>
        <v>12860.690746989019</v>
      </c>
      <c r="L70" s="99"/>
      <c r="M70" s="32"/>
    </row>
    <row r="71" spans="1:13" s="19" customFormat="1" x14ac:dyDescent="0.25">
      <c r="A71" s="66">
        <v>65</v>
      </c>
      <c r="B71" s="64">
        <f t="shared" si="21"/>
        <v>83.2928</v>
      </c>
      <c r="C71" s="64">
        <f t="shared" si="19"/>
        <v>23.760434499365772</v>
      </c>
      <c r="D71" s="64">
        <f t="shared" si="20"/>
        <v>16.404055892569914</v>
      </c>
      <c r="E71" s="64">
        <f t="shared" si="24"/>
        <v>211.23804403534785</v>
      </c>
      <c r="F71" s="64">
        <f t="shared" si="22"/>
        <v>105.76340308030922</v>
      </c>
      <c r="G71" s="64">
        <f t="shared" si="23"/>
        <v>141.03921889372572</v>
      </c>
      <c r="H71" s="64">
        <f>H70+(($B$46/100)^2*KeyParameters!$B$36*KeyParameters!$B$35*44/12)</f>
        <v>7751.0302101352836</v>
      </c>
      <c r="I71" s="64">
        <f t="shared" si="14"/>
        <v>9494.2688530675568</v>
      </c>
      <c r="J71" s="63">
        <f t="shared" ref="J71:J86" si="25">(I71/E71)*12/44</f>
        <v>12.257953166823084</v>
      </c>
      <c r="K71" s="64">
        <f>I71*(1+KeyParameters!$B$37)*(1+KeyParameters!$B$53)</f>
        <v>13054.619672967892</v>
      </c>
      <c r="L71" s="99"/>
      <c r="M71" s="32"/>
    </row>
    <row r="72" spans="1:13" s="19" customFormat="1" x14ac:dyDescent="0.25">
      <c r="A72" s="66">
        <v>66</v>
      </c>
      <c r="B72" s="64">
        <f t="shared" si="21"/>
        <v>83.2928</v>
      </c>
      <c r="C72" s="64">
        <f t="shared" si="19"/>
        <v>23.760434499365772</v>
      </c>
      <c r="D72" s="64">
        <f t="shared" si="20"/>
        <v>16.404055892569914</v>
      </c>
      <c r="E72" s="64">
        <f t="shared" si="24"/>
        <v>211.23804403534785</v>
      </c>
      <c r="F72" s="64">
        <f t="shared" si="22"/>
        <v>105.76340308030922</v>
      </c>
      <c r="G72" s="64">
        <f t="shared" si="23"/>
        <v>136.09695327671048</v>
      </c>
      <c r="H72" s="64">
        <f>H71+(($B$46/100)^2*KeyParameters!$B$36*KeyParameters!$B$35*44/12)</f>
        <v>7856.7936132155928</v>
      </c>
      <c r="I72" s="64">
        <f t="shared" ref="I72:I86" si="26">I71+G72</f>
        <v>9630.3658063442672</v>
      </c>
      <c r="J72" s="63">
        <f t="shared" si="25"/>
        <v>12.433666547730157</v>
      </c>
      <c r="K72" s="64">
        <f>I72*(1+KeyParameters!$B$37)*(1+KeyParameters!$B$53)</f>
        <v>13241.752983723369</v>
      </c>
      <c r="L72" s="99"/>
      <c r="M72" s="32"/>
    </row>
    <row r="73" spans="1:13" s="19" customFormat="1" x14ac:dyDescent="0.25">
      <c r="A73" s="66">
        <v>67</v>
      </c>
      <c r="B73" s="64">
        <f t="shared" si="21"/>
        <v>83.2928</v>
      </c>
      <c r="C73" s="64">
        <f t="shared" si="19"/>
        <v>23.760434499365772</v>
      </c>
      <c r="D73" s="64">
        <f t="shared" si="20"/>
        <v>16.404055892569914</v>
      </c>
      <c r="E73" s="64">
        <f t="shared" si="24"/>
        <v>211.23804403534785</v>
      </c>
      <c r="F73" s="64">
        <f t="shared" si="22"/>
        <v>105.76340308030922</v>
      </c>
      <c r="G73" s="64">
        <f t="shared" si="23"/>
        <v>131.15468765969524</v>
      </c>
      <c r="H73" s="64">
        <f>H72+(($B$46/100)^2*KeyParameters!$B$36*KeyParameters!$B$35*44/12)</f>
        <v>7962.557016295902</v>
      </c>
      <c r="I73" s="64">
        <f t="shared" si="26"/>
        <v>9761.5204940039621</v>
      </c>
      <c r="J73" s="63">
        <f t="shared" si="25"/>
        <v>12.602999020174565</v>
      </c>
      <c r="K73" s="64">
        <f>I73*(1+KeyParameters!$B$37)*(1+KeyParameters!$B$53)</f>
        <v>13422.090679255449</v>
      </c>
      <c r="L73" s="99"/>
      <c r="M73" s="32"/>
    </row>
    <row r="74" spans="1:13" s="19" customFormat="1" x14ac:dyDescent="0.25">
      <c r="A74" s="66">
        <v>68</v>
      </c>
      <c r="B74" s="64">
        <f t="shared" si="21"/>
        <v>83.2928</v>
      </c>
      <c r="C74" s="64">
        <f t="shared" si="19"/>
        <v>23.760434499365772</v>
      </c>
      <c r="D74" s="64">
        <f t="shared" si="20"/>
        <v>16.404055892569914</v>
      </c>
      <c r="E74" s="64">
        <f t="shared" si="24"/>
        <v>211.23804403534785</v>
      </c>
      <c r="F74" s="64">
        <f t="shared" si="22"/>
        <v>105.76340308030922</v>
      </c>
      <c r="G74" s="64">
        <f t="shared" si="23"/>
        <v>126.21242204268</v>
      </c>
      <c r="H74" s="64">
        <f>H73+(($B$46/100)^2*KeyParameters!$B$36*KeyParameters!$B$35*44/12)</f>
        <v>8068.3204193762112</v>
      </c>
      <c r="I74" s="64">
        <f t="shared" si="26"/>
        <v>9887.7329160466415</v>
      </c>
      <c r="J74" s="63">
        <f t="shared" si="25"/>
        <v>12.765950584156304</v>
      </c>
      <c r="K74" s="64">
        <f>I74*(1+KeyParameters!$B$37)*(1+KeyParameters!$B$53)</f>
        <v>13595.632759564132</v>
      </c>
      <c r="L74" s="99"/>
      <c r="M74" s="32"/>
    </row>
    <row r="75" spans="1:13" s="19" customFormat="1" x14ac:dyDescent="0.25">
      <c r="A75" s="66">
        <v>69</v>
      </c>
      <c r="B75" s="64">
        <f t="shared" si="21"/>
        <v>83.2928</v>
      </c>
      <c r="C75" s="64">
        <f t="shared" si="19"/>
        <v>23.760434499365772</v>
      </c>
      <c r="D75" s="64">
        <f t="shared" si="20"/>
        <v>16.404055892569914</v>
      </c>
      <c r="E75" s="64">
        <f t="shared" si="24"/>
        <v>211.23804403534785</v>
      </c>
      <c r="F75" s="64">
        <f t="shared" si="22"/>
        <v>105.76340308030922</v>
      </c>
      <c r="G75" s="64">
        <f t="shared" si="23"/>
        <v>121.27015642566477</v>
      </c>
      <c r="H75" s="64">
        <f>H74+(($B$46/100)^2*KeyParameters!$B$36*KeyParameters!$B$35*44/12)</f>
        <v>8174.0838224565205</v>
      </c>
      <c r="I75" s="64">
        <f t="shared" si="26"/>
        <v>10009.003072472306</v>
      </c>
      <c r="J75" s="63">
        <f t="shared" si="25"/>
        <v>12.922521239675376</v>
      </c>
      <c r="K75" s="64">
        <f>I75*(1+KeyParameters!$B$37)*(1+KeyParameters!$B$53)</f>
        <v>13762.379224649421</v>
      </c>
      <c r="L75" s="99"/>
      <c r="M75" s="32"/>
    </row>
    <row r="76" spans="1:13" s="19" customFormat="1" x14ac:dyDescent="0.25">
      <c r="A76" s="66">
        <v>70</v>
      </c>
      <c r="B76" s="64">
        <f t="shared" si="21"/>
        <v>83.2928</v>
      </c>
      <c r="C76" s="64">
        <f t="shared" si="19"/>
        <v>23.760434499365772</v>
      </c>
      <c r="D76" s="64">
        <f t="shared" si="20"/>
        <v>16.404055892569914</v>
      </c>
      <c r="E76" s="64">
        <f xml:space="preserve">  3.14*(D76/2)^2</f>
        <v>211.23804403534785</v>
      </c>
      <c r="F76" s="64">
        <f t="shared" si="22"/>
        <v>105.76340308031013</v>
      </c>
      <c r="G76" s="64">
        <f t="shared" si="23"/>
        <v>116.32789080864953</v>
      </c>
      <c r="H76" s="64">
        <f>H75+(($B$46/100)^2*KeyParameters!$B$36*KeyParameters!$B$35*44/12)</f>
        <v>8279.8472255368306</v>
      </c>
      <c r="I76" s="64">
        <f t="shared" si="26"/>
        <v>10125.330963280956</v>
      </c>
      <c r="J76" s="63">
        <f t="shared" si="25"/>
        <v>13.072710986731785</v>
      </c>
      <c r="K76" s="64">
        <f>I76*(1+KeyParameters!$B$37)*(1+KeyParameters!$B$53)</f>
        <v>13922.330074511316</v>
      </c>
      <c r="L76" s="100"/>
      <c r="M76" s="32"/>
    </row>
    <row r="77" spans="1:13" s="19" customFormat="1" x14ac:dyDescent="0.25">
      <c r="A77" s="66">
        <v>71</v>
      </c>
      <c r="B77" s="64">
        <f t="shared" si="21"/>
        <v>83.2928</v>
      </c>
      <c r="C77" s="64">
        <f t="shared" si="19"/>
        <v>23.760434499365772</v>
      </c>
      <c r="D77" s="64">
        <f>D76</f>
        <v>16.404055892569914</v>
      </c>
      <c r="E77" s="64">
        <f t="shared" si="24"/>
        <v>211.23804403534785</v>
      </c>
      <c r="F77" s="64">
        <f t="shared" si="22"/>
        <v>105.76340308030922</v>
      </c>
      <c r="G77" s="64">
        <f t="shared" si="23"/>
        <v>111.38562519163429</v>
      </c>
      <c r="H77" s="64">
        <f>H76+(($B$46/100)^2*KeyParameters!$B$36*KeyParameters!$B$35*44/12)</f>
        <v>8385.6106286171398</v>
      </c>
      <c r="I77" s="64">
        <f t="shared" si="26"/>
        <v>10236.716588472591</v>
      </c>
      <c r="J77" s="63">
        <f t="shared" si="25"/>
        <v>13.216519825325525</v>
      </c>
      <c r="K77" s="64">
        <f>I77*(1+KeyParameters!$B$37)*(1+KeyParameters!$B$53)</f>
        <v>14075.485309149813</v>
      </c>
      <c r="L77" s="99"/>
      <c r="M77" s="32"/>
    </row>
    <row r="78" spans="1:13" s="19" customFormat="1" x14ac:dyDescent="0.25">
      <c r="A78" s="66">
        <v>72</v>
      </c>
      <c r="B78" s="64">
        <f t="shared" si="21"/>
        <v>83.2928</v>
      </c>
      <c r="C78" s="64">
        <f t="shared" si="19"/>
        <v>23.760434499365772</v>
      </c>
      <c r="D78" s="64">
        <f t="shared" si="20"/>
        <v>16.404055892569914</v>
      </c>
      <c r="E78" s="64">
        <f t="shared" si="24"/>
        <v>211.23804403534785</v>
      </c>
      <c r="F78" s="64">
        <f t="shared" si="22"/>
        <v>105.76340308030922</v>
      </c>
      <c r="G78" s="64">
        <f t="shared" si="23"/>
        <v>106.44335957461905</v>
      </c>
      <c r="H78" s="64">
        <f>H77+(($B$46/100)^2*KeyParameters!$B$36*KeyParameters!$B$35*44/12)</f>
        <v>8491.374031697449</v>
      </c>
      <c r="I78" s="64">
        <f t="shared" si="26"/>
        <v>10343.15994804721</v>
      </c>
      <c r="J78" s="63">
        <f t="shared" si="25"/>
        <v>13.353947755456597</v>
      </c>
      <c r="K78" s="64">
        <f>I78*(1+KeyParameters!$B$37)*(1+KeyParameters!$B$53)</f>
        <v>14221.844928564915</v>
      </c>
      <c r="L78" s="99"/>
      <c r="M78" s="32"/>
    </row>
    <row r="79" spans="1:13" s="19" customFormat="1" x14ac:dyDescent="0.25">
      <c r="A79" s="66">
        <v>73</v>
      </c>
      <c r="B79" s="64">
        <f t="shared" si="21"/>
        <v>83.2928</v>
      </c>
      <c r="C79" s="64">
        <f t="shared" si="19"/>
        <v>23.760434499365772</v>
      </c>
      <c r="D79" s="64">
        <f t="shared" si="20"/>
        <v>16.404055892569914</v>
      </c>
      <c r="E79" s="64">
        <f t="shared" si="24"/>
        <v>211.23804403534785</v>
      </c>
      <c r="F79" s="68">
        <f t="shared" si="22"/>
        <v>105.76340308030922</v>
      </c>
      <c r="G79" s="68">
        <v>105.76340308031013</v>
      </c>
      <c r="H79" s="64">
        <f>H78+(($B$46/100)^2*KeyParameters!$B$36*KeyParameters!$B$35*44/12)</f>
        <v>8597.1374347777582</v>
      </c>
      <c r="I79" s="64">
        <f t="shared" si="26"/>
        <v>10448.92335112752</v>
      </c>
      <c r="J79" s="63">
        <f t="shared" si="25"/>
        <v>13.490497800729797</v>
      </c>
      <c r="K79" s="64">
        <f>I79*(1+KeyParameters!$B$37)*(1+KeyParameters!$B$53)</f>
        <v>14367.269607800341</v>
      </c>
      <c r="L79" s="99"/>
      <c r="M79" s="32"/>
    </row>
    <row r="80" spans="1:13" s="19" customFormat="1" x14ac:dyDescent="0.25">
      <c r="A80" s="66">
        <v>74</v>
      </c>
      <c r="B80" s="64">
        <f t="shared" si="21"/>
        <v>83.2928</v>
      </c>
      <c r="C80" s="64">
        <f t="shared" si="19"/>
        <v>23.760434499365772</v>
      </c>
      <c r="D80" s="64">
        <f t="shared" si="20"/>
        <v>16.404055892569914</v>
      </c>
      <c r="E80" s="64">
        <f t="shared" si="24"/>
        <v>211.23804403534785</v>
      </c>
      <c r="F80" s="68">
        <f t="shared" si="22"/>
        <v>105.76340308030922</v>
      </c>
      <c r="G80" s="68">
        <v>105.76340308031013</v>
      </c>
      <c r="H80" s="64">
        <f>H79+(($B$46/100)^2*KeyParameters!$B$36*KeyParameters!$B$35*44/12)</f>
        <v>8702.9008378580675</v>
      </c>
      <c r="I80" s="64">
        <f t="shared" si="26"/>
        <v>10554.686754207829</v>
      </c>
      <c r="J80" s="63">
        <f t="shared" si="25"/>
        <v>13.62704784600299</v>
      </c>
      <c r="K80" s="64">
        <f>I80*(1+KeyParameters!$B$37)*(1+KeyParameters!$B$53)</f>
        <v>14512.694287035765</v>
      </c>
      <c r="L80" s="99"/>
      <c r="M80" s="32"/>
    </row>
    <row r="81" spans="1:14" s="19" customFormat="1" x14ac:dyDescent="0.25">
      <c r="A81" s="66">
        <v>75</v>
      </c>
      <c r="B81" s="64">
        <f t="shared" si="21"/>
        <v>83.2928</v>
      </c>
      <c r="C81" s="64">
        <f t="shared" si="19"/>
        <v>23.760434499365772</v>
      </c>
      <c r="D81" s="64">
        <f t="shared" si="20"/>
        <v>16.404055892569914</v>
      </c>
      <c r="E81" s="64">
        <f t="shared" si="24"/>
        <v>211.23804403534785</v>
      </c>
      <c r="F81" s="68">
        <f t="shared" si="22"/>
        <v>105.76340308030922</v>
      </c>
      <c r="G81" s="68">
        <v>105.76340308031013</v>
      </c>
      <c r="H81" s="64">
        <f>H80+(($B$46/100)^2*KeyParameters!$B$36*KeyParameters!$B$35*44/12)</f>
        <v>8808.6642409383767</v>
      </c>
      <c r="I81" s="64">
        <f t="shared" si="26"/>
        <v>10660.450157288138</v>
      </c>
      <c r="J81" s="63">
        <f t="shared" si="25"/>
        <v>13.763597891276184</v>
      </c>
      <c r="K81" s="64">
        <f>I81*(1+KeyParameters!$B$37)*(1+KeyParameters!$B$53)</f>
        <v>14658.118966271191</v>
      </c>
      <c r="L81" s="99"/>
      <c r="M81" s="32"/>
    </row>
    <row r="82" spans="1:14" s="19" customFormat="1" x14ac:dyDescent="0.25">
      <c r="A82" s="66">
        <v>76</v>
      </c>
      <c r="B82" s="64">
        <f t="shared" si="21"/>
        <v>83.2928</v>
      </c>
      <c r="C82" s="64">
        <f t="shared" si="19"/>
        <v>23.760434499365772</v>
      </c>
      <c r="D82" s="64">
        <f t="shared" si="20"/>
        <v>16.404055892569914</v>
      </c>
      <c r="E82" s="64">
        <f t="shared" si="24"/>
        <v>211.23804403534785</v>
      </c>
      <c r="F82" s="68">
        <f t="shared" si="22"/>
        <v>105.76340308030922</v>
      </c>
      <c r="G82" s="68">
        <v>105.76340308031013</v>
      </c>
      <c r="H82" s="64">
        <f>H81+(($B$46/100)^2*KeyParameters!$B$36*KeyParameters!$B$35*44/12)</f>
        <v>8914.4276440186859</v>
      </c>
      <c r="I82" s="64">
        <f t="shared" si="26"/>
        <v>10766.213560368447</v>
      </c>
      <c r="J82" s="63">
        <f t="shared" si="25"/>
        <v>13.900147936549381</v>
      </c>
      <c r="K82" s="64">
        <f>I82*(1+KeyParameters!$B$37)*(1+KeyParameters!$B$53)</f>
        <v>14803.543645506616</v>
      </c>
      <c r="L82" s="99"/>
      <c r="M82" s="32"/>
    </row>
    <row r="83" spans="1:14" s="19" customFormat="1" x14ac:dyDescent="0.25">
      <c r="A83" s="66">
        <v>77</v>
      </c>
      <c r="B83" s="64">
        <f t="shared" si="21"/>
        <v>83.2928</v>
      </c>
      <c r="C83" s="64">
        <f t="shared" si="19"/>
        <v>23.760434499365772</v>
      </c>
      <c r="D83" s="64">
        <f t="shared" si="20"/>
        <v>16.404055892569914</v>
      </c>
      <c r="E83" s="64">
        <f t="shared" si="24"/>
        <v>211.23804403534785</v>
      </c>
      <c r="F83" s="68">
        <f t="shared" si="22"/>
        <v>105.76340308030922</v>
      </c>
      <c r="G83" s="68">
        <v>105.76340308031013</v>
      </c>
      <c r="H83" s="64">
        <f>H82+(($B$46/100)^2*KeyParameters!$B$36*KeyParameters!$B$35*44/12)</f>
        <v>9020.1910470989951</v>
      </c>
      <c r="I83" s="64">
        <f t="shared" si="26"/>
        <v>10871.976963448757</v>
      </c>
      <c r="J83" s="63">
        <f t="shared" si="25"/>
        <v>14.036697981822574</v>
      </c>
      <c r="K83" s="64">
        <f>I83*(1+KeyParameters!$B$37)*(1+KeyParameters!$B$53)</f>
        <v>14948.968324742042</v>
      </c>
      <c r="L83" s="99"/>
      <c r="M83" s="32"/>
    </row>
    <row r="84" spans="1:14" s="19" customFormat="1" ht="16.5" customHeight="1" x14ac:dyDescent="0.25">
      <c r="A84" s="66">
        <v>78</v>
      </c>
      <c r="B84" s="64">
        <f t="shared" si="21"/>
        <v>83.2928</v>
      </c>
      <c r="C84" s="64">
        <f t="shared" si="19"/>
        <v>23.760434499365772</v>
      </c>
      <c r="D84" s="64">
        <f t="shared" si="20"/>
        <v>16.404055892569914</v>
      </c>
      <c r="E84" s="64">
        <f t="shared" si="24"/>
        <v>211.23804403534785</v>
      </c>
      <c r="F84" s="68">
        <f t="shared" si="22"/>
        <v>105.76340308030922</v>
      </c>
      <c r="G84" s="68">
        <v>105.76340308031013</v>
      </c>
      <c r="H84" s="64">
        <f>H83+(($B$46/100)^2*KeyParameters!$B$36*KeyParameters!$B$35*44/12)</f>
        <v>9125.9544501793043</v>
      </c>
      <c r="I84" s="64">
        <f t="shared" si="26"/>
        <v>10977.740366529066</v>
      </c>
      <c r="J84" s="63">
        <f t="shared" si="25"/>
        <v>14.17324802709577</v>
      </c>
      <c r="K84" s="64">
        <f>I84*(1+KeyParameters!$B$37)*(1+KeyParameters!$B$53)</f>
        <v>15094.393003977466</v>
      </c>
      <c r="L84" s="99"/>
      <c r="M84" s="32"/>
      <c r="N84" s="32"/>
    </row>
    <row r="85" spans="1:14" s="19" customFormat="1" x14ac:dyDescent="0.25">
      <c r="A85" s="66">
        <v>79</v>
      </c>
      <c r="B85" s="64">
        <f t="shared" si="21"/>
        <v>83.2928</v>
      </c>
      <c r="C85" s="64">
        <f t="shared" si="19"/>
        <v>23.760434499365772</v>
      </c>
      <c r="D85" s="64">
        <f>D84</f>
        <v>16.404055892569914</v>
      </c>
      <c r="E85" s="64">
        <f t="shared" si="24"/>
        <v>211.23804403534785</v>
      </c>
      <c r="F85" s="68">
        <f t="shared" si="22"/>
        <v>105.76340308030922</v>
      </c>
      <c r="G85" s="68">
        <v>105.76340308031013</v>
      </c>
      <c r="H85" s="64">
        <f>H84+(($B$46/100)^2*KeyParameters!$B$36*KeyParameters!$B$35*44/12)</f>
        <v>9231.7178532596135</v>
      </c>
      <c r="I85" s="64">
        <f t="shared" si="26"/>
        <v>11083.503769609375</v>
      </c>
      <c r="J85" s="63">
        <f t="shared" si="25"/>
        <v>14.309798072368965</v>
      </c>
      <c r="K85" s="64">
        <f>I85*(1+KeyParameters!$B$37)*(1+KeyParameters!$B$53)</f>
        <v>15239.817683212892</v>
      </c>
      <c r="L85" s="99"/>
      <c r="M85" s="32"/>
      <c r="N85" s="32"/>
    </row>
    <row r="86" spans="1:14" s="19" customFormat="1" x14ac:dyDescent="0.25">
      <c r="A86" s="66">
        <v>80</v>
      </c>
      <c r="B86" s="64">
        <f t="shared" si="21"/>
        <v>83.2928</v>
      </c>
      <c r="C86" s="64">
        <f t="shared" si="19"/>
        <v>23.760434499365772</v>
      </c>
      <c r="D86" s="64">
        <f t="shared" si="20"/>
        <v>16.404055892569914</v>
      </c>
      <c r="E86" s="64">
        <f t="shared" si="24"/>
        <v>211.23804403534785</v>
      </c>
      <c r="F86" s="68">
        <f t="shared" si="22"/>
        <v>105.76340308030922</v>
      </c>
      <c r="G86" s="68">
        <v>105.76340308031013</v>
      </c>
      <c r="H86" s="64">
        <f>H85+(($B$46/100)^2*KeyParameters!$B$36*KeyParameters!$B$35*44/12)</f>
        <v>9337.4812563399228</v>
      </c>
      <c r="I86" s="64">
        <f t="shared" si="26"/>
        <v>11189.267172689684</v>
      </c>
      <c r="J86" s="63">
        <f t="shared" si="25"/>
        <v>14.446348117642161</v>
      </c>
      <c r="K86" s="64">
        <f>I86*(1+KeyParameters!$B$37)*(1+KeyParameters!$B$53)</f>
        <v>15385.242362448316</v>
      </c>
      <c r="L86" s="99"/>
      <c r="M86" s="32"/>
      <c r="N86" s="32"/>
    </row>
    <row r="87" spans="1:14" x14ac:dyDescent="0.25">
      <c r="B87" s="1"/>
      <c r="C87" s="1"/>
      <c r="D87" s="1"/>
      <c r="E87" s="1"/>
      <c r="F87" s="1"/>
      <c r="G87" s="36"/>
      <c r="H87" s="1"/>
      <c r="I87" s="36"/>
    </row>
    <row r="88" spans="1:14" x14ac:dyDescent="0.25">
      <c r="B88" s="1"/>
      <c r="C88" s="1"/>
      <c r="D88" s="1"/>
      <c r="E88" s="1"/>
      <c r="F88" s="1"/>
      <c r="G88" s="36"/>
      <c r="H88" s="1"/>
      <c r="I88" s="36"/>
    </row>
    <row r="89" spans="1:14" x14ac:dyDescent="0.25">
      <c r="B89" s="1"/>
      <c r="C89" s="1"/>
      <c r="D89" s="1"/>
      <c r="E89" s="1"/>
      <c r="F89" s="1"/>
      <c r="G89" s="36"/>
      <c r="H89" s="1"/>
      <c r="I89" s="36"/>
    </row>
    <row r="90" spans="1:14" x14ac:dyDescent="0.25">
      <c r="B90" s="1"/>
      <c r="C90" s="1"/>
      <c r="D90" s="1"/>
      <c r="E90" s="1"/>
      <c r="F90" s="1"/>
      <c r="G90" s="36"/>
      <c r="H90" s="1"/>
      <c r="I90" s="36"/>
    </row>
    <row r="91" spans="1:14" x14ac:dyDescent="0.25">
      <c r="B91" s="1"/>
      <c r="C91" s="1"/>
      <c r="D91" s="1"/>
      <c r="E91" s="1"/>
      <c r="F91" s="1"/>
      <c r="G91" s="36"/>
      <c r="H91" s="1"/>
      <c r="I91" s="36"/>
    </row>
    <row r="92" spans="1:14" x14ac:dyDescent="0.25">
      <c r="B92" s="1"/>
      <c r="C92" s="1"/>
      <c r="D92" s="1"/>
      <c r="E92" s="1"/>
      <c r="F92" s="1"/>
      <c r="G92" s="36"/>
      <c r="H92" s="1"/>
      <c r="I92" s="36"/>
    </row>
    <row r="93" spans="1:14" x14ac:dyDescent="0.25">
      <c r="B93" s="1"/>
      <c r="C93" s="1"/>
      <c r="D93" s="1"/>
      <c r="E93" s="1"/>
      <c r="F93" s="1"/>
      <c r="G93" s="36"/>
      <c r="H93" s="1"/>
      <c r="I93" s="36"/>
    </row>
    <row r="94" spans="1:14" x14ac:dyDescent="0.25">
      <c r="B94" s="1"/>
      <c r="C94" s="1"/>
      <c r="D94" s="1"/>
      <c r="E94" s="1"/>
      <c r="F94" s="1"/>
      <c r="G94" s="36"/>
      <c r="H94" s="1"/>
      <c r="I94" s="36"/>
    </row>
    <row r="95" spans="1:14" x14ac:dyDescent="0.25">
      <c r="B95" s="1"/>
      <c r="C95" s="1"/>
      <c r="D95" s="1"/>
      <c r="E95" s="1"/>
      <c r="F95" s="1"/>
      <c r="G95" s="36"/>
      <c r="H95" s="1"/>
      <c r="I95" s="36"/>
    </row>
    <row r="96" spans="1:14" x14ac:dyDescent="0.25">
      <c r="B96" s="1"/>
      <c r="C96" s="1"/>
      <c r="D96" s="1"/>
      <c r="E96" s="1"/>
      <c r="F96" s="1"/>
      <c r="G96" s="36"/>
      <c r="H96" s="1"/>
      <c r="I96" s="36"/>
    </row>
    <row r="97" spans="2:9" x14ac:dyDescent="0.25">
      <c r="B97" s="1"/>
      <c r="C97" s="1"/>
      <c r="D97" s="1"/>
      <c r="E97" s="1"/>
      <c r="F97" s="1"/>
      <c r="G97" s="36"/>
      <c r="H97" s="1"/>
      <c r="I97" s="36"/>
    </row>
    <row r="98" spans="2:9" x14ac:dyDescent="0.25">
      <c r="B98" s="1"/>
      <c r="C98" s="1"/>
      <c r="D98" s="1"/>
      <c r="E98" s="1"/>
      <c r="F98" s="1"/>
      <c r="G98" s="36"/>
      <c r="H98" s="1"/>
      <c r="I98" s="36"/>
    </row>
    <row r="99" spans="2:9" x14ac:dyDescent="0.25">
      <c r="B99" s="1"/>
      <c r="C99" s="1"/>
      <c r="D99" s="1"/>
      <c r="E99" s="1"/>
      <c r="F99" s="1"/>
      <c r="G99" s="36"/>
      <c r="H99" s="1"/>
      <c r="I99" s="36"/>
    </row>
    <row r="100" spans="2:9" x14ac:dyDescent="0.25">
      <c r="B100" s="1"/>
      <c r="C100" s="1"/>
      <c r="D100" s="1"/>
      <c r="E100" s="1"/>
      <c r="F100" s="1"/>
      <c r="G100" s="36"/>
      <c r="H100" s="1"/>
      <c r="I100" s="36"/>
    </row>
    <row r="101" spans="2:9" x14ac:dyDescent="0.25">
      <c r="B101" s="1"/>
      <c r="C101" s="1"/>
      <c r="D101" s="1"/>
      <c r="E101" s="1"/>
      <c r="F101" s="1"/>
      <c r="G101" s="36"/>
      <c r="H101" s="1"/>
      <c r="I101" s="36"/>
    </row>
    <row r="102" spans="2:9" x14ac:dyDescent="0.25">
      <c r="B102" s="1"/>
      <c r="C102" s="1"/>
      <c r="D102" s="1"/>
      <c r="E102" s="1"/>
      <c r="F102" s="1"/>
      <c r="G102" s="36"/>
      <c r="H102" s="1"/>
      <c r="I102" s="36"/>
    </row>
    <row r="103" spans="2:9" x14ac:dyDescent="0.25">
      <c r="B103" s="1"/>
      <c r="C103" s="1"/>
      <c r="D103" s="1"/>
      <c r="E103" s="1"/>
      <c r="F103" s="1"/>
      <c r="G103" s="36"/>
      <c r="H103" s="1"/>
      <c r="I103" s="36"/>
    </row>
    <row r="104" spans="2:9" x14ac:dyDescent="0.25">
      <c r="B104" s="1"/>
      <c r="C104" s="1"/>
      <c r="D104" s="1"/>
      <c r="E104" s="1"/>
      <c r="F104" s="1"/>
      <c r="G104" s="36"/>
      <c r="H104" s="1"/>
      <c r="I104" s="36"/>
    </row>
    <row r="105" spans="2:9" x14ac:dyDescent="0.25">
      <c r="B105" s="1"/>
      <c r="C105" s="1"/>
      <c r="D105" s="1"/>
      <c r="E105" s="1"/>
      <c r="F105" s="1"/>
      <c r="G105" s="36"/>
      <c r="H105" s="1"/>
      <c r="I105" s="36"/>
    </row>
    <row r="106" spans="2:9" x14ac:dyDescent="0.25">
      <c r="B106" s="1"/>
      <c r="C106" s="1"/>
      <c r="D106" s="1"/>
      <c r="E106" s="1"/>
      <c r="F106" s="1"/>
      <c r="G106" s="36"/>
      <c r="H106" s="1"/>
      <c r="I106" s="36"/>
    </row>
  </sheetData>
  <mergeCells count="3">
    <mergeCell ref="N4:Q4"/>
    <mergeCell ref="N6:Q6"/>
    <mergeCell ref="N8:Q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3BAE8-D99E-422D-89C6-8DE4704DA45F}">
  <sheetPr codeName="Sheet8">
    <tabColor theme="9" tint="0.39997558519241921"/>
  </sheetPr>
  <dimension ref="A1:TV106"/>
  <sheetViews>
    <sheetView zoomScale="80" zoomScaleNormal="80" zoomScaleSheetLayoutView="50" workbookViewId="0">
      <selection activeCell="E35" sqref="E35"/>
    </sheetView>
  </sheetViews>
  <sheetFormatPr defaultRowHeight="15" x14ac:dyDescent="0.25"/>
  <cols>
    <col min="1" max="1" width="19.85546875" customWidth="1"/>
    <col min="2" max="2" width="20.28515625" customWidth="1"/>
    <col min="3" max="3" width="22" customWidth="1"/>
    <col min="4" max="4" width="27.42578125" customWidth="1"/>
    <col min="5" max="5" width="26.140625" customWidth="1"/>
    <col min="6" max="8" width="36" customWidth="1"/>
    <col min="9" max="9" width="24.5703125" customWidth="1"/>
    <col min="10" max="10" width="17.85546875" customWidth="1"/>
    <col min="11" max="11" width="20.85546875" style="26" customWidth="1"/>
    <col min="12" max="12" width="14.7109375" style="26" customWidth="1"/>
    <col min="13" max="13" width="9.140625" style="26"/>
    <col min="16" max="16" width="69" customWidth="1"/>
    <col min="19" max="19" width="11.5703125" customWidth="1"/>
    <col min="20" max="20" width="11.28515625" style="19" customWidth="1"/>
    <col min="21" max="542" width="9.140625" style="19"/>
  </cols>
  <sheetData>
    <row r="1" spans="1:542" ht="15.75" x14ac:dyDescent="0.25">
      <c r="A1" s="81" t="s">
        <v>17</v>
      </c>
      <c r="B1" s="81" t="s">
        <v>16</v>
      </c>
      <c r="C1" s="81" t="s">
        <v>127</v>
      </c>
      <c r="D1" s="82"/>
      <c r="E1">
        <f>LOG(1,2)</f>
        <v>0</v>
      </c>
      <c r="F1" s="1"/>
      <c r="G1" s="36"/>
      <c r="H1" s="36"/>
      <c r="J1" s="23"/>
      <c r="K1" s="103"/>
      <c r="L1" s="103"/>
      <c r="M1" s="103"/>
      <c r="N1" s="23"/>
      <c r="P1" s="8"/>
      <c r="Q1" s="23"/>
      <c r="R1" s="23"/>
      <c r="S1" s="23"/>
      <c r="T1" s="78"/>
      <c r="U1" s="78"/>
      <c r="V1" s="78"/>
      <c r="W1" s="78"/>
    </row>
    <row r="2" spans="1:542" x14ac:dyDescent="0.25">
      <c r="A2" s="8"/>
      <c r="B2" s="9"/>
      <c r="E2" s="9"/>
      <c r="F2" s="8" t="s">
        <v>88</v>
      </c>
      <c r="G2" s="36">
        <f>(F60-F7)/(A60-A7)</f>
        <v>3.0653484212321267</v>
      </c>
      <c r="H2" s="6"/>
      <c r="I2" s="6"/>
      <c r="J2" s="1"/>
      <c r="K2" s="36"/>
      <c r="L2" s="36"/>
      <c r="M2" s="36"/>
      <c r="P2" s="34"/>
      <c r="Q2" s="1"/>
      <c r="R2" s="1"/>
      <c r="S2" s="1"/>
      <c r="T2" s="15"/>
      <c r="U2" s="15"/>
      <c r="V2" s="15"/>
      <c r="W2" s="15"/>
    </row>
    <row r="3" spans="1:542" x14ac:dyDescent="0.25">
      <c r="A3" s="8"/>
      <c r="F3" s="8" t="s">
        <v>89</v>
      </c>
      <c r="G3" s="36">
        <f>0.93*G2</f>
        <v>2.8507740317458778</v>
      </c>
      <c r="K3" s="3"/>
      <c r="L3" s="3"/>
      <c r="M3" s="3"/>
      <c r="Q3" s="1"/>
      <c r="R3" s="1"/>
      <c r="S3" s="1"/>
      <c r="T3" s="15"/>
      <c r="U3" s="15"/>
      <c r="V3" s="15"/>
      <c r="W3" s="15"/>
    </row>
    <row r="4" spans="1:542" s="19" customFormat="1" ht="15.75" thickBot="1" x14ac:dyDescent="0.3">
      <c r="A4" s="24"/>
      <c r="K4" s="104"/>
      <c r="L4" s="104"/>
      <c r="M4" s="104"/>
    </row>
    <row r="5" spans="1:542" s="19" customFormat="1" ht="75" x14ac:dyDescent="0.25">
      <c r="A5" s="106" t="s">
        <v>13</v>
      </c>
      <c r="B5" s="107" t="s">
        <v>12</v>
      </c>
      <c r="C5" s="108" t="s">
        <v>11</v>
      </c>
      <c r="D5" s="108" t="s">
        <v>10</v>
      </c>
      <c r="E5" s="108" t="s">
        <v>9</v>
      </c>
      <c r="F5" s="107" t="s">
        <v>8</v>
      </c>
      <c r="G5" s="107" t="s">
        <v>87</v>
      </c>
      <c r="H5" s="107" t="s">
        <v>83</v>
      </c>
      <c r="I5" s="107" t="s">
        <v>7</v>
      </c>
      <c r="J5" s="108" t="s">
        <v>6</v>
      </c>
      <c r="K5" s="108" t="s">
        <v>230</v>
      </c>
      <c r="L5" s="55"/>
      <c r="M5" s="55"/>
    </row>
    <row r="6" spans="1:542" s="77" customFormat="1" ht="17.25" x14ac:dyDescent="0.25">
      <c r="A6" s="109" t="s">
        <v>5</v>
      </c>
      <c r="B6" s="109" t="s">
        <v>4</v>
      </c>
      <c r="C6" s="110" t="s">
        <v>3</v>
      </c>
      <c r="D6" s="110" t="s">
        <v>3</v>
      </c>
      <c r="E6" s="110" t="s">
        <v>2</v>
      </c>
      <c r="F6" s="109" t="s">
        <v>1</v>
      </c>
      <c r="G6" s="109" t="s">
        <v>1</v>
      </c>
      <c r="H6" s="109" t="s">
        <v>0</v>
      </c>
      <c r="I6" s="109" t="s">
        <v>0</v>
      </c>
      <c r="J6" s="61"/>
      <c r="K6" s="109" t="s">
        <v>0</v>
      </c>
      <c r="L6" s="101"/>
      <c r="M6" s="101"/>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79"/>
      <c r="GA6" s="79"/>
      <c r="GB6" s="79"/>
      <c r="GC6" s="79"/>
      <c r="GD6" s="79"/>
      <c r="GE6" s="79"/>
      <c r="GF6" s="79"/>
      <c r="GG6" s="79"/>
      <c r="GH6" s="79"/>
      <c r="GI6" s="79"/>
      <c r="GJ6" s="79"/>
      <c r="GK6" s="79"/>
      <c r="GL6" s="79"/>
      <c r="GM6" s="79"/>
      <c r="GN6" s="79"/>
      <c r="GO6" s="79"/>
      <c r="GP6" s="79"/>
      <c r="GQ6" s="79"/>
      <c r="GR6" s="79"/>
      <c r="GS6" s="79"/>
      <c r="GT6" s="79"/>
      <c r="GU6" s="79"/>
      <c r="GV6" s="79"/>
      <c r="GW6" s="79"/>
      <c r="GX6" s="79"/>
      <c r="GY6" s="79"/>
      <c r="GZ6" s="79"/>
      <c r="HA6" s="79"/>
      <c r="HB6" s="79"/>
      <c r="HC6" s="79"/>
      <c r="HD6" s="79"/>
      <c r="HE6" s="79"/>
      <c r="HF6" s="79"/>
      <c r="HG6" s="79"/>
      <c r="HH6" s="79"/>
      <c r="HI6" s="79"/>
      <c r="HJ6" s="79"/>
      <c r="HK6" s="79"/>
      <c r="HL6" s="79"/>
      <c r="HM6" s="79"/>
      <c r="HN6" s="79"/>
      <c r="HO6" s="79"/>
      <c r="HP6" s="79"/>
      <c r="HQ6" s="79"/>
      <c r="HR6" s="79"/>
      <c r="HS6" s="79"/>
      <c r="HT6" s="79"/>
      <c r="HU6" s="79"/>
      <c r="HV6" s="79"/>
      <c r="HW6" s="79"/>
      <c r="HX6" s="79"/>
      <c r="HY6" s="79"/>
      <c r="HZ6" s="79"/>
      <c r="IA6" s="79"/>
      <c r="IB6" s="79"/>
      <c r="IC6" s="79"/>
      <c r="ID6" s="79"/>
      <c r="IE6" s="79"/>
      <c r="IF6" s="79"/>
      <c r="IG6" s="79"/>
      <c r="IH6" s="79"/>
      <c r="II6" s="79"/>
      <c r="IJ6" s="79"/>
      <c r="IK6" s="79"/>
      <c r="IL6" s="79"/>
      <c r="IM6" s="79"/>
      <c r="IN6" s="79"/>
      <c r="IO6" s="79"/>
      <c r="IP6" s="79"/>
      <c r="IQ6" s="79"/>
      <c r="IR6" s="79"/>
      <c r="IS6" s="79"/>
      <c r="IT6" s="79"/>
      <c r="IU6" s="79"/>
      <c r="IV6" s="79"/>
      <c r="IW6" s="79"/>
      <c r="IX6" s="79"/>
      <c r="IY6" s="79"/>
      <c r="IZ6" s="79"/>
      <c r="JA6" s="79"/>
      <c r="JB6" s="79"/>
      <c r="JC6" s="79"/>
      <c r="JD6" s="79"/>
      <c r="JE6" s="79"/>
      <c r="JF6" s="79"/>
      <c r="JG6" s="79"/>
      <c r="JH6" s="79"/>
      <c r="JI6" s="79"/>
      <c r="JJ6" s="79"/>
      <c r="JK6" s="79"/>
      <c r="JL6" s="79"/>
      <c r="JM6" s="79"/>
      <c r="JN6" s="79"/>
      <c r="JO6" s="79"/>
      <c r="JP6" s="79"/>
      <c r="JQ6" s="79"/>
      <c r="JR6" s="79"/>
      <c r="JS6" s="79"/>
      <c r="JT6" s="79"/>
      <c r="JU6" s="79"/>
      <c r="JV6" s="79"/>
      <c r="JW6" s="79"/>
      <c r="JX6" s="79"/>
      <c r="JY6" s="79"/>
      <c r="JZ6" s="79"/>
      <c r="KA6" s="79"/>
      <c r="KB6" s="79"/>
      <c r="KC6" s="79"/>
      <c r="KD6" s="79"/>
      <c r="KE6" s="79"/>
      <c r="KF6" s="79"/>
      <c r="KG6" s="79"/>
      <c r="KH6" s="79"/>
      <c r="KI6" s="79"/>
      <c r="KJ6" s="79"/>
      <c r="KK6" s="79"/>
      <c r="KL6" s="79"/>
      <c r="KM6" s="79"/>
      <c r="KN6" s="79"/>
      <c r="KO6" s="79"/>
      <c r="KP6" s="79"/>
      <c r="KQ6" s="79"/>
      <c r="KR6" s="79"/>
      <c r="KS6" s="79"/>
      <c r="KT6" s="79"/>
      <c r="KU6" s="79"/>
      <c r="KV6" s="79"/>
      <c r="KW6" s="79"/>
      <c r="KX6" s="79"/>
      <c r="KY6" s="79"/>
      <c r="KZ6" s="79"/>
      <c r="LA6" s="79"/>
      <c r="LB6" s="79"/>
      <c r="LC6" s="79"/>
      <c r="LD6" s="79"/>
      <c r="LE6" s="79"/>
      <c r="LF6" s="79"/>
      <c r="LG6" s="79"/>
      <c r="LH6" s="79"/>
      <c r="LI6" s="79"/>
      <c r="LJ6" s="79"/>
      <c r="LK6" s="79"/>
      <c r="LL6" s="79"/>
      <c r="LM6" s="79"/>
      <c r="LN6" s="79"/>
      <c r="LO6" s="79"/>
      <c r="LP6" s="79"/>
      <c r="LQ6" s="79"/>
      <c r="LR6" s="79"/>
      <c r="LS6" s="79"/>
      <c r="LT6" s="79"/>
      <c r="LU6" s="79"/>
      <c r="LV6" s="79"/>
      <c r="LW6" s="79"/>
      <c r="LX6" s="79"/>
      <c r="LY6" s="79"/>
      <c r="LZ6" s="79"/>
      <c r="MA6" s="79"/>
      <c r="MB6" s="79"/>
      <c r="MC6" s="79"/>
      <c r="MD6" s="79"/>
      <c r="ME6" s="79"/>
      <c r="MF6" s="79"/>
      <c r="MG6" s="79"/>
      <c r="MH6" s="79"/>
      <c r="MI6" s="79"/>
      <c r="MJ6" s="79"/>
      <c r="MK6" s="79"/>
      <c r="ML6" s="79"/>
      <c r="MM6" s="79"/>
      <c r="MN6" s="79"/>
      <c r="MO6" s="79"/>
      <c r="MP6" s="79"/>
      <c r="MQ6" s="79"/>
      <c r="MR6" s="79"/>
      <c r="MS6" s="79"/>
      <c r="MT6" s="79"/>
      <c r="MU6" s="79"/>
      <c r="MV6" s="79"/>
      <c r="MW6" s="79"/>
      <c r="MX6" s="79"/>
      <c r="MY6" s="79"/>
      <c r="MZ6" s="79"/>
      <c r="NA6" s="79"/>
      <c r="NB6" s="79"/>
      <c r="NC6" s="79"/>
      <c r="ND6" s="79"/>
      <c r="NE6" s="79"/>
      <c r="NF6" s="79"/>
      <c r="NG6" s="79"/>
      <c r="NH6" s="79"/>
      <c r="NI6" s="79"/>
      <c r="NJ6" s="79"/>
      <c r="NK6" s="79"/>
      <c r="NL6" s="79"/>
      <c r="NM6" s="79"/>
      <c r="NN6" s="79"/>
      <c r="NO6" s="79"/>
      <c r="NP6" s="79"/>
      <c r="NQ6" s="79"/>
      <c r="NR6" s="79"/>
      <c r="NS6" s="79"/>
      <c r="NT6" s="79"/>
      <c r="NU6" s="79"/>
      <c r="NV6" s="79"/>
      <c r="NW6" s="79"/>
      <c r="NX6" s="79"/>
      <c r="NY6" s="79"/>
      <c r="NZ6" s="79"/>
      <c r="OA6" s="79"/>
      <c r="OB6" s="79"/>
      <c r="OC6" s="79"/>
      <c r="OD6" s="79"/>
      <c r="OE6" s="79"/>
      <c r="OF6" s="79"/>
      <c r="OG6" s="79"/>
      <c r="OH6" s="79"/>
      <c r="OI6" s="79"/>
      <c r="OJ6" s="79"/>
      <c r="OK6" s="79"/>
      <c r="OL6" s="79"/>
      <c r="OM6" s="79"/>
      <c r="ON6" s="79"/>
      <c r="OO6" s="79"/>
      <c r="OP6" s="79"/>
      <c r="OQ6" s="79"/>
      <c r="OR6" s="79"/>
      <c r="OS6" s="79"/>
      <c r="OT6" s="79"/>
      <c r="OU6" s="79"/>
      <c r="OV6" s="79"/>
      <c r="OW6" s="79"/>
      <c r="OX6" s="79"/>
      <c r="OY6" s="79"/>
      <c r="OZ6" s="79"/>
      <c r="PA6" s="79"/>
      <c r="PB6" s="79"/>
      <c r="PC6" s="79"/>
      <c r="PD6" s="79"/>
      <c r="PE6" s="79"/>
      <c r="PF6" s="79"/>
      <c r="PG6" s="79"/>
      <c r="PH6" s="79"/>
      <c r="PI6" s="79"/>
      <c r="PJ6" s="79"/>
      <c r="PK6" s="79"/>
      <c r="PL6" s="79"/>
      <c r="PM6" s="79"/>
      <c r="PN6" s="79"/>
      <c r="PO6" s="79"/>
      <c r="PP6" s="79"/>
      <c r="PQ6" s="79"/>
      <c r="PR6" s="79"/>
      <c r="PS6" s="79"/>
      <c r="PT6" s="79"/>
      <c r="PU6" s="79"/>
      <c r="PV6" s="79"/>
      <c r="PW6" s="79"/>
      <c r="PX6" s="79"/>
      <c r="PY6" s="79"/>
      <c r="PZ6" s="79"/>
      <c r="QA6" s="79"/>
      <c r="QB6" s="79"/>
      <c r="QC6" s="79"/>
      <c r="QD6" s="79"/>
      <c r="QE6" s="79"/>
      <c r="QF6" s="79"/>
      <c r="QG6" s="79"/>
      <c r="QH6" s="79"/>
      <c r="QI6" s="79"/>
      <c r="QJ6" s="79"/>
      <c r="QK6" s="79"/>
      <c r="QL6" s="79"/>
      <c r="QM6" s="79"/>
      <c r="QN6" s="79"/>
      <c r="QO6" s="79"/>
      <c r="QP6" s="79"/>
      <c r="QQ6" s="79"/>
      <c r="QR6" s="79"/>
      <c r="QS6" s="79"/>
      <c r="QT6" s="79"/>
      <c r="QU6" s="79"/>
      <c r="QV6" s="79"/>
      <c r="QW6" s="79"/>
      <c r="QX6" s="79"/>
      <c r="QY6" s="79"/>
      <c r="QZ6" s="79"/>
      <c r="RA6" s="79"/>
      <c r="RB6" s="79"/>
      <c r="RC6" s="79"/>
      <c r="RD6" s="79"/>
      <c r="RE6" s="79"/>
      <c r="RF6" s="79"/>
      <c r="RG6" s="79"/>
      <c r="RH6" s="79"/>
      <c r="RI6" s="79"/>
      <c r="RJ6" s="79"/>
      <c r="RK6" s="79"/>
      <c r="RL6" s="79"/>
      <c r="RM6" s="79"/>
      <c r="RN6" s="79"/>
      <c r="RO6" s="79"/>
      <c r="RP6" s="79"/>
      <c r="RQ6" s="79"/>
      <c r="RR6" s="79"/>
      <c r="RS6" s="79"/>
      <c r="RT6" s="79"/>
      <c r="RU6" s="79"/>
      <c r="RV6" s="79"/>
      <c r="RW6" s="79"/>
      <c r="RX6" s="79"/>
      <c r="RY6" s="79"/>
      <c r="RZ6" s="79"/>
      <c r="SA6" s="79"/>
      <c r="SB6" s="79"/>
      <c r="SC6" s="79"/>
      <c r="SD6" s="79"/>
      <c r="SE6" s="79"/>
      <c r="SF6" s="79"/>
      <c r="SG6" s="79"/>
      <c r="SH6" s="79"/>
      <c r="SI6" s="79"/>
      <c r="SJ6" s="79"/>
      <c r="SK6" s="79"/>
      <c r="SL6" s="79"/>
      <c r="SM6" s="79"/>
      <c r="SN6" s="79"/>
      <c r="SO6" s="79"/>
      <c r="SP6" s="79"/>
      <c r="SQ6" s="79"/>
      <c r="SR6" s="79"/>
      <c r="SS6" s="79"/>
      <c r="ST6" s="79"/>
      <c r="SU6" s="79"/>
      <c r="SV6" s="79"/>
      <c r="SW6" s="79"/>
      <c r="SX6" s="79"/>
      <c r="SY6" s="79"/>
      <c r="SZ6" s="79"/>
      <c r="TA6" s="79"/>
      <c r="TB6" s="79"/>
      <c r="TC6" s="79"/>
      <c r="TD6" s="79"/>
      <c r="TE6" s="79"/>
      <c r="TF6" s="79"/>
      <c r="TG6" s="79"/>
      <c r="TH6" s="79"/>
      <c r="TI6" s="79"/>
      <c r="TJ6" s="79"/>
      <c r="TK6" s="79"/>
      <c r="TL6" s="79"/>
      <c r="TM6" s="79"/>
      <c r="TN6" s="79"/>
      <c r="TO6" s="79"/>
      <c r="TP6" s="79"/>
      <c r="TQ6" s="79"/>
      <c r="TR6" s="79"/>
      <c r="TS6" s="79"/>
      <c r="TT6" s="79"/>
      <c r="TU6" s="79"/>
      <c r="TV6" s="79"/>
    </row>
    <row r="7" spans="1:542" x14ac:dyDescent="0.25">
      <c r="A7" s="61">
        <v>1</v>
      </c>
      <c r="B7" s="111">
        <f>2.35634 + 1.43309*A7</f>
        <v>3.7894299999999999</v>
      </c>
      <c r="C7" s="119">
        <f xml:space="preserve"> (EXP(0.4346 + 1.2876 * LN(LN(B7+1)) + (SQRT(B7) * (0.0088/2))))</f>
        <v>2.7760352385849836</v>
      </c>
      <c r="D7" s="111">
        <f xml:space="preserve"> 0.6879 + 0.20036 *B7 - 0.0031 * B7^2 + 0.00002 * B7^3</f>
        <v>1.4037231852544685</v>
      </c>
      <c r="E7" s="111">
        <f xml:space="preserve">  3.14*(D7/2)^2</f>
        <v>1.5467944429444465</v>
      </c>
      <c r="F7" s="112">
        <v>1.66872583939085</v>
      </c>
      <c r="G7" s="118">
        <f>H7</f>
        <v>1.66872583939085</v>
      </c>
      <c r="H7" s="120">
        <v>1.66872583939085</v>
      </c>
      <c r="I7" s="120">
        <f>I10/4</f>
        <v>1.6687258393908522</v>
      </c>
      <c r="J7" s="63">
        <f>(H7/E7)*12/44</f>
        <v>0.29422593880041548</v>
      </c>
      <c r="K7" s="64">
        <f>H7*(1+KeyParameters!$B$37)*(1+KeyParameters!$B$50)</f>
        <v>2.7533976349949025</v>
      </c>
      <c r="L7" s="14"/>
      <c r="M7" s="14"/>
    </row>
    <row r="8" spans="1:542" x14ac:dyDescent="0.25">
      <c r="A8" s="61">
        <v>2</v>
      </c>
      <c r="B8" s="111">
        <f t="shared" ref="B8:B49" si="0">2.35634 + 1.43309*A8</f>
        <v>5.2225199999999994</v>
      </c>
      <c r="C8" s="119">
        <f t="shared" ref="C8:C49" si="1" xml:space="preserve"> (EXP(0.4346 + 1.2876 * LN(LN(B8+1)) + (SQRT(B8) * (0.0088/2))))</f>
        <v>3.3922307435813654</v>
      </c>
      <c r="D8" s="111">
        <f t="shared" ref="D8:D49" si="2" xml:space="preserve"> 0.6879 + 0.20036 *B8 - 0.0031 * B8^2 + 0.00002 * B8^3</f>
        <v>1.6525813451411053</v>
      </c>
      <c r="E8" s="111">
        <f t="shared" ref="E8:E38" si="3" xml:space="preserve">  3.14*(D8/2)^2</f>
        <v>2.1438547053120822</v>
      </c>
      <c r="F8" s="112">
        <v>2.2249677858544699</v>
      </c>
      <c r="G8" s="118">
        <f>H8-H7</f>
        <v>0.55624194646361946</v>
      </c>
      <c r="H8" s="120">
        <v>2.2249677858544694</v>
      </c>
      <c r="I8" s="120">
        <f>I10/3</f>
        <v>2.2249677858544694</v>
      </c>
      <c r="J8" s="63">
        <f t="shared" ref="J8:J71" si="4">(H8/E8)*12/44</f>
        <v>0.28304595205942112</v>
      </c>
      <c r="K8" s="64">
        <f>H8*(1+KeyParameters!$B$37)*(1+KeyParameters!$B$50)</f>
        <v>3.6711968466598748</v>
      </c>
      <c r="L8" s="102"/>
      <c r="M8" s="102"/>
    </row>
    <row r="9" spans="1:542" x14ac:dyDescent="0.25">
      <c r="A9" s="61">
        <v>3</v>
      </c>
      <c r="B9" s="111">
        <f t="shared" si="0"/>
        <v>6.6556099999999994</v>
      </c>
      <c r="C9" s="119">
        <f t="shared" si="1"/>
        <v>3.9003383201810755</v>
      </c>
      <c r="D9" s="111">
        <f t="shared" si="2"/>
        <v>1.8899933620908891</v>
      </c>
      <c r="E9" s="111">
        <f xml:space="preserve">  3.14*(D9/2)^2</f>
        <v>2.8040788033668838</v>
      </c>
      <c r="F9" s="112">
        <v>3.3374516787816999</v>
      </c>
      <c r="G9" s="118">
        <f>H9-H8</f>
        <v>1.1124838929272305</v>
      </c>
      <c r="H9" s="120">
        <v>3.3374516787816999</v>
      </c>
      <c r="I9" s="120">
        <f>I10/2</f>
        <v>3.3374516787817043</v>
      </c>
      <c r="J9" s="63">
        <f t="shared" si="4"/>
        <v>0.32460360711699265</v>
      </c>
      <c r="K9" s="64">
        <f>H9*(1+KeyParameters!$B$37)*(1+KeyParameters!$B$50)</f>
        <v>5.5067952699898051</v>
      </c>
      <c r="L9" s="36"/>
      <c r="M9" s="14"/>
    </row>
    <row r="10" spans="1:542" x14ac:dyDescent="0.25">
      <c r="A10" s="61">
        <v>4</v>
      </c>
      <c r="B10" s="111">
        <f t="shared" si="0"/>
        <v>8.0886999999999993</v>
      </c>
      <c r="C10" s="119">
        <f t="shared" si="1"/>
        <v>4.3337819275033116</v>
      </c>
      <c r="D10" s="111">
        <f t="shared" si="2"/>
        <v>2.1163124206094817</v>
      </c>
      <c r="E10" s="111">
        <f t="shared" si="3"/>
        <v>3.5158409353763815</v>
      </c>
      <c r="F10" s="111">
        <f xml:space="preserve"> 1.1678 * C10^2+ 6.704 * C10 - 44.312</f>
        <v>6.6749033575634087</v>
      </c>
      <c r="G10" s="118">
        <f>H10-H9</f>
        <v>3.3374516787817097</v>
      </c>
      <c r="H10" s="118">
        <v>6.6749033575634096</v>
      </c>
      <c r="I10" s="118">
        <f>F10</f>
        <v>6.6749033575634087</v>
      </c>
      <c r="J10" s="63">
        <f t="shared" si="4"/>
        <v>0.51777888189116894</v>
      </c>
      <c r="K10" s="64">
        <f>H10*(1+KeyParameters!$B$37)*(1+KeyParameters!$B$50)</f>
        <v>11.013590539979628</v>
      </c>
    </row>
    <row r="11" spans="1:542" x14ac:dyDescent="0.25">
      <c r="A11" s="61">
        <v>5</v>
      </c>
      <c r="B11" s="111">
        <f t="shared" si="0"/>
        <v>9.5217899999999993</v>
      </c>
      <c r="C11" s="119">
        <f t="shared" si="1"/>
        <v>4.7124617980979329</v>
      </c>
      <c r="D11" s="111">
        <f t="shared" si="2"/>
        <v>2.3318917052025467</v>
      </c>
      <c r="E11" s="111">
        <f t="shared" si="3"/>
        <v>4.2686093559620666</v>
      </c>
      <c r="F11" s="111">
        <f t="shared" ref="F11:F15" si="5" xml:space="preserve"> 1.1678 * C11^2+ 6.704 * C11 - 44.312</f>
        <v>13.214024395094683</v>
      </c>
      <c r="G11" s="118">
        <f>I11-I10</f>
        <v>13.214024395094683</v>
      </c>
      <c r="H11" s="118">
        <f>G11+H10</f>
        <v>19.888927752658091</v>
      </c>
      <c r="I11" s="118">
        <f>I10+F11</f>
        <v>19.888927752658091</v>
      </c>
      <c r="J11" s="63">
        <f t="shared" si="4"/>
        <v>1.2707307160529986</v>
      </c>
      <c r="K11" s="64">
        <f>H11*(1+KeyParameters!$B$37)*(1+KeyParameters!$B$50)</f>
        <v>32.816730791885853</v>
      </c>
    </row>
    <row r="12" spans="1:542" x14ac:dyDescent="0.25">
      <c r="A12" s="61">
        <v>6</v>
      </c>
      <c r="B12" s="111">
        <f t="shared" si="0"/>
        <v>10.954879999999999</v>
      </c>
      <c r="C12" s="119">
        <f t="shared" si="1"/>
        <v>5.0491930031689067</v>
      </c>
      <c r="D12" s="111">
        <f t="shared" si="2"/>
        <v>2.5370844003757451</v>
      </c>
      <c r="E12" s="111">
        <f t="shared" si="3"/>
        <v>5.0528858448845142</v>
      </c>
      <c r="F12" s="111">
        <f t="shared" si="5"/>
        <v>19.31009180368352</v>
      </c>
      <c r="G12" s="118">
        <f t="shared" ref="G12:G59" si="6">I12-I11</f>
        <v>19.31009180368352</v>
      </c>
      <c r="H12" s="118">
        <f t="shared" ref="H12:H75" si="7">G12+H11</f>
        <v>39.199019556341611</v>
      </c>
      <c r="I12" s="118">
        <f>I11+F12</f>
        <v>39.199019556341611</v>
      </c>
      <c r="J12" s="63">
        <f t="shared" si="4"/>
        <v>2.1157496973748504</v>
      </c>
      <c r="K12" s="64">
        <f>H12*(1+KeyParameters!$B$37)*(1+KeyParameters!$B$50)</f>
        <v>64.67838226796367</v>
      </c>
    </row>
    <row r="13" spans="1:542" x14ac:dyDescent="0.25">
      <c r="A13" s="61">
        <v>7</v>
      </c>
      <c r="B13" s="111">
        <f t="shared" si="0"/>
        <v>12.387969999999999</v>
      </c>
      <c r="C13" s="119">
        <f t="shared" si="1"/>
        <v>5.3527217317795754</v>
      </c>
      <c r="D13" s="111">
        <f t="shared" si="2"/>
        <v>2.7322436906347396</v>
      </c>
      <c r="E13" s="111">
        <f t="shared" si="3"/>
        <v>5.8601471342354747</v>
      </c>
      <c r="F13" s="111">
        <f t="shared" si="5"/>
        <v>25.032019931289412</v>
      </c>
      <c r="G13" s="118">
        <f t="shared" si="6"/>
        <v>25.032019931289412</v>
      </c>
      <c r="H13" s="118">
        <f t="shared" si="7"/>
        <v>64.231039487631023</v>
      </c>
      <c r="I13" s="118">
        <f t="shared" ref="I13:I59" si="8">I12+F13</f>
        <v>64.231039487631023</v>
      </c>
      <c r="J13" s="63">
        <f t="shared" si="4"/>
        <v>2.9892690102540813</v>
      </c>
      <c r="K13" s="64">
        <f>H13*(1+KeyParameters!$B$37)*(1+KeyParameters!$B$50)</f>
        <v>105.9812151545912</v>
      </c>
    </row>
    <row r="14" spans="1:542" x14ac:dyDescent="0.25">
      <c r="A14" s="61">
        <v>8</v>
      </c>
      <c r="B14" s="111">
        <f t="shared" si="0"/>
        <v>13.821059999999999</v>
      </c>
      <c r="C14" s="119">
        <f t="shared" si="1"/>
        <v>5.6292894416066979</v>
      </c>
      <c r="D14" s="111">
        <f t="shared" si="2"/>
        <v>2.9177227604851925</v>
      </c>
      <c r="E14" s="111">
        <f t="shared" si="3"/>
        <v>6.6827882940368655</v>
      </c>
      <c r="F14" s="111">
        <f t="shared" si="5"/>
        <v>30.433053389713095</v>
      </c>
      <c r="G14" s="118">
        <f t="shared" si="6"/>
        <v>30.433053389713095</v>
      </c>
      <c r="H14" s="118">
        <f t="shared" si="7"/>
        <v>94.664092877344117</v>
      </c>
      <c r="I14" s="118">
        <f t="shared" si="8"/>
        <v>94.664092877344117</v>
      </c>
      <c r="J14" s="63">
        <f t="shared" si="4"/>
        <v>3.8632796281570916</v>
      </c>
      <c r="K14" s="64">
        <f>H14*(1+KeyParameters!$B$37)*(1+KeyParameters!$B$50)</f>
        <v>156.1957532476178</v>
      </c>
    </row>
    <row r="15" spans="1:542" x14ac:dyDescent="0.25">
      <c r="A15" s="61">
        <v>9</v>
      </c>
      <c r="B15" s="111">
        <f t="shared" si="0"/>
        <v>15.254149999999999</v>
      </c>
      <c r="C15" s="119">
        <f t="shared" si="1"/>
        <v>5.883510064870288</v>
      </c>
      <c r="D15" s="111">
        <f t="shared" si="2"/>
        <v>3.0938747944327671</v>
      </c>
      <c r="E15" s="111">
        <f t="shared" si="3"/>
        <v>7.5140680762467218</v>
      </c>
      <c r="F15" s="111">
        <f t="shared" si="5"/>
        <v>35.555255054999947</v>
      </c>
      <c r="G15" s="118">
        <f t="shared" si="6"/>
        <v>35.555255054999961</v>
      </c>
      <c r="H15" s="118">
        <f t="shared" si="7"/>
        <v>130.21934793234408</v>
      </c>
      <c r="I15" s="118">
        <f>I14+F15</f>
        <v>130.21934793234408</v>
      </c>
      <c r="J15" s="63">
        <f t="shared" si="4"/>
        <v>4.7263835325340118</v>
      </c>
      <c r="K15" s="64">
        <f>H15*(1+KeyParameters!$B$37)*(1+KeyParameters!$B$50)</f>
        <v>214.86192408836777</v>
      </c>
    </row>
    <row r="16" spans="1:542" x14ac:dyDescent="0.25">
      <c r="A16" s="61">
        <v>10</v>
      </c>
      <c r="B16" s="111">
        <f t="shared" si="0"/>
        <v>16.687239999999999</v>
      </c>
      <c r="C16" s="119">
        <f t="shared" si="1"/>
        <v>6.1188932958458144</v>
      </c>
      <c r="D16" s="111">
        <f t="shared" si="2"/>
        <v>3.2610529769831236</v>
      </c>
      <c r="E16" s="111">
        <f t="shared" si="3"/>
        <v>8.3480562171720365</v>
      </c>
      <c r="F16" s="111">
        <f t="shared" ref="F16:F43" si="9" xml:space="preserve"> 1.1678 * C16^2+ 6.704 * C16 - 44.312</f>
        <v>40.432491318143079</v>
      </c>
      <c r="G16" s="118">
        <f>I16-I15</f>
        <v>40.432491318143093</v>
      </c>
      <c r="H16" s="118">
        <f t="shared" si="7"/>
        <v>170.65183925048717</v>
      </c>
      <c r="I16" s="118">
        <f t="shared" si="8"/>
        <v>170.65183925048717</v>
      </c>
      <c r="J16" s="63">
        <f t="shared" si="4"/>
        <v>5.5751194642103821</v>
      </c>
      <c r="K16" s="64">
        <f>H16*(1+KeyParameters!$B$37)*(1+KeyParameters!$B$50)</f>
        <v>281.57553476330389</v>
      </c>
    </row>
    <row r="17" spans="1:11" x14ac:dyDescent="0.25">
      <c r="A17" s="61">
        <v>11</v>
      </c>
      <c r="B17" s="111">
        <f t="shared" si="0"/>
        <v>18.120329999999999</v>
      </c>
      <c r="C17" s="119">
        <f t="shared" si="1"/>
        <v>6.3381726973894787</v>
      </c>
      <c r="D17" s="111">
        <f t="shared" si="2"/>
        <v>3.4196104926419264</v>
      </c>
      <c r="E17" s="111">
        <f t="shared" si="3"/>
        <v>9.1795826982886055</v>
      </c>
      <c r="F17" s="111">
        <f t="shared" si="9"/>
        <v>45.092477186448903</v>
      </c>
      <c r="G17" s="118">
        <f t="shared" si="6"/>
        <v>45.092477186448889</v>
      </c>
      <c r="H17" s="118">
        <f t="shared" si="7"/>
        <v>215.74431643693606</v>
      </c>
      <c r="I17" s="118">
        <f t="shared" si="8"/>
        <v>215.74431643693606</v>
      </c>
      <c r="J17" s="63">
        <f t="shared" si="4"/>
        <v>6.4098076091438232</v>
      </c>
      <c r="K17" s="64">
        <f>H17*(1+KeyParameters!$B$37)*(1+KeyParameters!$B$50)</f>
        <v>355.97812212094453</v>
      </c>
    </row>
    <row r="18" spans="1:11" x14ac:dyDescent="0.25">
      <c r="A18" s="61">
        <v>12</v>
      </c>
      <c r="B18" s="111">
        <f t="shared" si="0"/>
        <v>19.553419999999999</v>
      </c>
      <c r="C18" s="119">
        <f t="shared" si="1"/>
        <v>6.5435200404488043</v>
      </c>
      <c r="D18" s="111">
        <f t="shared" si="2"/>
        <v>3.5699005259148375</v>
      </c>
      <c r="E18" s="111">
        <f t="shared" si="3"/>
        <v>10.004188965467723</v>
      </c>
      <c r="F18" s="111">
        <f t="shared" si="9"/>
        <v>49.558215299338812</v>
      </c>
      <c r="G18" s="118">
        <f t="shared" si="6"/>
        <v>49.558215299338826</v>
      </c>
      <c r="H18" s="118">
        <f t="shared" si="7"/>
        <v>265.30253173627489</v>
      </c>
      <c r="I18" s="118">
        <f t="shared" si="8"/>
        <v>265.30253173627489</v>
      </c>
      <c r="J18" s="63">
        <f t="shared" si="4"/>
        <v>7.2324939260773116</v>
      </c>
      <c r="K18" s="64">
        <f>H18*(1+KeyParameters!$B$37)*(1+KeyParameters!$B$50)</f>
        <v>437.74917736485361</v>
      </c>
    </row>
    <row r="19" spans="1:11" x14ac:dyDescent="0.25">
      <c r="A19" s="61">
        <v>13</v>
      </c>
      <c r="B19" s="111">
        <f t="shared" si="0"/>
        <v>20.986509999999999</v>
      </c>
      <c r="C19" s="119">
        <f t="shared" si="1"/>
        <v>6.7366902174607688</v>
      </c>
      <c r="D19" s="111">
        <f t="shared" si="2"/>
        <v>3.712276261307518</v>
      </c>
      <c r="E19" s="111">
        <f t="shared" si="3"/>
        <v>10.818081106609849</v>
      </c>
      <c r="F19" s="111">
        <f t="shared" si="9"/>
        <v>53.849032879324724</v>
      </c>
      <c r="G19" s="118">
        <f t="shared" si="6"/>
        <v>53.849032879324739</v>
      </c>
      <c r="H19" s="118">
        <f t="shared" si="7"/>
        <v>319.15156461559963</v>
      </c>
      <c r="I19" s="118">
        <f t="shared" si="8"/>
        <v>319.15156461559963</v>
      </c>
      <c r="J19" s="63">
        <f t="shared" si="4"/>
        <v>8.0459126666255241</v>
      </c>
      <c r="K19" s="64">
        <f>H19*(1+KeyParameters!$B$37)*(1+KeyParameters!$B$50)</f>
        <v>526.60008161573944</v>
      </c>
    </row>
    <row r="20" spans="1:11" x14ac:dyDescent="0.25">
      <c r="A20" s="61">
        <v>14</v>
      </c>
      <c r="B20" s="111">
        <f t="shared" si="0"/>
        <v>22.419599999999999</v>
      </c>
      <c r="C20" s="119">
        <f t="shared" si="1"/>
        <v>6.9191221194480841</v>
      </c>
      <c r="D20" s="111">
        <f t="shared" si="2"/>
        <v>3.8470908833256305</v>
      </c>
      <c r="E20" s="111">
        <f t="shared" si="3"/>
        <v>11.618084987685236</v>
      </c>
      <c r="F20" s="111">
        <f xml:space="preserve"> 1.1678 * C20^2+ 6.704 * C20 - 44.312</f>
        <v>57.981344894279331</v>
      </c>
      <c r="G20" s="118">
        <f t="shared" si="6"/>
        <v>57.981344894279346</v>
      </c>
      <c r="H20" s="118">
        <f t="shared" si="7"/>
        <v>377.13290950987897</v>
      </c>
      <c r="I20" s="118">
        <f t="shared" si="8"/>
        <v>377.13290950987897</v>
      </c>
      <c r="J20" s="63">
        <f t="shared" si="4"/>
        <v>8.8529589838043634</v>
      </c>
      <c r="K20" s="64">
        <f>H20*(1+KeyParameters!$B$37)*(1+KeyParameters!$B$50)</f>
        <v>622.26930069130037</v>
      </c>
    </row>
    <row r="21" spans="1:11" x14ac:dyDescent="0.25">
      <c r="A21" s="61">
        <v>15</v>
      </c>
      <c r="B21" s="111">
        <f t="shared" si="0"/>
        <v>23.852689999999999</v>
      </c>
      <c r="C21" s="119">
        <f t="shared" si="1"/>
        <v>7.0920106445400215</v>
      </c>
      <c r="D21" s="111">
        <f t="shared" si="2"/>
        <v>3.9746975764748385</v>
      </c>
      <c r="E21" s="111">
        <f t="shared" si="3"/>
        <v>12.401603347181441</v>
      </c>
      <c r="F21" s="111">
        <f t="shared" si="9"/>
        <v>61.96922633729001</v>
      </c>
      <c r="G21" s="118">
        <f t="shared" si="6"/>
        <v>61.969226337290024</v>
      </c>
      <c r="H21" s="118">
        <f t="shared" si="7"/>
        <v>439.102135847169</v>
      </c>
      <c r="I21" s="118">
        <f t="shared" si="8"/>
        <v>439.102135847169</v>
      </c>
      <c r="J21" s="63">
        <f t="shared" si="4"/>
        <v>9.6564230128788964</v>
      </c>
      <c r="K21" s="64">
        <f>H21*(1+KeyParameters!$B$37)*(1+KeyParameters!$B$50)</f>
        <v>724.51852414782888</v>
      </c>
    </row>
    <row r="22" spans="1:11" x14ac:dyDescent="0.25">
      <c r="A22" s="61">
        <v>16</v>
      </c>
      <c r="B22" s="111">
        <f t="shared" si="0"/>
        <v>25.285779999999999</v>
      </c>
      <c r="C22" s="119">
        <f t="shared" si="1"/>
        <v>7.2563592343005796</v>
      </c>
      <c r="D22" s="111">
        <f t="shared" si="2"/>
        <v>4.0954495252608041</v>
      </c>
      <c r="E22" s="111">
        <f t="shared" si="3"/>
        <v>13.166574848957772</v>
      </c>
      <c r="F22" s="111">
        <f t="shared" si="9"/>
        <v>65.824848582755777</v>
      </c>
      <c r="G22" s="118">
        <f t="shared" si="6"/>
        <v>65.824848582755806</v>
      </c>
      <c r="H22" s="118">
        <f t="shared" si="7"/>
        <v>504.9269844299248</v>
      </c>
      <c r="I22" s="118">
        <f t="shared" si="8"/>
        <v>504.9269844299248</v>
      </c>
      <c r="J22" s="63">
        <f t="shared" si="4"/>
        <v>10.458859723937998</v>
      </c>
      <c r="K22" s="64">
        <f>H22*(1+KeyParameters!$B$37)*(1+KeyParameters!$B$50)</f>
        <v>833.12952430937594</v>
      </c>
    </row>
    <row r="23" spans="1:11" x14ac:dyDescent="0.25">
      <c r="A23" s="61">
        <v>17</v>
      </c>
      <c r="B23" s="111">
        <f t="shared" si="0"/>
        <v>26.718869999999999</v>
      </c>
      <c r="C23" s="119">
        <f t="shared" si="1"/>
        <v>7.413018945172821</v>
      </c>
      <c r="D23" s="111">
        <f t="shared" si="2"/>
        <v>4.209699914189188</v>
      </c>
      <c r="E23" s="111">
        <f t="shared" si="3"/>
        <v>13.911435093506698</v>
      </c>
      <c r="F23" s="111">
        <f xml:space="preserve"> 1.1678 * C23^2+ 6.704 * C23 - 44.312</f>
        <v>69.558817100043981</v>
      </c>
      <c r="G23" s="118">
        <f>I23-I22</f>
        <v>69.558817100043939</v>
      </c>
      <c r="H23" s="118">
        <f>G23+H22</f>
        <v>574.48580152996874</v>
      </c>
      <c r="I23" s="118">
        <f>I22+F23</f>
        <v>574.48580152996874</v>
      </c>
      <c r="J23" s="63">
        <f t="shared" si="4"/>
        <v>11.262529337820844</v>
      </c>
      <c r="K23" s="64">
        <f>H23*(1+KeyParameters!$B$37)*(1+KeyParameters!$B$50)</f>
        <v>947.90157252444851</v>
      </c>
    </row>
    <row r="24" spans="1:11" x14ac:dyDescent="0.25">
      <c r="A24" s="61">
        <v>18</v>
      </c>
      <c r="B24" s="111">
        <f t="shared" si="0"/>
        <v>28.151959999999999</v>
      </c>
      <c r="C24" s="119">
        <f t="shared" si="1"/>
        <v>7.5627180030033188</v>
      </c>
      <c r="D24" s="111">
        <f t="shared" si="2"/>
        <v>4.3178019277656539</v>
      </c>
      <c r="E24" s="111">
        <f t="shared" si="3"/>
        <v>14.635079587622187</v>
      </c>
      <c r="F24" s="111">
        <f t="shared" si="9"/>
        <v>73.180436347981853</v>
      </c>
      <c r="G24" s="118">
        <f t="shared" si="6"/>
        <v>73.180436347981868</v>
      </c>
      <c r="H24" s="118">
        <f t="shared" si="7"/>
        <v>647.66623787795061</v>
      </c>
      <c r="I24" s="118">
        <f t="shared" si="8"/>
        <v>647.66623787795061</v>
      </c>
      <c r="J24" s="63">
        <f t="shared" si="4"/>
        <v>12.069373838142907</v>
      </c>
      <c r="K24" s="64">
        <f>H24*(1+KeyParameters!$B$37)*(1+KeyParameters!$B$50)</f>
        <v>1068.6492924986185</v>
      </c>
    </row>
    <row r="25" spans="1:11" x14ac:dyDescent="0.25">
      <c r="A25" s="61">
        <v>19</v>
      </c>
      <c r="B25" s="111">
        <f t="shared" si="0"/>
        <v>29.585049999999999</v>
      </c>
      <c r="C25" s="119">
        <f t="shared" si="1"/>
        <v>7.7060844991490169</v>
      </c>
      <c r="D25" s="111">
        <f t="shared" si="2"/>
        <v>4.4201087504958636</v>
      </c>
      <c r="E25" s="111">
        <f t="shared" si="3"/>
        <v>15.336828672474931</v>
      </c>
      <c r="F25" s="111">
        <f xml:space="preserve"> 1.1678 * C25^2+ 6.704 * C25 - 44.312</f>
        <v>76.697920078406312</v>
      </c>
      <c r="G25" s="118">
        <f t="shared" si="6"/>
        <v>76.697920078406355</v>
      </c>
      <c r="H25" s="118">
        <f t="shared" si="7"/>
        <v>724.36415795635696</v>
      </c>
      <c r="I25" s="118">
        <f t="shared" si="8"/>
        <v>724.36415795635696</v>
      </c>
      <c r="J25" s="63">
        <f t="shared" si="4"/>
        <v>12.881011158152619</v>
      </c>
      <c r="K25" s="64">
        <f>H25*(1+KeyParameters!$B$37)*(1+KeyParameters!$B$50)</f>
        <v>1195.200860627989</v>
      </c>
    </row>
    <row r="26" spans="1:11" x14ac:dyDescent="0.25">
      <c r="A26" s="61">
        <v>20</v>
      </c>
      <c r="B26" s="111">
        <f t="shared" si="0"/>
        <v>31.018139999999999</v>
      </c>
      <c r="C26" s="119">
        <f t="shared" si="1"/>
        <v>7.8436640575412317</v>
      </c>
      <c r="D26" s="111">
        <f t="shared" si="2"/>
        <v>4.5169735668854791</v>
      </c>
      <c r="E26" s="111">
        <f t="shared" si="3"/>
        <v>16.016394410094573</v>
      </c>
      <c r="F26" s="111">
        <f t="shared" si="9"/>
        <v>80.118560138541866</v>
      </c>
      <c r="G26" s="118">
        <f t="shared" si="6"/>
        <v>80.118560138541852</v>
      </c>
      <c r="H26" s="118">
        <f t="shared" si="7"/>
        <v>804.48271809489881</v>
      </c>
      <c r="I26" s="118">
        <f t="shared" si="8"/>
        <v>804.48271809489881</v>
      </c>
      <c r="J26" s="63">
        <f t="shared" si="4"/>
        <v>13.698737184191858</v>
      </c>
      <c r="K26" s="64">
        <f>H26*(1+KeyParameters!$B$37)*(1+KeyParameters!$B$50)</f>
        <v>1327.3964848565831</v>
      </c>
    </row>
    <row r="27" spans="1:11" x14ac:dyDescent="0.25">
      <c r="A27" s="61">
        <v>21</v>
      </c>
      <c r="B27" s="111">
        <f t="shared" si="0"/>
        <v>32.451230000000002</v>
      </c>
      <c r="C27" s="119">
        <f t="shared" si="1"/>
        <v>7.9759337561772616</v>
      </c>
      <c r="D27" s="111">
        <f t="shared" si="2"/>
        <v>4.6087495614401632</v>
      </c>
      <c r="E27" s="111">
        <f t="shared" si="3"/>
        <v>16.673849428258794</v>
      </c>
      <c r="F27" s="111">
        <f t="shared" si="9"/>
        <v>83.44886332001559</v>
      </c>
      <c r="G27" s="118">
        <f t="shared" si="6"/>
        <v>83.448863320015562</v>
      </c>
      <c r="H27" s="118">
        <f t="shared" si="7"/>
        <v>887.93158141491438</v>
      </c>
      <c r="I27" s="118">
        <f t="shared" si="8"/>
        <v>887.93158141491438</v>
      </c>
      <c r="J27" s="63">
        <f t="shared" si="4"/>
        <v>14.523530370694511</v>
      </c>
      <c r="K27" s="64">
        <f>H27*(1+KeyParameters!$B$37)*(1+KeyParameters!$B$50)</f>
        <v>1465.0871093346088</v>
      </c>
    </row>
    <row r="28" spans="1:11" x14ac:dyDescent="0.25">
      <c r="A28" s="61">
        <v>22</v>
      </c>
      <c r="B28" s="111">
        <f t="shared" si="0"/>
        <v>33.884320000000002</v>
      </c>
      <c r="C28" s="119">
        <f t="shared" si="1"/>
        <v>8.1033132193664112</v>
      </c>
      <c r="D28" s="111">
        <f t="shared" si="2"/>
        <v>4.6957899186655796</v>
      </c>
      <c r="E28" s="111">
        <f t="shared" si="3"/>
        <v>17.309597723789416</v>
      </c>
      <c r="F28" s="111">
        <f t="shared" si="9"/>
        <v>86.694663318799215</v>
      </c>
      <c r="G28" s="118">
        <f t="shared" si="6"/>
        <v>86.694663318799257</v>
      </c>
      <c r="H28" s="118">
        <f t="shared" si="7"/>
        <v>974.62624473371363</v>
      </c>
      <c r="I28" s="118">
        <f t="shared" si="8"/>
        <v>974.62624473371363</v>
      </c>
      <c r="J28" s="63">
        <f t="shared" si="4"/>
        <v>15.356056327602433</v>
      </c>
      <c r="K28" s="64">
        <f>H28*(1+KeyParameters!$B$37)*(1+KeyParameters!$B$50)</f>
        <v>1608.1333038106275</v>
      </c>
    </row>
    <row r="29" spans="1:11" ht="15.75" customHeight="1" x14ac:dyDescent="0.25">
      <c r="A29" s="61">
        <v>23</v>
      </c>
      <c r="B29" s="111">
        <f t="shared" si="0"/>
        <v>35.317410000000002</v>
      </c>
      <c r="C29" s="119">
        <f t="shared" si="1"/>
        <v>8.2261735453590124</v>
      </c>
      <c r="D29" s="111">
        <f t="shared" si="2"/>
        <v>4.7784478230673892</v>
      </c>
      <c r="E29" s="111">
        <f t="shared" si="3"/>
        <v>17.924347424255316</v>
      </c>
      <c r="F29" s="111">
        <f t="shared" si="9"/>
        <v>89.861213101536848</v>
      </c>
      <c r="G29" s="118">
        <f t="shared" si="6"/>
        <v>89.861213101536919</v>
      </c>
      <c r="H29" s="118">
        <f t="shared" si="7"/>
        <v>1064.4874578352506</v>
      </c>
      <c r="I29" s="118">
        <f>I28+F29</f>
        <v>1064.4874578352506</v>
      </c>
      <c r="J29" s="63">
        <f t="shared" si="4"/>
        <v>16.196671173363903</v>
      </c>
      <c r="K29" s="64">
        <f>H29*(1+KeyParameters!$B$37)*(1+KeyParameters!$B$50)</f>
        <v>1756.4043054281633</v>
      </c>
    </row>
    <row r="30" spans="1:11" x14ac:dyDescent="0.25">
      <c r="A30" s="61">
        <v>24</v>
      </c>
      <c r="B30" s="111">
        <f t="shared" si="0"/>
        <v>36.750500000000002</v>
      </c>
      <c r="C30" s="119">
        <f t="shared" si="1"/>
        <v>8.3448445584075532</v>
      </c>
      <c r="D30" s="111">
        <f t="shared" si="2"/>
        <v>4.8570764591512532</v>
      </c>
      <c r="E30" s="111">
        <f t="shared" si="3"/>
        <v>18.519085508082402</v>
      </c>
      <c r="F30" s="111">
        <f t="shared" si="9"/>
        <v>92.953261695676915</v>
      </c>
      <c r="G30" s="118">
        <f t="shared" si="6"/>
        <v>92.953261695676929</v>
      </c>
      <c r="H30" s="118">
        <f t="shared" si="7"/>
        <v>1157.4407195309275</v>
      </c>
      <c r="I30" s="118">
        <f t="shared" si="8"/>
        <v>1157.4407195309275</v>
      </c>
      <c r="J30" s="63">
        <f t="shared" si="4"/>
        <v>17.045423255019482</v>
      </c>
      <c r="K30" s="64">
        <f>H30*(1+KeyParameters!$B$37)*(1+KeyParameters!$B$50)</f>
        <v>1909.7771872260305</v>
      </c>
    </row>
    <row r="31" spans="1:11" x14ac:dyDescent="0.25">
      <c r="A31" s="61">
        <v>25</v>
      </c>
      <c r="B31" s="111">
        <f t="shared" si="0"/>
        <v>38.183590000000002</v>
      </c>
      <c r="C31" s="119">
        <f t="shared" si="1"/>
        <v>8.4596207498730411</v>
      </c>
      <c r="D31" s="111">
        <f t="shared" si="2"/>
        <v>4.932029011422836</v>
      </c>
      <c r="E31" s="111">
        <f t="shared" si="3"/>
        <v>19.095054483070466</v>
      </c>
      <c r="F31" s="111">
        <f t="shared" si="9"/>
        <v>95.9751184851077</v>
      </c>
      <c r="G31" s="118">
        <f t="shared" si="6"/>
        <v>95.975118485107714</v>
      </c>
      <c r="H31" s="118">
        <f t="shared" si="7"/>
        <v>1253.4158380160352</v>
      </c>
      <c r="I31" s="118">
        <f t="shared" si="8"/>
        <v>1253.4158380160352</v>
      </c>
      <c r="J31" s="63">
        <f t="shared" si="4"/>
        <v>17.90205329858345</v>
      </c>
      <c r="K31" s="64">
        <f>H31*(1+KeyParameters!$B$37)*(1+KeyParameters!$B$50)</f>
        <v>2068.1361327264581</v>
      </c>
    </row>
    <row r="32" spans="1:11" x14ac:dyDescent="0.25">
      <c r="A32" s="61">
        <v>26</v>
      </c>
      <c r="B32" s="111">
        <f t="shared" si="0"/>
        <v>39.616680000000002</v>
      </c>
      <c r="C32" s="119">
        <f t="shared" si="1"/>
        <v>8.5707661835117985</v>
      </c>
      <c r="D32" s="111">
        <f t="shared" si="2"/>
        <v>5.0036586643877978</v>
      </c>
      <c r="E32" s="111">
        <f t="shared" si="3"/>
        <v>19.653731023316919</v>
      </c>
      <c r="F32" s="111">
        <f t="shared" si="9"/>
        <v>98.930707399466158</v>
      </c>
      <c r="G32" s="118">
        <f t="shared" si="6"/>
        <v>98.930707399466201</v>
      </c>
      <c r="H32" s="118">
        <f t="shared" si="7"/>
        <v>1352.3465454155014</v>
      </c>
      <c r="I32" s="118">
        <f t="shared" si="8"/>
        <v>1352.3465454155014</v>
      </c>
      <c r="J32" s="63">
        <f t="shared" si="4"/>
        <v>18.765993320848519</v>
      </c>
      <c r="K32" s="64">
        <f>H32*(1+KeyParameters!$B$37)*(1+KeyParameters!$B$50)</f>
        <v>2231.3717999355772</v>
      </c>
    </row>
    <row r="33" spans="1:11" x14ac:dyDescent="0.25">
      <c r="A33" s="61">
        <v>27</v>
      </c>
      <c r="B33" s="111">
        <f t="shared" si="0"/>
        <v>41.049770000000002</v>
      </c>
      <c r="C33" s="119">
        <f t="shared" si="1"/>
        <v>8.6785185748752696</v>
      </c>
      <c r="D33" s="111">
        <f t="shared" si="2"/>
        <v>5.072318602551805</v>
      </c>
      <c r="E33" s="111">
        <f t="shared" si="3"/>
        <v>20.196806564547582</v>
      </c>
      <c r="F33" s="111">
        <f t="shared" si="9"/>
        <v>101.82361286543643</v>
      </c>
      <c r="G33" s="118">
        <f t="shared" si="6"/>
        <v>101.82361286543642</v>
      </c>
      <c r="H33" s="118">
        <f t="shared" si="7"/>
        <v>1454.1701582809378</v>
      </c>
      <c r="I33" s="118">
        <f>I32+F33</f>
        <v>1454.1701582809378</v>
      </c>
      <c r="J33" s="63">
        <f t="shared" si="4"/>
        <v>19.63636479271447</v>
      </c>
      <c r="K33" s="64">
        <f>H33*(1+KeyParameters!$B$37)*(1+KeyParameters!$B$50)</f>
        <v>2399.3807611635475</v>
      </c>
    </row>
    <row r="34" spans="1:11" x14ac:dyDescent="0.25">
      <c r="A34" s="61">
        <v>28</v>
      </c>
      <c r="B34" s="111">
        <f t="shared" si="0"/>
        <v>42.482860000000002</v>
      </c>
      <c r="C34" s="119">
        <f t="shared" si="1"/>
        <v>8.783092706655264</v>
      </c>
      <c r="D34" s="111">
        <f t="shared" si="2"/>
        <v>5.1383620104205132</v>
      </c>
      <c r="E34" s="111">
        <f t="shared" si="3"/>
        <v>20.726169857854202</v>
      </c>
      <c r="F34" s="111">
        <f t="shared" si="9"/>
        <v>104.65711899456078</v>
      </c>
      <c r="G34" s="118">
        <f t="shared" si="6"/>
        <v>104.65711899456073</v>
      </c>
      <c r="H34" s="118">
        <f t="shared" si="7"/>
        <v>1558.8272772754985</v>
      </c>
      <c r="I34" s="118">
        <f t="shared" si="8"/>
        <v>1558.8272772754985</v>
      </c>
      <c r="J34" s="63">
        <f t="shared" si="4"/>
        <v>20.511976641121738</v>
      </c>
      <c r="K34" s="64">
        <f>H34*(1+KeyParameters!$B$37)*(1+KeyParameters!$B$50)</f>
        <v>2572.0650075045728</v>
      </c>
    </row>
    <row r="35" spans="1:11" x14ac:dyDescent="0.25">
      <c r="A35" s="61">
        <v>29</v>
      </c>
      <c r="B35" s="111">
        <f t="shared" si="0"/>
        <v>43.915950000000002</v>
      </c>
      <c r="C35" s="119">
        <f t="shared" si="1"/>
        <v>8.8846833059179655</v>
      </c>
      <c r="D35" s="111">
        <f t="shared" si="2"/>
        <v>5.2021420724995915</v>
      </c>
      <c r="E35" s="111">
        <f t="shared" si="3"/>
        <v>21.243891481839221</v>
      </c>
      <c r="F35" s="111">
        <f t="shared" si="9"/>
        <v>107.43424318084699</v>
      </c>
      <c r="G35" s="118">
        <f t="shared" si="6"/>
        <v>107.43424318084703</v>
      </c>
      <c r="H35" s="118">
        <f t="shared" si="7"/>
        <v>1666.2615204563456</v>
      </c>
      <c r="I35" s="118">
        <f t="shared" si="8"/>
        <v>1666.2615204563456</v>
      </c>
      <c r="J35" s="63">
        <f t="shared" si="4"/>
        <v>21.391323737128904</v>
      </c>
      <c r="K35" s="64">
        <f>H35*(1+KeyParameters!$B$37)*(1+KeyParameters!$B$50)</f>
        <v>2749.3315087529704</v>
      </c>
    </row>
    <row r="36" spans="1:11" x14ac:dyDescent="0.25">
      <c r="A36" s="61">
        <v>30</v>
      </c>
      <c r="B36" s="111">
        <f t="shared" si="0"/>
        <v>45.349040000000002</v>
      </c>
      <c r="C36" s="119">
        <f t="shared" si="1"/>
        <v>8.9834674821094538</v>
      </c>
      <c r="D36" s="111">
        <f t="shared" si="2"/>
        <v>5.2640119732946955</v>
      </c>
      <c r="E36" s="111">
        <f t="shared" si="3"/>
        <v>21.752210313167083</v>
      </c>
      <c r="F36" s="111">
        <f t="shared" si="9"/>
        <v>110.15776504893513</v>
      </c>
      <c r="G36" s="118">
        <f t="shared" si="6"/>
        <v>110.15776504893506</v>
      </c>
      <c r="H36" s="118">
        <f t="shared" si="7"/>
        <v>1776.4192855052806</v>
      </c>
      <c r="I36" s="118">
        <f t="shared" si="8"/>
        <v>1776.4192855052806</v>
      </c>
      <c r="J36" s="63">
        <f t="shared" si="4"/>
        <v>22.272586554696957</v>
      </c>
      <c r="K36" s="64">
        <f>H36*(1+KeyParameters!$B$37)*(1+KeyParameters!$B$50)</f>
        <v>2931.0918210837131</v>
      </c>
    </row>
    <row r="37" spans="1:11" x14ac:dyDescent="0.25">
      <c r="A37" s="61">
        <v>31</v>
      </c>
      <c r="B37" s="111">
        <f t="shared" si="0"/>
        <v>46.782130000000002</v>
      </c>
      <c r="C37" s="119">
        <f t="shared" si="1"/>
        <v>9.0796068041095328</v>
      </c>
      <c r="D37" s="111">
        <f t="shared" si="2"/>
        <v>5.3243248973114961</v>
      </c>
      <c r="E37" s="111">
        <f t="shared" si="3"/>
        <v>22.253521955522892</v>
      </c>
      <c r="F37" s="111">
        <f t="shared" si="9"/>
        <v>112.83025151253396</v>
      </c>
      <c r="G37" s="118">
        <f t="shared" si="6"/>
        <v>112.83025151253401</v>
      </c>
      <c r="H37" s="118">
        <f t="shared" si="7"/>
        <v>1889.2495370178146</v>
      </c>
      <c r="I37" s="118">
        <f t="shared" si="8"/>
        <v>1889.2495370178146</v>
      </c>
      <c r="J37" s="63">
        <f t="shared" si="4"/>
        <v>23.153632704159723</v>
      </c>
      <c r="K37" s="64">
        <f>H37*(1+KeyParameters!$B$37)*(1+KeyParameters!$B$50)</f>
        <v>3117.2617360793943</v>
      </c>
    </row>
    <row r="38" spans="1:11" x14ac:dyDescent="0.25">
      <c r="A38" s="61">
        <v>32</v>
      </c>
      <c r="B38" s="111">
        <f t="shared" si="0"/>
        <v>48.215220000000002</v>
      </c>
      <c r="C38" s="119">
        <f t="shared" si="1"/>
        <v>9.1732490787772338</v>
      </c>
      <c r="D38" s="111">
        <f t="shared" si="2"/>
        <v>5.3834340290556462</v>
      </c>
      <c r="E38" s="111">
        <f t="shared" si="3"/>
        <v>22.750369126977532</v>
      </c>
      <c r="F38" s="111">
        <f t="shared" si="9"/>
        <v>115.45407856077397</v>
      </c>
      <c r="G38" s="118">
        <f t="shared" si="6"/>
        <v>115.45407856077395</v>
      </c>
      <c r="H38" s="118">
        <f t="shared" si="7"/>
        <v>2004.7036155785886</v>
      </c>
      <c r="I38" s="118">
        <f t="shared" si="8"/>
        <v>2004.7036155785886</v>
      </c>
      <c r="J38" s="63">
        <f t="shared" si="4"/>
        <v>24.032021047734421</v>
      </c>
      <c r="K38" s="64">
        <f>H38*(1+KeyParameters!$B$37)*(1+KeyParameters!$B$50)</f>
        <v>3307.760965704671</v>
      </c>
    </row>
    <row r="39" spans="1:11" x14ac:dyDescent="0.25">
      <c r="A39" s="61">
        <v>33</v>
      </c>
      <c r="B39" s="111">
        <f t="shared" si="0"/>
        <v>49.648310000000002</v>
      </c>
      <c r="C39" s="119">
        <f t="shared" si="1"/>
        <v>9.2645298811594259</v>
      </c>
      <c r="D39" s="111">
        <f t="shared" si="2"/>
        <v>5.4416925530328175</v>
      </c>
      <c r="E39" s="111">
        <f xml:space="preserve">  3.14*(D39/2)^2</f>
        <v>23.245434005760266</v>
      </c>
      <c r="F39" s="111">
        <f t="shared" si="9"/>
        <v>118.0314502777794</v>
      </c>
      <c r="G39" s="118">
        <f t="shared" si="6"/>
        <v>118.03145027777919</v>
      </c>
      <c r="H39" s="118">
        <f t="shared" si="7"/>
        <v>2122.7350658563678</v>
      </c>
      <c r="I39" s="118">
        <f t="shared" si="8"/>
        <v>2122.7350658563678</v>
      </c>
      <c r="J39" s="63">
        <f t="shared" si="4"/>
        <v>24.905009090821682</v>
      </c>
      <c r="K39" s="64">
        <f>H39*(1+KeyParameters!$B$37)*(1+KeyParameters!$B$50)</f>
        <v>3502.5128586630071</v>
      </c>
    </row>
    <row r="40" spans="1:11" x14ac:dyDescent="0.25">
      <c r="A40" s="61">
        <v>34</v>
      </c>
      <c r="B40" s="111">
        <f t="shared" si="0"/>
        <v>51.081400000000002</v>
      </c>
      <c r="C40" s="119">
        <f t="shared" si="1"/>
        <v>9.3535738769469408</v>
      </c>
      <c r="D40" s="111">
        <f t="shared" si="2"/>
        <v>5.4994536537486614</v>
      </c>
      <c r="E40" s="111">
        <f xml:space="preserve">  3.14*(D40/2)^2</f>
        <v>23.74153253443766</v>
      </c>
      <c r="F40" s="111">
        <f t="shared" si="9"/>
        <v>120.56441551131492</v>
      </c>
      <c r="G40" s="118">
        <f t="shared" si="6"/>
        <v>120.56441551131502</v>
      </c>
      <c r="H40" s="118">
        <f t="shared" si="7"/>
        <v>2243.2994813676828</v>
      </c>
      <c r="I40" s="118">
        <f t="shared" si="8"/>
        <v>2243.2994813676828</v>
      </c>
      <c r="J40" s="63">
        <f t="shared" si="4"/>
        <v>25.769564309990098</v>
      </c>
      <c r="K40" s="64">
        <f>H40*(1+KeyParameters!$B$37)*(1+KeyParameters!$B$50)</f>
        <v>3701.4441442566767</v>
      </c>
    </row>
    <row r="41" spans="1:11" x14ac:dyDescent="0.25">
      <c r="A41" s="61">
        <v>35</v>
      </c>
      <c r="B41" s="111">
        <f t="shared" si="0"/>
        <v>52.514490000000002</v>
      </c>
      <c r="C41" s="119">
        <f t="shared" si="1"/>
        <v>9.440495970216233</v>
      </c>
      <c r="D41" s="111">
        <f t="shared" si="2"/>
        <v>5.5570705157088529</v>
      </c>
      <c r="E41" s="111">
        <f xml:space="preserve">  3.14*(D41/2)^2</f>
        <v>24.241610682500117</v>
      </c>
      <c r="F41" s="111">
        <f t="shared" si="9"/>
        <v>123.05488253466221</v>
      </c>
      <c r="G41" s="118">
        <f t="shared" si="6"/>
        <v>123.05488253466228</v>
      </c>
      <c r="H41" s="118">
        <f t="shared" si="7"/>
        <v>2366.3543639023451</v>
      </c>
      <c r="I41" s="118">
        <f>I40+F41</f>
        <v>2366.3543639023451</v>
      </c>
      <c r="J41" s="63">
        <f t="shared" si="4"/>
        <v>26.622380023587105</v>
      </c>
      <c r="K41" s="64">
        <f>H41*(1+KeyParameters!$B$37)*(1+KeyParameters!$B$50)</f>
        <v>3904.4847004388694</v>
      </c>
    </row>
    <row r="42" spans="1:11" x14ac:dyDescent="0.25">
      <c r="A42" s="61">
        <v>36</v>
      </c>
      <c r="B42" s="111">
        <f t="shared" si="0"/>
        <v>53.947580000000002</v>
      </c>
      <c r="C42" s="119">
        <f t="shared" si="1"/>
        <v>9.5254023035124078</v>
      </c>
      <c r="D42" s="111">
        <f t="shared" si="2"/>
        <v>5.6148963234190443</v>
      </c>
      <c r="E42" s="111">
        <f xml:space="preserve">  3.14*(D42/2)^2</f>
        <v>24.748742667354591</v>
      </c>
      <c r="F42" s="111">
        <f t="shared" si="9"/>
        <v>125.5046319880495</v>
      </c>
      <c r="G42" s="118">
        <f t="shared" si="6"/>
        <v>125.50463198804937</v>
      </c>
      <c r="H42" s="118">
        <f t="shared" si="7"/>
        <v>2491.8589958903945</v>
      </c>
      <c r="I42" s="118">
        <f t="shared" si="8"/>
        <v>2491.8589958903945</v>
      </c>
      <c r="J42" s="63">
        <f t="shared" si="4"/>
        <v>27.459896331078959</v>
      </c>
      <c r="K42" s="64">
        <f>H42*(1+KeyParameters!$B$37)*(1+KeyParameters!$B$50)</f>
        <v>4111.5673432191506</v>
      </c>
    </row>
    <row r="43" spans="1:11" x14ac:dyDescent="0.25">
      <c r="A43" s="61">
        <v>37</v>
      </c>
      <c r="B43" s="111">
        <f t="shared" si="0"/>
        <v>55.380670000000002</v>
      </c>
      <c r="C43" s="119">
        <f t="shared" si="1"/>
        <v>9.6083911325556972</v>
      </c>
      <c r="D43" s="111">
        <f t="shared" si="2"/>
        <v>5.6732842613849019</v>
      </c>
      <c r="E43" s="111">
        <f xml:space="preserve">  3.14*(D43/2)^2</f>
        <v>25.266131133724944</v>
      </c>
      <c r="F43" s="111">
        <f t="shared" si="9"/>
        <v>127.9153283390345</v>
      </c>
      <c r="G43" s="118">
        <f t="shared" si="6"/>
        <v>127.91532833903466</v>
      </c>
      <c r="H43" s="118">
        <f t="shared" si="7"/>
        <v>2619.7743242294291</v>
      </c>
      <c r="I43" s="118">
        <f t="shared" si="8"/>
        <v>2619.7743242294291</v>
      </c>
      <c r="J43" s="63">
        <f t="shared" si="4"/>
        <v>28.278326540241107</v>
      </c>
      <c r="K43" s="64">
        <f>H43*(1+KeyParameters!$B$37)*(1+KeyParameters!$B$50)</f>
        <v>4322.6276349785585</v>
      </c>
    </row>
    <row r="44" spans="1:11" ht="14.25" customHeight="1" x14ac:dyDescent="0.25">
      <c r="A44" s="66">
        <v>38</v>
      </c>
      <c r="B44" s="111">
        <f t="shared" si="0"/>
        <v>56.813760000000002</v>
      </c>
      <c r="C44" s="119">
        <f t="shared" si="1"/>
        <v>9.6895535940197579</v>
      </c>
      <c r="D44" s="111">
        <f t="shared" si="2"/>
        <v>5.7325875141120886</v>
      </c>
      <c r="E44" s="111">
        <f t="shared" ref="E44:E86" si="10" xml:space="preserve">  3.14*(D44/2)^2</f>
        <v>25.797109291458746</v>
      </c>
      <c r="F44" s="111">
        <f t="shared" ref="F44:F49" si="11" xml:space="preserve"> 1.1678 * C44^2+ 6.704 * C44 - 44.312</f>
        <v>130.28853006295145</v>
      </c>
      <c r="G44" s="118">
        <f t="shared" si="6"/>
        <v>130.28853006295139</v>
      </c>
      <c r="H44" s="118">
        <f t="shared" si="7"/>
        <v>2750.0628542923805</v>
      </c>
      <c r="I44" s="118">
        <f t="shared" si="8"/>
        <v>2750.0628542923805</v>
      </c>
      <c r="J44" s="63">
        <f t="shared" si="4"/>
        <v>29.073689365965741</v>
      </c>
      <c r="K44" s="64">
        <f>H44*(1+KeyParameters!$B$37)*(1+KeyParameters!$B$50)</f>
        <v>4537.6037095824277</v>
      </c>
    </row>
    <row r="45" spans="1:11" x14ac:dyDescent="0.25">
      <c r="A45" s="66">
        <v>39</v>
      </c>
      <c r="B45" s="111">
        <f t="shared" si="0"/>
        <v>58.246850000000002</v>
      </c>
      <c r="C45" s="119">
        <f t="shared" si="1"/>
        <v>9.7689743817333916</v>
      </c>
      <c r="D45" s="111">
        <f t="shared" si="2"/>
        <v>5.7931592661062616</v>
      </c>
      <c r="E45" s="111">
        <f t="shared" si="10"/>
        <v>26.345145011741177</v>
      </c>
      <c r="F45" s="111">
        <f t="shared" si="11"/>
        <v>132.62569871313161</v>
      </c>
      <c r="G45" s="118">
        <f t="shared" si="6"/>
        <v>132.62569871313144</v>
      </c>
      <c r="H45" s="118">
        <f t="shared" si="7"/>
        <v>2882.6885530055119</v>
      </c>
      <c r="I45" s="118">
        <f t="shared" si="8"/>
        <v>2882.6885530055119</v>
      </c>
      <c r="J45" s="63">
        <f t="shared" si="4"/>
        <v>29.841847020881573</v>
      </c>
      <c r="K45" s="64">
        <f>H45*(1+KeyParameters!$B$37)*(1+KeyParameters!$B$50)</f>
        <v>4756.4361124590951</v>
      </c>
    </row>
    <row r="46" spans="1:11" x14ac:dyDescent="0.25">
      <c r="A46" s="66">
        <v>40</v>
      </c>
      <c r="B46" s="111">
        <f t="shared" si="0"/>
        <v>59.679940000000002</v>
      </c>
      <c r="C46" s="119">
        <f t="shared" si="1"/>
        <v>9.8467323441413654</v>
      </c>
      <c r="D46" s="111">
        <f t="shared" si="2"/>
        <v>5.8553527018730938</v>
      </c>
      <c r="E46" s="111">
        <f t="shared" si="10"/>
        <v>26.913846881716047</v>
      </c>
      <c r="F46" s="111">
        <f t="shared" si="11"/>
        <v>134.92820702471482</v>
      </c>
      <c r="G46" s="118">
        <f t="shared" si="6"/>
        <v>134.92820702471499</v>
      </c>
      <c r="H46" s="118">
        <f t="shared" si="7"/>
        <v>3017.6167600302269</v>
      </c>
      <c r="I46" s="118">
        <f t="shared" si="8"/>
        <v>3017.6167600302269</v>
      </c>
      <c r="J46" s="63">
        <f t="shared" si="4"/>
        <v>30.578549128116265</v>
      </c>
      <c r="K46" s="64">
        <f>H46*(1+KeyParameters!$B$37)*(1+KeyParameters!$B$50)</f>
        <v>4979.0676540498744</v>
      </c>
    </row>
    <row r="47" spans="1:11" x14ac:dyDescent="0.25">
      <c r="A47" s="66">
        <v>41</v>
      </c>
      <c r="B47" s="111">
        <f t="shared" si="0"/>
        <v>61.113030000000002</v>
      </c>
      <c r="C47" s="119">
        <f t="shared" si="1"/>
        <v>9.9229010138050953</v>
      </c>
      <c r="D47" s="111">
        <f t="shared" si="2"/>
        <v>5.9195210059182353</v>
      </c>
      <c r="E47" s="111">
        <f t="shared" si="10"/>
        <v>27.50697221751318</v>
      </c>
      <c r="F47" s="111">
        <f t="shared" si="11"/>
        <v>137.19734617441964</v>
      </c>
      <c r="G47" s="118">
        <f t="shared" si="6"/>
        <v>137.19734617441964</v>
      </c>
      <c r="H47" s="118">
        <f t="shared" si="7"/>
        <v>3154.8141062046466</v>
      </c>
      <c r="I47" s="118">
        <f t="shared" si="8"/>
        <v>3154.8141062046466</v>
      </c>
      <c r="J47" s="63">
        <f t="shared" si="4"/>
        <v>31.279482174301926</v>
      </c>
      <c r="K47" s="64">
        <f>H47*(1+KeyParameters!$B$37)*(1+KeyParameters!$B$50)</f>
        <v>5205.443275237667</v>
      </c>
    </row>
    <row r="48" spans="1:11" x14ac:dyDescent="0.25">
      <c r="A48" s="66">
        <v>42</v>
      </c>
      <c r="B48" s="111">
        <f t="shared" si="0"/>
        <v>62.546120000000002</v>
      </c>
      <c r="C48" s="119">
        <f t="shared" si="1"/>
        <v>9.9975490780373715</v>
      </c>
      <c r="D48" s="111">
        <f t="shared" si="2"/>
        <v>5.986017362747357</v>
      </c>
      <c r="E48" s="111">
        <f t="shared" si="10"/>
        <v>28.128437035683568</v>
      </c>
      <c r="F48" s="111">
        <f t="shared" si="11"/>
        <v>139.43433230079955</v>
      </c>
      <c r="G48" s="118">
        <f t="shared" si="6"/>
        <v>139.43433230079972</v>
      </c>
      <c r="H48" s="118">
        <f t="shared" si="7"/>
        <v>3294.2484385054463</v>
      </c>
      <c r="I48" s="118">
        <f t="shared" si="8"/>
        <v>3294.2484385054463</v>
      </c>
      <c r="J48" s="63">
        <f t="shared" si="4"/>
        <v>31.940323992403933</v>
      </c>
      <c r="K48" s="64">
        <f>H48*(1+KeyParameters!$B$37)*(1+KeyParameters!$B$50)</f>
        <v>5435.5099235339867</v>
      </c>
    </row>
    <row r="49" spans="1:542" x14ac:dyDescent="0.25">
      <c r="A49" s="66">
        <v>43</v>
      </c>
      <c r="B49" s="111">
        <f t="shared" si="0"/>
        <v>63.979210000000002</v>
      </c>
      <c r="C49" s="119">
        <f t="shared" si="1"/>
        <v>10.070740798373778</v>
      </c>
      <c r="D49" s="111">
        <f t="shared" si="2"/>
        <v>6.0551949568661154</v>
      </c>
      <c r="E49" s="111">
        <f t="shared" si="10"/>
        <v>28.78232798304062</v>
      </c>
      <c r="F49" s="111">
        <f t="shared" si="11"/>
        <v>141.64031237459142</v>
      </c>
      <c r="G49" s="118">
        <f t="shared" si="6"/>
        <v>141.6403123745913</v>
      </c>
      <c r="H49" s="118">
        <f t="shared" si="7"/>
        <v>3435.8887508800376</v>
      </c>
      <c r="I49" s="118">
        <f t="shared" si="8"/>
        <v>3435.8887508800376</v>
      </c>
      <c r="J49" s="63">
        <f t="shared" si="4"/>
        <v>32.556802527369285</v>
      </c>
      <c r="K49" s="64">
        <f>H49*(1+KeyParameters!$B$37)*(1+KeyParameters!$B$50)</f>
        <v>5669.2164389520622</v>
      </c>
    </row>
    <row r="50" spans="1:542" s="19" customFormat="1" x14ac:dyDescent="0.25">
      <c r="A50" s="66">
        <v>44</v>
      </c>
      <c r="B50" s="62">
        <f>2.35634 + 1.43309*A50</f>
        <v>65.412300000000002</v>
      </c>
      <c r="C50" s="121">
        <f xml:space="preserve"> (EXP(0.4346 + 1.2876 * LN(LN(B50+1)) + (SQRT(B50) * (0.0088/2))))</f>
        <v>10.142536385430592</v>
      </c>
      <c r="D50" s="62">
        <f xml:space="preserve"> 0.6879 + 0.20036 *B50 - 0.0031 * B50^2 + 0.00002 * B50^3</f>
        <v>6.1274069727801805</v>
      </c>
      <c r="E50" s="62">
        <f t="shared" si="10"/>
        <v>29.472916224909017</v>
      </c>
      <c r="F50" s="62">
        <f xml:space="preserve"> 1.1678 * C50^2+ 6.704 * C50 - 44.312</f>
        <v>143.81636949624777</v>
      </c>
      <c r="G50" s="118">
        <f t="shared" si="6"/>
        <v>143.81636949624772</v>
      </c>
      <c r="H50" s="118">
        <f t="shared" si="7"/>
        <v>3579.7051203762853</v>
      </c>
      <c r="I50" s="118">
        <f t="shared" si="8"/>
        <v>3579.7051203762853</v>
      </c>
      <c r="J50" s="63">
        <f t="shared" si="4"/>
        <v>33.124757903087058</v>
      </c>
      <c r="K50" s="64">
        <f>H50*(1+KeyParameters!$B$37)*(1+KeyParameters!$B$50)</f>
        <v>5906.5134486208708</v>
      </c>
      <c r="L50" s="105"/>
      <c r="M50" s="105"/>
    </row>
    <row r="51" spans="1:542" s="19" customFormat="1" x14ac:dyDescent="0.25">
      <c r="A51" s="66">
        <v>45</v>
      </c>
      <c r="B51" s="62">
        <f t="shared" ref="B51:B60" si="12">2.35634 + 1.43309*A51</f>
        <v>66.845389999999995</v>
      </c>
      <c r="C51" s="121">
        <f t="shared" ref="C51:C86" si="13" xml:space="preserve"> (EXP(0.4346 + 1.2876 * LN(LN(B51+1)) + (SQRT(B51) * (0.0088/2))))</f>
        <v>10.212992334739267</v>
      </c>
      <c r="D51" s="62">
        <f t="shared" ref="D51:D60" si="14" xml:space="preserve"> 0.6879 + 0.20036 *B51 - 0.0031 * B51^2 + 0.00002 * B51^3</f>
        <v>6.2030065949952053</v>
      </c>
      <c r="E51" s="62">
        <f t="shared" si="10"/>
        <v>30.204673291779901</v>
      </c>
      <c r="F51" s="62">
        <f t="shared" ref="F51:F59" si="15" xml:space="preserve"> 1.1678 * C51^2+ 6.704 * C51 - 44.312</f>
        <v>145.96352768719561</v>
      </c>
      <c r="G51" s="118">
        <f t="shared" si="6"/>
        <v>145.96352768719544</v>
      </c>
      <c r="H51" s="118">
        <f t="shared" si="7"/>
        <v>3725.6686480634808</v>
      </c>
      <c r="I51" s="118">
        <f t="shared" si="8"/>
        <v>3725.6686480634808</v>
      </c>
      <c r="J51" s="63">
        <f t="shared" si="4"/>
        <v>33.640206588441536</v>
      </c>
      <c r="K51" s="64">
        <f>H51*(1+KeyParameters!$B$37)*(1+KeyParameters!$B$50)</f>
        <v>6147.3532693047437</v>
      </c>
      <c r="L51" s="105"/>
      <c r="M51" s="105"/>
    </row>
    <row r="52" spans="1:542" s="19" customFormat="1" x14ac:dyDescent="0.25">
      <c r="A52" s="66">
        <v>46</v>
      </c>
      <c r="B52" s="62">
        <f t="shared" si="12"/>
        <v>68.278480000000002</v>
      </c>
      <c r="C52" s="121">
        <f t="shared" si="13"/>
        <v>10.282161728345882</v>
      </c>
      <c r="D52" s="62">
        <f t="shared" si="14"/>
        <v>6.282347008016858</v>
      </c>
      <c r="E52" s="62">
        <f t="shared" si="10"/>
        <v>30.98228888437362</v>
      </c>
      <c r="F52" s="62">
        <f t="shared" si="15"/>
        <v>148.08275623245061</v>
      </c>
      <c r="G52" s="118">
        <f t="shared" si="6"/>
        <v>148.08275623245072</v>
      </c>
      <c r="H52" s="118">
        <f t="shared" si="7"/>
        <v>3873.7514042959315</v>
      </c>
      <c r="I52" s="118">
        <f t="shared" si="8"/>
        <v>3873.7514042959315</v>
      </c>
      <c r="J52" s="63">
        <f t="shared" si="4"/>
        <v>34.099406265943202</v>
      </c>
      <c r="K52" s="64">
        <f>H52*(1+KeyParameters!$B$37)*(1+KeyParameters!$B$50)</f>
        <v>6391.6898170882878</v>
      </c>
      <c r="L52" s="105"/>
      <c r="M52" s="105"/>
    </row>
    <row r="53" spans="1:542" s="19" customFormat="1" x14ac:dyDescent="0.25">
      <c r="A53" s="66">
        <v>47</v>
      </c>
      <c r="B53" s="62">
        <f t="shared" si="12"/>
        <v>69.711570000000009</v>
      </c>
      <c r="C53" s="121">
        <f t="shared" si="13"/>
        <v>10.350094506290601</v>
      </c>
      <c r="D53" s="62">
        <f t="shared" si="14"/>
        <v>6.3657813963508003</v>
      </c>
      <c r="E53" s="62">
        <f t="shared" si="10"/>
        <v>31.81069063710887</v>
      </c>
      <c r="F53" s="62">
        <f t="shared" si="15"/>
        <v>150.17497362463791</v>
      </c>
      <c r="G53" s="118">
        <f t="shared" si="6"/>
        <v>150.17497362463791</v>
      </c>
      <c r="H53" s="118">
        <f t="shared" si="7"/>
        <v>4023.9263779205694</v>
      </c>
      <c r="I53" s="118">
        <f t="shared" si="8"/>
        <v>4023.9263779205694</v>
      </c>
      <c r="J53" s="63">
        <f t="shared" si="4"/>
        <v>34.498919851346891</v>
      </c>
      <c r="K53" s="64">
        <f>H53*(1+KeyParameters!$B$37)*(1+KeyParameters!$B$50)</f>
        <v>6639.4785235689396</v>
      </c>
      <c r="L53" s="105"/>
      <c r="M53" s="105"/>
    </row>
    <row r="54" spans="1:542" s="19" customFormat="1" x14ac:dyDescent="0.25">
      <c r="A54" s="66">
        <v>48</v>
      </c>
      <c r="B54" s="62">
        <f t="shared" si="12"/>
        <v>71.144660000000002</v>
      </c>
      <c r="C54" s="121">
        <f t="shared" si="13"/>
        <v>10.416837711515566</v>
      </c>
      <c r="D54" s="62">
        <f t="shared" si="14"/>
        <v>6.4536629445026934</v>
      </c>
      <c r="E54" s="62">
        <f t="shared" si="10"/>
        <v>32.69506583997903</v>
      </c>
      <c r="F54" s="62">
        <f t="shared" si="15"/>
        <v>152.24105115302444</v>
      </c>
      <c r="G54" s="118">
        <f t="shared" si="6"/>
        <v>152.24105115302427</v>
      </c>
      <c r="H54" s="118">
        <f t="shared" si="7"/>
        <v>4176.1674290735937</v>
      </c>
      <c r="I54" s="118">
        <f t="shared" si="8"/>
        <v>4176.1674290735937</v>
      </c>
      <c r="J54" s="63">
        <f t="shared" si="4"/>
        <v>34.835677008822863</v>
      </c>
      <c r="K54" s="64">
        <f>H54*(1+KeyParameters!$B$37)*(1+KeyParameters!$B$50)</f>
        <v>6890.6762579714295</v>
      </c>
      <c r="L54" s="105"/>
      <c r="M54" s="105"/>
    </row>
    <row r="55" spans="1:542" s="19" customFormat="1" x14ac:dyDescent="0.25">
      <c r="A55" s="66">
        <v>49</v>
      </c>
      <c r="B55" s="62">
        <f t="shared" si="12"/>
        <v>72.577749999999995</v>
      </c>
      <c r="C55" s="121">
        <f t="shared" si="13"/>
        <v>10.482435711270528</v>
      </c>
      <c r="D55" s="62">
        <f t="shared" si="14"/>
        <v>6.5463448369781974</v>
      </c>
      <c r="E55" s="62">
        <f t="shared" si="10"/>
        <v>33.640885118835413</v>
      </c>
      <c r="F55" s="62">
        <f t="shared" si="15"/>
        <v>154.28181617566355</v>
      </c>
      <c r="G55" s="118">
        <f t="shared" si="6"/>
        <v>154.28181617566315</v>
      </c>
      <c r="H55" s="118">
        <f t="shared" si="7"/>
        <v>4330.4492452492568</v>
      </c>
      <c r="I55" s="118">
        <f t="shared" si="8"/>
        <v>4330.4492452492568</v>
      </c>
      <c r="J55" s="63">
        <f t="shared" si="4"/>
        <v>35.107031463909102</v>
      </c>
      <c r="K55" s="64">
        <f>H55*(1+KeyParameters!$B$37)*(1+KeyParameters!$B$50)</f>
        <v>7145.2412546612741</v>
      </c>
      <c r="L55" s="105"/>
      <c r="M55" s="105"/>
    </row>
    <row r="56" spans="1:542" s="19" customFormat="1" x14ac:dyDescent="0.25">
      <c r="A56" s="66">
        <v>50</v>
      </c>
      <c r="B56" s="62">
        <f t="shared" si="12"/>
        <v>74.010840000000002</v>
      </c>
      <c r="C56" s="121">
        <f t="shared" si="13"/>
        <v>10.546930397678702</v>
      </c>
      <c r="D56" s="62">
        <f t="shared" si="14"/>
        <v>6.644180258282983</v>
      </c>
      <c r="E56" s="62">
        <f t="shared" si="10"/>
        <v>34.653928074077498</v>
      </c>
      <c r="F56" s="62">
        <f t="shared" si="15"/>
        <v>156.29805510801884</v>
      </c>
      <c r="G56" s="118">
        <f t="shared" si="6"/>
        <v>156.29805510801907</v>
      </c>
      <c r="H56" s="118">
        <f t="shared" si="7"/>
        <v>4486.7473003572759</v>
      </c>
      <c r="I56" s="118">
        <f t="shared" si="8"/>
        <v>4486.7473003572759</v>
      </c>
      <c r="J56" s="63">
        <f t="shared" si="4"/>
        <v>35.310812443171137</v>
      </c>
      <c r="K56" s="64">
        <f>H56*(1+KeyParameters!$B$37)*(1+KeyParameters!$B$50)</f>
        <v>7403.1330455895049</v>
      </c>
      <c r="L56" s="105"/>
      <c r="M56" s="105"/>
    </row>
    <row r="57" spans="1:542" s="19" customFormat="1" ht="18.75" customHeight="1" x14ac:dyDescent="0.25">
      <c r="A57" s="66">
        <v>51</v>
      </c>
      <c r="B57" s="62">
        <f t="shared" si="12"/>
        <v>75.443930000000009</v>
      </c>
      <c r="C57" s="121">
        <f t="shared" si="13"/>
        <v>10.610361369779445</v>
      </c>
      <c r="D57" s="62">
        <f t="shared" si="14"/>
        <v>6.7475223929227006</v>
      </c>
      <c r="E57" s="62">
        <f t="shared" si="10"/>
        <v>35.740310877749735</v>
      </c>
      <c r="F57" s="62">
        <f t="shared" si="15"/>
        <v>158.29051615737762</v>
      </c>
      <c r="G57" s="118">
        <f t="shared" si="6"/>
        <v>158.29051615737808</v>
      </c>
      <c r="H57" s="118">
        <f t="shared" si="7"/>
        <v>4645.037816514654</v>
      </c>
      <c r="I57" s="118">
        <f t="shared" si="8"/>
        <v>4645.037816514654</v>
      </c>
      <c r="J57" s="63">
        <f t="shared" si="4"/>
        <v>35.44536866918402</v>
      </c>
      <c r="K57" s="64">
        <f>H57*(1+KeyParameters!$B$37)*(1+KeyParameters!$B$50)</f>
        <v>7664.3123972491794</v>
      </c>
      <c r="L57" s="105"/>
      <c r="M57" s="105"/>
    </row>
    <row r="58" spans="1:542" s="19" customFormat="1" x14ac:dyDescent="0.25">
      <c r="A58" s="66">
        <v>52</v>
      </c>
      <c r="B58" s="62">
        <f t="shared" si="12"/>
        <v>76.877020000000002</v>
      </c>
      <c r="C58" s="121">
        <f t="shared" si="13"/>
        <v>10.672766099068836</v>
      </c>
      <c r="D58" s="62">
        <f t="shared" si="14"/>
        <v>6.8567244254030211</v>
      </c>
      <c r="E58" s="62">
        <f t="shared" si="10"/>
        <v>36.906515829045937</v>
      </c>
      <c r="F58" s="62">
        <f t="shared" si="15"/>
        <v>160.25991182886213</v>
      </c>
      <c r="G58" s="118">
        <f t="shared" si="6"/>
        <v>160.25991182886173</v>
      </c>
      <c r="H58" s="118">
        <f t="shared" si="7"/>
        <v>4805.2977283435157</v>
      </c>
      <c r="I58" s="118">
        <f t="shared" si="8"/>
        <v>4805.2977283435157</v>
      </c>
      <c r="J58" s="63">
        <f t="shared" si="4"/>
        <v>35.50960351186216</v>
      </c>
      <c r="K58" s="64">
        <f>H58*(1+KeyParameters!$B$37)*(1+KeyParameters!$B$50)</f>
        <v>7928.7412517668017</v>
      </c>
      <c r="L58" s="105"/>
      <c r="M58" s="105"/>
    </row>
    <row r="59" spans="1:542" s="19" customFormat="1" x14ac:dyDescent="0.25">
      <c r="A59" s="66">
        <v>53</v>
      </c>
      <c r="B59" s="62">
        <f t="shared" si="12"/>
        <v>78.310109999999995</v>
      </c>
      <c r="C59" s="121">
        <f t="shared" si="13"/>
        <v>10.734180080306045</v>
      </c>
      <c r="D59" s="62">
        <f t="shared" si="14"/>
        <v>6.9721395402296036</v>
      </c>
      <c r="E59" s="62">
        <f t="shared" si="10"/>
        <v>38.159422868219963</v>
      </c>
      <c r="F59" s="62">
        <f t="shared" si="15"/>
        <v>162.20692122581329</v>
      </c>
      <c r="G59" s="118">
        <f t="shared" si="6"/>
        <v>162.20692122581295</v>
      </c>
      <c r="H59" s="118">
        <f t="shared" si="7"/>
        <v>4967.5046495693286</v>
      </c>
      <c r="I59" s="118">
        <f t="shared" si="8"/>
        <v>4967.5046495693286</v>
      </c>
      <c r="J59" s="63">
        <f t="shared" si="4"/>
        <v>35.503000137493594</v>
      </c>
      <c r="K59" s="64">
        <f>H59*(1+KeyParameters!$B$37)*(1+KeyParameters!$B$50)</f>
        <v>8196.3826717893917</v>
      </c>
      <c r="L59" s="105"/>
      <c r="M59" s="105"/>
    </row>
    <row r="60" spans="1:542" s="12" customFormat="1" x14ac:dyDescent="0.25">
      <c r="A60" s="67">
        <v>54</v>
      </c>
      <c r="B60" s="112">
        <f t="shared" si="12"/>
        <v>79.743200000000002</v>
      </c>
      <c r="C60" s="122">
        <f t="shared" si="13"/>
        <v>10.794636969135803</v>
      </c>
      <c r="D60" s="112">
        <f t="shared" si="14"/>
        <v>7.0941209219081145</v>
      </c>
      <c r="E60" s="112">
        <f t="shared" si="10"/>
        <v>39.506343048903737</v>
      </c>
      <c r="F60" s="112">
        <v>164.13219216469355</v>
      </c>
      <c r="G60" s="120">
        <f>I60-I59</f>
        <v>164.13219216469315</v>
      </c>
      <c r="H60" s="120">
        <f t="shared" si="7"/>
        <v>5131.6368417340218</v>
      </c>
      <c r="I60" s="120">
        <f>F60+I59</f>
        <v>5131.6368417340218</v>
      </c>
      <c r="J60" s="68">
        <f t="shared" si="4"/>
        <v>35.425635795762439</v>
      </c>
      <c r="K60" s="64">
        <f>H60*(1+KeyParameters!$B$37)*(1+KeyParameters!$B$50)</f>
        <v>8467.2007888611352</v>
      </c>
      <c r="L60" s="105"/>
      <c r="M60" s="105"/>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c r="EG60" s="19"/>
      <c r="EH60" s="19"/>
      <c r="EI60" s="19"/>
      <c r="EJ60" s="19"/>
      <c r="EK60" s="19"/>
      <c r="EL60" s="19"/>
      <c r="EM60" s="19"/>
      <c r="EN60" s="19"/>
      <c r="EO60" s="19"/>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9"/>
      <c r="FP60" s="19"/>
      <c r="FQ60" s="19"/>
      <c r="FR60" s="19"/>
      <c r="FS60" s="19"/>
      <c r="FT60" s="19"/>
      <c r="FU60" s="19"/>
      <c r="FV60" s="19"/>
      <c r="FW60" s="19"/>
      <c r="FX60" s="19"/>
      <c r="FY60" s="19"/>
      <c r="FZ60" s="19"/>
      <c r="GA60" s="19"/>
      <c r="GB60" s="19"/>
      <c r="GC60" s="19"/>
      <c r="GD60" s="19"/>
      <c r="GE60" s="19"/>
      <c r="GF60" s="19"/>
      <c r="GG60" s="19"/>
      <c r="GH60" s="19"/>
      <c r="GI60" s="19"/>
      <c r="GJ60" s="19"/>
      <c r="GK60" s="19"/>
      <c r="GL60" s="19"/>
      <c r="GM60" s="19"/>
      <c r="GN60" s="19"/>
      <c r="GO60" s="19"/>
      <c r="GP60" s="19"/>
      <c r="GQ60" s="19"/>
      <c r="GR60" s="19"/>
      <c r="GS60" s="19"/>
      <c r="GT60" s="19"/>
      <c r="GU60" s="19"/>
      <c r="GV60" s="19"/>
      <c r="GW60" s="19"/>
      <c r="GX60" s="19"/>
      <c r="GY60" s="19"/>
      <c r="GZ60" s="19"/>
      <c r="HA60" s="19"/>
      <c r="HB60" s="19"/>
      <c r="HC60" s="19"/>
      <c r="HD60" s="19"/>
      <c r="HE60" s="19"/>
      <c r="HF60" s="19"/>
      <c r="HG60" s="19"/>
      <c r="HH60" s="19"/>
      <c r="HI60" s="19"/>
      <c r="HJ60" s="19"/>
      <c r="HK60" s="19"/>
      <c r="HL60" s="19"/>
      <c r="HM60" s="19"/>
      <c r="HN60" s="19"/>
      <c r="HO60" s="19"/>
      <c r="HP60" s="19"/>
      <c r="HQ60" s="19"/>
      <c r="HR60" s="19"/>
      <c r="HS60" s="19"/>
      <c r="HT60" s="19"/>
      <c r="HU60" s="19"/>
      <c r="HV60" s="19"/>
      <c r="HW60" s="19"/>
      <c r="HX60" s="19"/>
      <c r="HY60" s="19"/>
      <c r="HZ60" s="19"/>
      <c r="IA60" s="19"/>
      <c r="IB60" s="19"/>
      <c r="IC60" s="19"/>
      <c r="ID60" s="19"/>
      <c r="IE60" s="19"/>
      <c r="IF60" s="19"/>
      <c r="IG60" s="19"/>
      <c r="IH60" s="19"/>
      <c r="II60" s="19"/>
      <c r="IJ60" s="19"/>
      <c r="IK60" s="19"/>
      <c r="IL60" s="19"/>
      <c r="IM60" s="19"/>
      <c r="IN60" s="19"/>
      <c r="IO60" s="19"/>
      <c r="IP60" s="19"/>
      <c r="IQ60" s="19"/>
      <c r="IR60" s="19"/>
      <c r="IS60" s="19"/>
      <c r="IT60" s="19"/>
      <c r="IU60" s="19"/>
      <c r="IV60" s="19"/>
      <c r="IW60" s="19"/>
      <c r="IX60" s="19"/>
      <c r="IY60" s="19"/>
      <c r="IZ60" s="19"/>
      <c r="JA60" s="19"/>
      <c r="JB60" s="19"/>
      <c r="JC60" s="19"/>
      <c r="JD60" s="19"/>
      <c r="JE60" s="19"/>
      <c r="JF60" s="19"/>
      <c r="JG60" s="19"/>
      <c r="JH60" s="19"/>
      <c r="JI60" s="19"/>
      <c r="JJ60" s="19"/>
      <c r="JK60" s="19"/>
      <c r="JL60" s="19"/>
      <c r="JM60" s="19"/>
      <c r="JN60" s="19"/>
      <c r="JO60" s="19"/>
      <c r="JP60" s="19"/>
      <c r="JQ60" s="19"/>
      <c r="JR60" s="19"/>
      <c r="JS60" s="19"/>
      <c r="JT60" s="19"/>
      <c r="JU60" s="19"/>
      <c r="JV60" s="19"/>
      <c r="JW60" s="19"/>
      <c r="JX60" s="19"/>
      <c r="JY60" s="19"/>
      <c r="JZ60" s="19"/>
      <c r="KA60" s="19"/>
      <c r="KB60" s="19"/>
      <c r="KC60" s="19"/>
      <c r="KD60" s="19"/>
      <c r="KE60" s="19"/>
      <c r="KF60" s="19"/>
      <c r="KG60" s="19"/>
      <c r="KH60" s="19"/>
      <c r="KI60" s="19"/>
      <c r="KJ60" s="19"/>
      <c r="KK60" s="19"/>
      <c r="KL60" s="19"/>
      <c r="KM60" s="19"/>
      <c r="KN60" s="19"/>
      <c r="KO60" s="19"/>
      <c r="KP60" s="19"/>
      <c r="KQ60" s="19"/>
      <c r="KR60" s="19"/>
      <c r="KS60" s="19"/>
      <c r="KT60" s="19"/>
      <c r="KU60" s="19"/>
      <c r="KV60" s="19"/>
      <c r="KW60" s="19"/>
      <c r="KX60" s="19"/>
      <c r="KY60" s="19"/>
      <c r="KZ60" s="19"/>
      <c r="LA60" s="19"/>
      <c r="LB60" s="19"/>
      <c r="LC60" s="19"/>
      <c r="LD60" s="19"/>
      <c r="LE60" s="19"/>
      <c r="LF60" s="19"/>
      <c r="LG60" s="19"/>
      <c r="LH60" s="19"/>
      <c r="LI60" s="19"/>
      <c r="LJ60" s="19"/>
      <c r="LK60" s="19"/>
      <c r="LL60" s="19"/>
      <c r="LM60" s="19"/>
      <c r="LN60" s="19"/>
      <c r="LO60" s="19"/>
      <c r="LP60" s="19"/>
      <c r="LQ60" s="19"/>
      <c r="LR60" s="19"/>
      <c r="LS60" s="19"/>
      <c r="LT60" s="19"/>
      <c r="LU60" s="19"/>
      <c r="LV60" s="19"/>
      <c r="LW60" s="19"/>
      <c r="LX60" s="19"/>
      <c r="LY60" s="19"/>
      <c r="LZ60" s="19"/>
      <c r="MA60" s="19"/>
      <c r="MB60" s="19"/>
      <c r="MC60" s="19"/>
      <c r="MD60" s="19"/>
      <c r="ME60" s="19"/>
      <c r="MF60" s="19"/>
      <c r="MG60" s="19"/>
      <c r="MH60" s="19"/>
      <c r="MI60" s="19"/>
      <c r="MJ60" s="19"/>
      <c r="MK60" s="19"/>
      <c r="ML60" s="19"/>
      <c r="MM60" s="19"/>
      <c r="MN60" s="19"/>
      <c r="MO60" s="19"/>
      <c r="MP60" s="19"/>
      <c r="MQ60" s="19"/>
      <c r="MR60" s="19"/>
      <c r="MS60" s="19"/>
      <c r="MT60" s="19"/>
      <c r="MU60" s="19"/>
      <c r="MV60" s="19"/>
      <c r="MW60" s="19"/>
      <c r="MX60" s="19"/>
      <c r="MY60" s="19"/>
      <c r="MZ60" s="19"/>
      <c r="NA60" s="19"/>
      <c r="NB60" s="19"/>
      <c r="NC60" s="19"/>
      <c r="ND60" s="19"/>
      <c r="NE60" s="19"/>
      <c r="NF60" s="19"/>
      <c r="NG60" s="19"/>
      <c r="NH60" s="19"/>
      <c r="NI60" s="19"/>
      <c r="NJ60" s="19"/>
      <c r="NK60" s="19"/>
      <c r="NL60" s="19"/>
      <c r="NM60" s="19"/>
      <c r="NN60" s="19"/>
      <c r="NO60" s="19"/>
      <c r="NP60" s="19"/>
      <c r="NQ60" s="19"/>
      <c r="NR60" s="19"/>
      <c r="NS60" s="19"/>
      <c r="NT60" s="19"/>
      <c r="NU60" s="19"/>
      <c r="NV60" s="19"/>
      <c r="NW60" s="19"/>
      <c r="NX60" s="19"/>
      <c r="NY60" s="19"/>
      <c r="NZ60" s="19"/>
      <c r="OA60" s="19"/>
      <c r="OB60" s="19"/>
      <c r="OC60" s="19"/>
      <c r="OD60" s="19"/>
      <c r="OE60" s="19"/>
      <c r="OF60" s="19"/>
      <c r="OG60" s="19"/>
      <c r="OH60" s="19"/>
      <c r="OI60" s="19"/>
      <c r="OJ60" s="19"/>
      <c r="OK60" s="19"/>
      <c r="OL60" s="19"/>
      <c r="OM60" s="19"/>
      <c r="ON60" s="19"/>
      <c r="OO60" s="19"/>
      <c r="OP60" s="19"/>
      <c r="OQ60" s="19"/>
      <c r="OR60" s="19"/>
      <c r="OS60" s="19"/>
      <c r="OT60" s="19"/>
      <c r="OU60" s="19"/>
      <c r="OV60" s="19"/>
      <c r="OW60" s="19"/>
      <c r="OX60" s="19"/>
      <c r="OY60" s="19"/>
      <c r="OZ60" s="19"/>
      <c r="PA60" s="19"/>
      <c r="PB60" s="19"/>
      <c r="PC60" s="19"/>
      <c r="PD60" s="19"/>
      <c r="PE60" s="19"/>
      <c r="PF60" s="19"/>
      <c r="PG60" s="19"/>
      <c r="PH60" s="19"/>
      <c r="PI60" s="19"/>
      <c r="PJ60" s="19"/>
      <c r="PK60" s="19"/>
      <c r="PL60" s="19"/>
      <c r="PM60" s="19"/>
      <c r="PN60" s="19"/>
      <c r="PO60" s="19"/>
      <c r="PP60" s="19"/>
      <c r="PQ60" s="19"/>
      <c r="PR60" s="19"/>
      <c r="PS60" s="19"/>
      <c r="PT60" s="19"/>
      <c r="PU60" s="19"/>
      <c r="PV60" s="19"/>
      <c r="PW60" s="19"/>
      <c r="PX60" s="19"/>
      <c r="PY60" s="19"/>
      <c r="PZ60" s="19"/>
      <c r="QA60" s="19"/>
      <c r="QB60" s="19"/>
      <c r="QC60" s="19"/>
      <c r="QD60" s="19"/>
      <c r="QE60" s="19"/>
      <c r="QF60" s="19"/>
      <c r="QG60" s="19"/>
      <c r="QH60" s="19"/>
      <c r="QI60" s="19"/>
      <c r="QJ60" s="19"/>
      <c r="QK60" s="19"/>
      <c r="QL60" s="19"/>
      <c r="QM60" s="19"/>
      <c r="QN60" s="19"/>
      <c r="QO60" s="19"/>
      <c r="QP60" s="19"/>
      <c r="QQ60" s="19"/>
      <c r="QR60" s="19"/>
      <c r="QS60" s="19"/>
      <c r="QT60" s="19"/>
      <c r="QU60" s="19"/>
      <c r="QV60" s="19"/>
      <c r="QW60" s="19"/>
      <c r="QX60" s="19"/>
      <c r="QY60" s="19"/>
      <c r="QZ60" s="19"/>
      <c r="RA60" s="19"/>
      <c r="RB60" s="19"/>
      <c r="RC60" s="19"/>
      <c r="RD60" s="19"/>
      <c r="RE60" s="19"/>
      <c r="RF60" s="19"/>
      <c r="RG60" s="19"/>
      <c r="RH60" s="19"/>
      <c r="RI60" s="19"/>
      <c r="RJ60" s="19"/>
      <c r="RK60" s="19"/>
      <c r="RL60" s="19"/>
      <c r="RM60" s="19"/>
      <c r="RN60" s="19"/>
      <c r="RO60" s="19"/>
      <c r="RP60" s="19"/>
      <c r="RQ60" s="19"/>
      <c r="RR60" s="19"/>
      <c r="RS60" s="19"/>
      <c r="RT60" s="19"/>
      <c r="RU60" s="19"/>
      <c r="RV60" s="19"/>
      <c r="RW60" s="19"/>
      <c r="RX60" s="19"/>
      <c r="RY60" s="19"/>
      <c r="RZ60" s="19"/>
      <c r="SA60" s="19"/>
      <c r="SB60" s="19"/>
      <c r="SC60" s="19"/>
      <c r="SD60" s="19"/>
      <c r="SE60" s="19"/>
      <c r="SF60" s="19"/>
      <c r="SG60" s="19"/>
      <c r="SH60" s="19"/>
      <c r="SI60" s="19"/>
      <c r="SJ60" s="19"/>
      <c r="SK60" s="19"/>
      <c r="SL60" s="19"/>
      <c r="SM60" s="19"/>
      <c r="SN60" s="19"/>
      <c r="SO60" s="19"/>
      <c r="SP60" s="19"/>
      <c r="SQ60" s="19"/>
      <c r="SR60" s="19"/>
      <c r="SS60" s="19"/>
      <c r="ST60" s="19"/>
      <c r="SU60" s="19"/>
      <c r="SV60" s="19"/>
      <c r="SW60" s="19"/>
      <c r="SX60" s="19"/>
      <c r="SY60" s="19"/>
      <c r="SZ60" s="19"/>
      <c r="TA60" s="19"/>
      <c r="TB60" s="19"/>
      <c r="TC60" s="19"/>
      <c r="TD60" s="19"/>
      <c r="TE60" s="19"/>
      <c r="TF60" s="19"/>
      <c r="TG60" s="19"/>
      <c r="TH60" s="19"/>
      <c r="TI60" s="19"/>
      <c r="TJ60" s="19"/>
      <c r="TK60" s="19"/>
      <c r="TL60" s="19"/>
      <c r="TM60" s="19"/>
      <c r="TN60" s="19"/>
      <c r="TO60" s="19"/>
      <c r="TP60" s="19"/>
      <c r="TQ60" s="19"/>
      <c r="TR60" s="19"/>
      <c r="TS60" s="19"/>
      <c r="TT60" s="19"/>
      <c r="TU60" s="19"/>
      <c r="TV60" s="19"/>
    </row>
    <row r="61" spans="1:542" s="19" customFormat="1" x14ac:dyDescent="0.25">
      <c r="A61" s="66">
        <v>55</v>
      </c>
      <c r="B61" s="62">
        <f>B60</f>
        <v>79.743200000000002</v>
      </c>
      <c r="C61" s="121">
        <f t="shared" si="13"/>
        <v>10.794636969135803</v>
      </c>
      <c r="D61" s="62">
        <f>D60</f>
        <v>7.0941209219081145</v>
      </c>
      <c r="E61" s="62">
        <f t="shared" si="10"/>
        <v>39.506343048903737</v>
      </c>
      <c r="F61" s="120">
        <v>164.132192164694</v>
      </c>
      <c r="G61" s="117">
        <f t="shared" ref="G61:G76" si="16">G60-$G$3</f>
        <v>161.28141813294727</v>
      </c>
      <c r="H61" s="118">
        <f t="shared" si="7"/>
        <v>5292.9182598669695</v>
      </c>
      <c r="I61" s="117">
        <f>I60+(($B$60/100)^2*KeyParameters!$B$36*KeyParameters!$B$35*44/12)</f>
        <v>5248.218104081755</v>
      </c>
      <c r="J61" s="63">
        <f t="shared" si="4"/>
        <v>36.539022606952152</v>
      </c>
      <c r="K61" s="64">
        <f>H61*(1+KeyParameters!$B$37)*(1+KeyParameters!$B$50)</f>
        <v>8733.3151287804994</v>
      </c>
      <c r="L61" s="105"/>
      <c r="M61" s="105"/>
    </row>
    <row r="62" spans="1:542" s="19" customFormat="1" x14ac:dyDescent="0.25">
      <c r="A62" s="66">
        <v>56</v>
      </c>
      <c r="B62" s="62">
        <f t="shared" ref="B62:B86" si="17">B61</f>
        <v>79.743200000000002</v>
      </c>
      <c r="C62" s="121">
        <f t="shared" si="13"/>
        <v>10.794636969135803</v>
      </c>
      <c r="D62" s="62">
        <f t="shared" ref="D62:D86" si="18">D61</f>
        <v>7.0941209219081145</v>
      </c>
      <c r="E62" s="62">
        <f t="shared" si="10"/>
        <v>39.506343048903737</v>
      </c>
      <c r="F62" s="120">
        <v>164.132192164694</v>
      </c>
      <c r="G62" s="117">
        <f t="shared" si="16"/>
        <v>158.43064410120138</v>
      </c>
      <c r="H62" s="118">
        <f t="shared" si="7"/>
        <v>5451.3489039681708</v>
      </c>
      <c r="I62" s="117">
        <f>I61+(($B$60/100)^2*KeyParameters!$B$36*KeyParameters!$B$35*44/12)</f>
        <v>5364.7993664294881</v>
      </c>
      <c r="J62" s="63">
        <f t="shared" si="4"/>
        <v>37.632729443564685</v>
      </c>
      <c r="K62" s="64">
        <f>H62*(1+KeyParameters!$B$37)*(1+KeyParameters!$B$50)</f>
        <v>8994.7256915474827</v>
      </c>
      <c r="L62" s="105"/>
      <c r="M62" s="105"/>
    </row>
    <row r="63" spans="1:542" s="19" customFormat="1" x14ac:dyDescent="0.25">
      <c r="A63" s="66">
        <v>57</v>
      </c>
      <c r="B63" s="62">
        <f t="shared" si="17"/>
        <v>79.743200000000002</v>
      </c>
      <c r="C63" s="121">
        <f t="shared" si="13"/>
        <v>10.794636969135803</v>
      </c>
      <c r="D63" s="62">
        <f t="shared" si="18"/>
        <v>7.0941209219081145</v>
      </c>
      <c r="E63" s="62">
        <f t="shared" si="10"/>
        <v>39.506343048903737</v>
      </c>
      <c r="F63" s="117">
        <f xml:space="preserve"> I63-I62</f>
        <v>116.58126234773317</v>
      </c>
      <c r="G63" s="117">
        <f t="shared" si="16"/>
        <v>155.5798700694555</v>
      </c>
      <c r="H63" s="118">
        <f t="shared" si="7"/>
        <v>5606.9287740376267</v>
      </c>
      <c r="I63" s="117">
        <f>I62+(($B$60/100)^2*KeyParameters!$B$36*KeyParameters!$B$35*44/12)</f>
        <v>5481.3806287772213</v>
      </c>
      <c r="J63" s="63">
        <f t="shared" si="4"/>
        <v>38.706756305600031</v>
      </c>
      <c r="K63" s="64">
        <f>H63*(1+KeyParameters!$B$37)*(1+KeyParameters!$B$50)</f>
        <v>9251.432477162085</v>
      </c>
      <c r="L63" s="105"/>
      <c r="M63" s="105"/>
    </row>
    <row r="64" spans="1:542" s="19" customFormat="1" x14ac:dyDescent="0.25">
      <c r="A64" s="66">
        <v>58</v>
      </c>
      <c r="B64" s="62">
        <f t="shared" si="17"/>
        <v>79.743200000000002</v>
      </c>
      <c r="C64" s="121">
        <f t="shared" si="13"/>
        <v>10.794636969135803</v>
      </c>
      <c r="D64" s="62">
        <f t="shared" si="18"/>
        <v>7.0941209219081145</v>
      </c>
      <c r="E64" s="62">
        <f t="shared" si="10"/>
        <v>39.506343048903737</v>
      </c>
      <c r="F64" s="117">
        <f t="shared" ref="F64:F86" si="19" xml:space="preserve"> I64-I63</f>
        <v>116.58126234773317</v>
      </c>
      <c r="G64" s="117">
        <f t="shared" si="16"/>
        <v>152.72909603770961</v>
      </c>
      <c r="H64" s="118">
        <f t="shared" si="7"/>
        <v>5759.6578700753362</v>
      </c>
      <c r="I64" s="117">
        <f>I63+(($B$60/100)^2*KeyParameters!$B$36*KeyParameters!$B$35*44/12)</f>
        <v>5597.9618911249545</v>
      </c>
      <c r="J64" s="63">
        <f t="shared" si="4"/>
        <v>39.761103193058197</v>
      </c>
      <c r="K64" s="64">
        <f>H64*(1+KeyParameters!$B$37)*(1+KeyParameters!$B$50)</f>
        <v>9503.4354856243062</v>
      </c>
      <c r="L64" s="105"/>
      <c r="M64" s="105"/>
    </row>
    <row r="65" spans="1:13" s="19" customFormat="1" x14ac:dyDescent="0.25">
      <c r="A65" s="66">
        <v>59</v>
      </c>
      <c r="B65" s="62">
        <f t="shared" si="17"/>
        <v>79.743200000000002</v>
      </c>
      <c r="C65" s="121">
        <f t="shared" si="13"/>
        <v>10.794636969135803</v>
      </c>
      <c r="D65" s="62">
        <f t="shared" si="18"/>
        <v>7.0941209219081145</v>
      </c>
      <c r="E65" s="62">
        <f t="shared" si="10"/>
        <v>39.506343048903737</v>
      </c>
      <c r="F65" s="117">
        <f t="shared" si="19"/>
        <v>116.58126234773317</v>
      </c>
      <c r="G65" s="117">
        <f t="shared" si="16"/>
        <v>149.87832200596372</v>
      </c>
      <c r="H65" s="118">
        <f t="shared" si="7"/>
        <v>5909.5361920813002</v>
      </c>
      <c r="I65" s="117">
        <f>I64+(($B$60/100)^2*KeyParameters!$B$36*KeyParameters!$B$35*44/12)</f>
        <v>5714.5431534726877</v>
      </c>
      <c r="J65" s="63">
        <f t="shared" si="4"/>
        <v>40.795770105939191</v>
      </c>
      <c r="K65" s="64">
        <f>H65*(1+KeyParameters!$B$37)*(1+KeyParameters!$B$50)</f>
        <v>9750.7347169341465</v>
      </c>
      <c r="L65" s="105"/>
      <c r="M65" s="105"/>
    </row>
    <row r="66" spans="1:13" s="19" customFormat="1" x14ac:dyDescent="0.25">
      <c r="A66" s="66">
        <v>60</v>
      </c>
      <c r="B66" s="62">
        <f t="shared" si="17"/>
        <v>79.743200000000002</v>
      </c>
      <c r="C66" s="121">
        <f t="shared" si="13"/>
        <v>10.794636969135803</v>
      </c>
      <c r="D66" s="62">
        <f t="shared" si="18"/>
        <v>7.0941209219081145</v>
      </c>
      <c r="E66" s="62">
        <f t="shared" si="10"/>
        <v>39.506343048903737</v>
      </c>
      <c r="F66" s="117">
        <f t="shared" si="19"/>
        <v>116.58126234773317</v>
      </c>
      <c r="G66" s="117">
        <f t="shared" si="16"/>
        <v>147.02754797421784</v>
      </c>
      <c r="H66" s="118">
        <f t="shared" si="7"/>
        <v>6056.5637400555179</v>
      </c>
      <c r="I66" s="117">
        <f>I65+(($B$60/100)^2*KeyParameters!$B$36*KeyParameters!$B$35*44/12)</f>
        <v>5831.1244158204208</v>
      </c>
      <c r="J66" s="63">
        <f t="shared" si="4"/>
        <v>41.810757044242997</v>
      </c>
      <c r="K66" s="64">
        <f>H66*(1+KeyParameters!$B$37)*(1+KeyParameters!$B$50)</f>
        <v>9993.3301710916039</v>
      </c>
      <c r="L66" s="105"/>
      <c r="M66" s="105"/>
    </row>
    <row r="67" spans="1:13" s="19" customFormat="1" x14ac:dyDescent="0.25">
      <c r="A67" s="66">
        <v>61</v>
      </c>
      <c r="B67" s="62">
        <f t="shared" si="17"/>
        <v>79.743200000000002</v>
      </c>
      <c r="C67" s="121">
        <f t="shared" si="13"/>
        <v>10.794636969135803</v>
      </c>
      <c r="D67" s="62">
        <f t="shared" si="18"/>
        <v>7.0941209219081145</v>
      </c>
      <c r="E67" s="62">
        <f t="shared" si="10"/>
        <v>39.506343048903737</v>
      </c>
      <c r="F67" s="117">
        <f t="shared" si="19"/>
        <v>116.58126234773317</v>
      </c>
      <c r="G67" s="117">
        <f t="shared" si="16"/>
        <v>144.17677394247195</v>
      </c>
      <c r="H67" s="118">
        <f t="shared" si="7"/>
        <v>6200.7405139979901</v>
      </c>
      <c r="I67" s="117">
        <f>I66+(($B$60/100)^2*KeyParameters!$B$36*KeyParameters!$B$35*44/12)</f>
        <v>5947.705678168154</v>
      </c>
      <c r="J67" s="63">
        <f t="shared" si="4"/>
        <v>42.806064007969624</v>
      </c>
      <c r="K67" s="64">
        <f>H67*(1+KeyParameters!$B$37)*(1+KeyParameters!$B$50)</f>
        <v>10231.221848096684</v>
      </c>
      <c r="L67" s="105"/>
      <c r="M67" s="105"/>
    </row>
    <row r="68" spans="1:13" s="19" customFormat="1" x14ac:dyDescent="0.25">
      <c r="A68" s="66">
        <v>62</v>
      </c>
      <c r="B68" s="62">
        <f t="shared" si="17"/>
        <v>79.743200000000002</v>
      </c>
      <c r="C68" s="121">
        <f t="shared" si="13"/>
        <v>10.794636969135803</v>
      </c>
      <c r="D68" s="62">
        <f t="shared" si="18"/>
        <v>7.0941209219081145</v>
      </c>
      <c r="E68" s="62">
        <f t="shared" si="10"/>
        <v>39.506343048903737</v>
      </c>
      <c r="F68" s="117">
        <f t="shared" si="19"/>
        <v>116.58126234773317</v>
      </c>
      <c r="G68" s="117">
        <f t="shared" si="16"/>
        <v>141.32599991072607</v>
      </c>
      <c r="H68" s="118">
        <f t="shared" si="7"/>
        <v>6342.0665139087159</v>
      </c>
      <c r="I68" s="117">
        <f>I67+(($B$60/100)^2*KeyParameters!$B$36*KeyParameters!$B$35*44/12)</f>
        <v>6064.2869405158872</v>
      </c>
      <c r="J68" s="63">
        <f t="shared" si="4"/>
        <v>43.781690997119064</v>
      </c>
      <c r="K68" s="64">
        <f>H68*(1+KeyParameters!$B$37)*(1+KeyParameters!$B$50)</f>
        <v>10464.409747949381</v>
      </c>
      <c r="L68" s="105"/>
      <c r="M68" s="105"/>
    </row>
    <row r="69" spans="1:13" s="19" customFormat="1" x14ac:dyDescent="0.25">
      <c r="A69" s="66">
        <v>63</v>
      </c>
      <c r="B69" s="62">
        <f t="shared" si="17"/>
        <v>79.743200000000002</v>
      </c>
      <c r="C69" s="121">
        <f t="shared" si="13"/>
        <v>10.794636969135803</v>
      </c>
      <c r="D69" s="62">
        <f t="shared" si="18"/>
        <v>7.0941209219081145</v>
      </c>
      <c r="E69" s="62">
        <f t="shared" si="10"/>
        <v>39.506343048903737</v>
      </c>
      <c r="F69" s="117">
        <f t="shared" si="19"/>
        <v>116.58126234773317</v>
      </c>
      <c r="G69" s="117">
        <f t="shared" si="16"/>
        <v>138.47522587898018</v>
      </c>
      <c r="H69" s="118">
        <f t="shared" si="7"/>
        <v>6480.5417397876963</v>
      </c>
      <c r="I69" s="117">
        <f>I68+(($B$60/100)^2*KeyParameters!$B$36*KeyParameters!$B$35*44/12)</f>
        <v>6180.8682028636204</v>
      </c>
      <c r="J69" s="63">
        <f t="shared" si="4"/>
        <v>44.737638011691338</v>
      </c>
      <c r="K69" s="64">
        <f>H69*(1+KeyParameters!$B$37)*(1+KeyParameters!$B$50)</f>
        <v>10692.893870649699</v>
      </c>
      <c r="L69" s="105"/>
      <c r="M69" s="105"/>
    </row>
    <row r="70" spans="1:13" s="19" customFormat="1" x14ac:dyDescent="0.25">
      <c r="A70" s="66">
        <v>64</v>
      </c>
      <c r="B70" s="62">
        <f t="shared" si="17"/>
        <v>79.743200000000002</v>
      </c>
      <c r="C70" s="121">
        <f t="shared" si="13"/>
        <v>10.794636969135803</v>
      </c>
      <c r="D70" s="62">
        <f t="shared" si="18"/>
        <v>7.0941209219081145</v>
      </c>
      <c r="E70" s="62">
        <f t="shared" si="10"/>
        <v>39.506343048903737</v>
      </c>
      <c r="F70" s="117">
        <f t="shared" si="19"/>
        <v>116.58126234773317</v>
      </c>
      <c r="G70" s="117">
        <f t="shared" si="16"/>
        <v>135.6244518472343</v>
      </c>
      <c r="H70" s="118">
        <f t="shared" si="7"/>
        <v>6616.1661916349303</v>
      </c>
      <c r="I70" s="117">
        <f>I69+(($B$60/100)^2*KeyParameters!$B$36*KeyParameters!$B$35*44/12)</f>
        <v>6297.4494652113535</v>
      </c>
      <c r="J70" s="63">
        <f t="shared" si="4"/>
        <v>45.673905051686411</v>
      </c>
      <c r="K70" s="64">
        <f>H70*(1+KeyParameters!$B$37)*(1+KeyParameters!$B$50)</f>
        <v>10916.674216197634</v>
      </c>
      <c r="L70" s="105"/>
      <c r="M70" s="105"/>
    </row>
    <row r="71" spans="1:13" s="19" customFormat="1" x14ac:dyDescent="0.25">
      <c r="A71" s="66">
        <v>65</v>
      </c>
      <c r="B71" s="62">
        <f t="shared" si="17"/>
        <v>79.743200000000002</v>
      </c>
      <c r="C71" s="121">
        <f t="shared" si="13"/>
        <v>10.794636969135803</v>
      </c>
      <c r="D71" s="62">
        <f t="shared" si="18"/>
        <v>7.0941209219081145</v>
      </c>
      <c r="E71" s="62">
        <f t="shared" si="10"/>
        <v>39.506343048903737</v>
      </c>
      <c r="F71" s="117">
        <f t="shared" si="19"/>
        <v>116.58126234773317</v>
      </c>
      <c r="G71" s="117">
        <f t="shared" si="16"/>
        <v>132.77367781548841</v>
      </c>
      <c r="H71" s="118">
        <f t="shared" si="7"/>
        <v>6748.9398694504189</v>
      </c>
      <c r="I71" s="117">
        <f>I70+(($B$60/100)^2*KeyParameters!$B$36*KeyParameters!$B$35*44/12)</f>
        <v>6414.0307275590867</v>
      </c>
      <c r="J71" s="63">
        <f t="shared" si="4"/>
        <v>46.590492117104326</v>
      </c>
      <c r="K71" s="64">
        <f>H71*(1+KeyParameters!$B$37)*(1+KeyParameters!$B$50)</f>
        <v>11135.75078459319</v>
      </c>
      <c r="L71" s="105"/>
      <c r="M71" s="105"/>
    </row>
    <row r="72" spans="1:13" s="19" customFormat="1" x14ac:dyDescent="0.25">
      <c r="A72" s="66">
        <v>66</v>
      </c>
      <c r="B72" s="62">
        <f t="shared" si="17"/>
        <v>79.743200000000002</v>
      </c>
      <c r="C72" s="121">
        <f t="shared" si="13"/>
        <v>10.794636969135803</v>
      </c>
      <c r="D72" s="62">
        <f t="shared" si="18"/>
        <v>7.0941209219081145</v>
      </c>
      <c r="E72" s="62">
        <f t="shared" si="10"/>
        <v>39.506343048903737</v>
      </c>
      <c r="F72" s="117">
        <f t="shared" si="19"/>
        <v>116.58126234773317</v>
      </c>
      <c r="G72" s="117">
        <f t="shared" si="16"/>
        <v>129.92290378374253</v>
      </c>
      <c r="H72" s="118">
        <f t="shared" si="7"/>
        <v>6878.8627732341611</v>
      </c>
      <c r="I72" s="117">
        <f>I71+(($B$60/100)^2*KeyParameters!$B$36*KeyParameters!$B$35*44/12)</f>
        <v>6530.6119899068199</v>
      </c>
      <c r="J72" s="63">
        <f t="shared" ref="J72:J86" si="20">(H72/E72)*12/44</f>
        <v>47.487399207945039</v>
      </c>
      <c r="K72" s="64">
        <f>H72*(1+KeyParameters!$B$37)*(1+KeyParameters!$B$50)</f>
        <v>11350.123575836367</v>
      </c>
      <c r="L72" s="105"/>
      <c r="M72" s="105"/>
    </row>
    <row r="73" spans="1:13" s="19" customFormat="1" x14ac:dyDescent="0.25">
      <c r="A73" s="66">
        <v>67</v>
      </c>
      <c r="B73" s="62">
        <f t="shared" si="17"/>
        <v>79.743200000000002</v>
      </c>
      <c r="C73" s="121">
        <f t="shared" si="13"/>
        <v>10.794636969135803</v>
      </c>
      <c r="D73" s="62">
        <f t="shared" si="18"/>
        <v>7.0941209219081145</v>
      </c>
      <c r="E73" s="62">
        <f t="shared" si="10"/>
        <v>39.506343048903737</v>
      </c>
      <c r="F73" s="117">
        <f t="shared" si="19"/>
        <v>116.58126234773317</v>
      </c>
      <c r="G73" s="117">
        <f t="shared" si="16"/>
        <v>127.07212975199666</v>
      </c>
      <c r="H73" s="118">
        <f t="shared" si="7"/>
        <v>7005.9349029861578</v>
      </c>
      <c r="I73" s="117">
        <f>I72+(($B$60/100)^2*KeyParameters!$B$36*KeyParameters!$B$35*44/12)</f>
        <v>6647.193252254553</v>
      </c>
      <c r="J73" s="63">
        <f t="shared" si="20"/>
        <v>48.364626324208594</v>
      </c>
      <c r="K73" s="64">
        <f>H73*(1+KeyParameters!$B$37)*(1+KeyParameters!$B$50)</f>
        <v>11559.792589927161</v>
      </c>
      <c r="L73" s="105"/>
      <c r="M73" s="105"/>
    </row>
    <row r="74" spans="1:13" s="19" customFormat="1" x14ac:dyDescent="0.25">
      <c r="A74" s="66">
        <v>68</v>
      </c>
      <c r="B74" s="62">
        <f t="shared" si="17"/>
        <v>79.743200000000002</v>
      </c>
      <c r="C74" s="121">
        <f t="shared" si="13"/>
        <v>10.794636969135803</v>
      </c>
      <c r="D74" s="62">
        <f t="shared" si="18"/>
        <v>7.0941209219081145</v>
      </c>
      <c r="E74" s="62">
        <f t="shared" si="10"/>
        <v>39.506343048903737</v>
      </c>
      <c r="F74" s="117">
        <f t="shared" si="19"/>
        <v>116.58126234773317</v>
      </c>
      <c r="G74" s="117">
        <f t="shared" si="16"/>
        <v>124.22135572025078</v>
      </c>
      <c r="H74" s="118">
        <f t="shared" si="7"/>
        <v>7130.1562587064082</v>
      </c>
      <c r="I74" s="117">
        <f>I73+(($B$60/100)^2*KeyParameters!$B$36*KeyParameters!$B$35*44/12)</f>
        <v>6763.7745146022862</v>
      </c>
      <c r="J74" s="63">
        <f t="shared" si="20"/>
        <v>49.222173465894954</v>
      </c>
      <c r="K74" s="64">
        <f>H74*(1+KeyParameters!$B$37)*(1+KeyParameters!$B$50)</f>
        <v>11764.757826865574</v>
      </c>
      <c r="L74" s="105"/>
      <c r="M74" s="105"/>
    </row>
    <row r="75" spans="1:13" s="19" customFormat="1" x14ac:dyDescent="0.25">
      <c r="A75" s="66">
        <v>69</v>
      </c>
      <c r="B75" s="62">
        <f t="shared" si="17"/>
        <v>79.743200000000002</v>
      </c>
      <c r="C75" s="121">
        <f t="shared" si="13"/>
        <v>10.794636969135803</v>
      </c>
      <c r="D75" s="62">
        <f t="shared" si="18"/>
        <v>7.0941209219081145</v>
      </c>
      <c r="E75" s="62">
        <f t="shared" si="10"/>
        <v>39.506343048903737</v>
      </c>
      <c r="F75" s="117">
        <f t="shared" si="19"/>
        <v>116.58126234773317</v>
      </c>
      <c r="G75" s="117">
        <f t="shared" si="16"/>
        <v>121.37058168850491</v>
      </c>
      <c r="H75" s="118">
        <f t="shared" si="7"/>
        <v>7251.5268403949131</v>
      </c>
      <c r="I75" s="117">
        <f>I74+(($B$60/100)^2*KeyParameters!$B$36*KeyParameters!$B$35*44/12)</f>
        <v>6880.3557769500194</v>
      </c>
      <c r="J75" s="63">
        <f t="shared" si="20"/>
        <v>50.060040633004135</v>
      </c>
      <c r="K75" s="64">
        <f>H75*(1+KeyParameters!$B$37)*(1+KeyParameters!$B$50)</f>
        <v>11965.019286651606</v>
      </c>
      <c r="L75" s="105"/>
      <c r="M75" s="105"/>
    </row>
    <row r="76" spans="1:13" s="19" customFormat="1" x14ac:dyDescent="0.25">
      <c r="A76" s="66">
        <v>70</v>
      </c>
      <c r="B76" s="62">
        <f t="shared" si="17"/>
        <v>79.743200000000002</v>
      </c>
      <c r="C76" s="121">
        <f t="shared" si="13"/>
        <v>10.794636969135803</v>
      </c>
      <c r="D76" s="62">
        <f t="shared" si="18"/>
        <v>7.0941209219081145</v>
      </c>
      <c r="E76" s="62">
        <f t="shared" si="10"/>
        <v>39.506343048903737</v>
      </c>
      <c r="F76" s="117">
        <f t="shared" si="19"/>
        <v>116.58126234773317</v>
      </c>
      <c r="G76" s="117">
        <f t="shared" si="16"/>
        <v>118.51980765675904</v>
      </c>
      <c r="H76" s="118">
        <f t="shared" ref="H76:H86" si="21">G76+H75</f>
        <v>7370.0466480516725</v>
      </c>
      <c r="I76" s="117">
        <f>I75+(($B$60/100)^2*KeyParameters!$B$36*KeyParameters!$B$35*44/12)</f>
        <v>6996.9370392977526</v>
      </c>
      <c r="J76" s="63">
        <f t="shared" si="20"/>
        <v>50.87822782553615</v>
      </c>
      <c r="K76" s="64">
        <f>H76*(1+KeyParameters!$B$37)*(1+KeyParameters!$B$50)</f>
        <v>12160.576969285261</v>
      </c>
      <c r="L76" s="105"/>
      <c r="M76" s="105"/>
    </row>
    <row r="77" spans="1:13" s="19" customFormat="1" x14ac:dyDescent="0.25">
      <c r="A77" s="66">
        <v>71</v>
      </c>
      <c r="B77" s="62">
        <f t="shared" si="17"/>
        <v>79.743200000000002</v>
      </c>
      <c r="C77" s="121">
        <f t="shared" si="13"/>
        <v>10.794636969135803</v>
      </c>
      <c r="D77" s="62">
        <f t="shared" si="18"/>
        <v>7.0941209219081145</v>
      </c>
      <c r="E77" s="62">
        <f t="shared" si="10"/>
        <v>39.506343048903737</v>
      </c>
      <c r="F77" s="120">
        <f t="shared" si="19"/>
        <v>116.58126234773317</v>
      </c>
      <c r="G77" s="120">
        <v>116.58126234773317</v>
      </c>
      <c r="H77" s="120">
        <f t="shared" si="21"/>
        <v>7486.6279103994057</v>
      </c>
      <c r="I77" s="117">
        <f>I76+(($B$60/100)^2*KeyParameters!$B$36*KeyParameters!$B$35*44/12)</f>
        <v>7113.5183016454857</v>
      </c>
      <c r="J77" s="63">
        <f t="shared" si="20"/>
        <v>51.683032504416239</v>
      </c>
      <c r="K77" s="64">
        <f>H77*(1+KeyParameters!$B$37)*(1+KeyParameters!$B$50)</f>
        <v>12352.936052159019</v>
      </c>
      <c r="L77" s="105"/>
      <c r="M77" s="105"/>
    </row>
    <row r="78" spans="1:13" s="19" customFormat="1" x14ac:dyDescent="0.25">
      <c r="A78" s="66">
        <v>72</v>
      </c>
      <c r="B78" s="62">
        <f t="shared" si="17"/>
        <v>79.743200000000002</v>
      </c>
      <c r="C78" s="121">
        <f t="shared" si="13"/>
        <v>10.794636969135803</v>
      </c>
      <c r="D78" s="62">
        <f t="shared" si="18"/>
        <v>7.0941209219081145</v>
      </c>
      <c r="E78" s="62">
        <f t="shared" si="10"/>
        <v>39.506343048903737</v>
      </c>
      <c r="F78" s="120">
        <f t="shared" si="19"/>
        <v>116.58126234773317</v>
      </c>
      <c r="G78" s="120">
        <v>116.58126234773317</v>
      </c>
      <c r="H78" s="120">
        <f t="shared" si="21"/>
        <v>7603.2091727471388</v>
      </c>
      <c r="I78" s="117">
        <f>I77+(($B$60/100)^2*KeyParameters!$B$36*KeyParameters!$B$35*44/12)</f>
        <v>7230.0995639932189</v>
      </c>
      <c r="J78" s="63">
        <f t="shared" si="20"/>
        <v>52.487837183296342</v>
      </c>
      <c r="K78" s="64">
        <f>H78*(1+KeyParameters!$B$37)*(1+KeyParameters!$B$50)</f>
        <v>12545.295135032778</v>
      </c>
      <c r="L78" s="105"/>
      <c r="M78" s="105"/>
    </row>
    <row r="79" spans="1:13" s="19" customFormat="1" x14ac:dyDescent="0.25">
      <c r="A79" s="66">
        <v>73</v>
      </c>
      <c r="B79" s="62">
        <f t="shared" si="17"/>
        <v>79.743200000000002</v>
      </c>
      <c r="C79" s="121">
        <f t="shared" si="13"/>
        <v>10.794636969135803</v>
      </c>
      <c r="D79" s="62">
        <f t="shared" si="18"/>
        <v>7.0941209219081145</v>
      </c>
      <c r="E79" s="62">
        <f t="shared" si="10"/>
        <v>39.506343048903737</v>
      </c>
      <c r="F79" s="120">
        <f t="shared" si="19"/>
        <v>116.58126234773317</v>
      </c>
      <c r="G79" s="120">
        <v>116.58126234773317</v>
      </c>
      <c r="H79" s="120">
        <f t="shared" si="21"/>
        <v>7719.790435094872</v>
      </c>
      <c r="I79" s="117">
        <f>I78+(($B$60/100)^2*KeyParameters!$B$36*KeyParameters!$B$35*44/12)</f>
        <v>7346.6808263409521</v>
      </c>
      <c r="J79" s="63">
        <f t="shared" si="20"/>
        <v>53.292641862176431</v>
      </c>
      <c r="K79" s="64">
        <f>H79*(1+KeyParameters!$B$37)*(1+KeyParameters!$B$50)</f>
        <v>12737.65421790654</v>
      </c>
      <c r="L79" s="105"/>
      <c r="M79" s="105"/>
    </row>
    <row r="80" spans="1:13" s="19" customFormat="1" x14ac:dyDescent="0.25">
      <c r="A80" s="66">
        <v>74</v>
      </c>
      <c r="B80" s="62">
        <f t="shared" si="17"/>
        <v>79.743200000000002</v>
      </c>
      <c r="C80" s="121">
        <f t="shared" si="13"/>
        <v>10.794636969135803</v>
      </c>
      <c r="D80" s="62">
        <f t="shared" si="18"/>
        <v>7.0941209219081145</v>
      </c>
      <c r="E80" s="62">
        <f t="shared" si="10"/>
        <v>39.506343048903737</v>
      </c>
      <c r="F80" s="120">
        <f t="shared" si="19"/>
        <v>116.58126234773317</v>
      </c>
      <c r="G80" s="120">
        <v>116.58126234773317</v>
      </c>
      <c r="H80" s="120">
        <f t="shared" si="21"/>
        <v>7836.3716974426052</v>
      </c>
      <c r="I80" s="117">
        <f>I79+(($B$60/100)^2*KeyParameters!$B$36*KeyParameters!$B$35*44/12)</f>
        <v>7463.2620886886853</v>
      </c>
      <c r="J80" s="63">
        <f t="shared" si="20"/>
        <v>54.097446541056541</v>
      </c>
      <c r="K80" s="64">
        <f>H80*(1+KeyParameters!$B$37)*(1+KeyParameters!$B$50)</f>
        <v>12930.013300780298</v>
      </c>
      <c r="L80" s="105"/>
      <c r="M80" s="105"/>
    </row>
    <row r="81" spans="1:13" s="19" customFormat="1" x14ac:dyDescent="0.25">
      <c r="A81" s="66">
        <v>75</v>
      </c>
      <c r="B81" s="62">
        <f t="shared" si="17"/>
        <v>79.743200000000002</v>
      </c>
      <c r="C81" s="121">
        <f t="shared" si="13"/>
        <v>10.794636969135803</v>
      </c>
      <c r="D81" s="62">
        <f t="shared" si="18"/>
        <v>7.0941209219081145</v>
      </c>
      <c r="E81" s="62">
        <f t="shared" si="10"/>
        <v>39.506343048903737</v>
      </c>
      <c r="F81" s="120">
        <f t="shared" si="19"/>
        <v>116.58126234773317</v>
      </c>
      <c r="G81" s="120">
        <v>116.58126234773317</v>
      </c>
      <c r="H81" s="120">
        <f t="shared" si="21"/>
        <v>7952.9529597903384</v>
      </c>
      <c r="I81" s="117">
        <f>I80+(($B$60/100)^2*KeyParameters!$B$36*KeyParameters!$B$35*44/12)</f>
        <v>7579.8433510364184</v>
      </c>
      <c r="J81" s="63">
        <f t="shared" si="20"/>
        <v>54.90225121993663</v>
      </c>
      <c r="K81" s="64">
        <f>H81*(1+KeyParameters!$B$37)*(1+KeyParameters!$B$50)</f>
        <v>13122.372383654059</v>
      </c>
      <c r="L81" s="105"/>
      <c r="M81" s="105"/>
    </row>
    <row r="82" spans="1:13" s="19" customFormat="1" x14ac:dyDescent="0.25">
      <c r="A82" s="66">
        <v>76</v>
      </c>
      <c r="B82" s="62">
        <f t="shared" si="17"/>
        <v>79.743200000000002</v>
      </c>
      <c r="C82" s="121">
        <f t="shared" si="13"/>
        <v>10.794636969135803</v>
      </c>
      <c r="D82" s="62">
        <f t="shared" si="18"/>
        <v>7.0941209219081145</v>
      </c>
      <c r="E82" s="62">
        <f t="shared" si="10"/>
        <v>39.506343048903737</v>
      </c>
      <c r="F82" s="120">
        <f t="shared" si="19"/>
        <v>116.58126234773317</v>
      </c>
      <c r="G82" s="120">
        <v>116.58126234773317</v>
      </c>
      <c r="H82" s="120">
        <f t="shared" si="21"/>
        <v>8069.5342221380715</v>
      </c>
      <c r="I82" s="117">
        <f>I81+(($B$60/100)^2*KeyParameters!$B$36*KeyParameters!$B$35*44/12)</f>
        <v>7696.4246133841516</v>
      </c>
      <c r="J82" s="63">
        <f t="shared" si="20"/>
        <v>55.707055898816741</v>
      </c>
      <c r="K82" s="64">
        <f>H82*(1+KeyParameters!$B$37)*(1+KeyParameters!$B$50)</f>
        <v>13314.731466527819</v>
      </c>
      <c r="L82" s="105"/>
      <c r="M82" s="105"/>
    </row>
    <row r="83" spans="1:13" s="19" customFormat="1" x14ac:dyDescent="0.25">
      <c r="A83" s="66">
        <v>77</v>
      </c>
      <c r="B83" s="62">
        <f t="shared" si="17"/>
        <v>79.743200000000002</v>
      </c>
      <c r="C83" s="121">
        <f t="shared" si="13"/>
        <v>10.794636969135803</v>
      </c>
      <c r="D83" s="62">
        <f t="shared" si="18"/>
        <v>7.0941209219081145</v>
      </c>
      <c r="E83" s="62">
        <f t="shared" si="10"/>
        <v>39.506343048903737</v>
      </c>
      <c r="F83" s="120">
        <f t="shared" si="19"/>
        <v>116.58126234773317</v>
      </c>
      <c r="G83" s="120">
        <v>116.58126234773317</v>
      </c>
      <c r="H83" s="120">
        <f t="shared" si="21"/>
        <v>8186.1154844858047</v>
      </c>
      <c r="I83" s="117">
        <f>I82+(($B$60/100)^2*KeyParameters!$B$36*KeyParameters!$B$35*44/12)</f>
        <v>7813.0058757318848</v>
      </c>
      <c r="J83" s="63">
        <f t="shared" si="20"/>
        <v>56.511860577696829</v>
      </c>
      <c r="K83" s="64">
        <f>H83*(1+KeyParameters!$B$37)*(1+KeyParameters!$B$50)</f>
        <v>13507.090549401577</v>
      </c>
      <c r="L83" s="105"/>
      <c r="M83" s="105"/>
    </row>
    <row r="84" spans="1:13" s="19" customFormat="1" x14ac:dyDescent="0.25">
      <c r="A84" s="66">
        <v>78</v>
      </c>
      <c r="B84" s="62">
        <f t="shared" si="17"/>
        <v>79.743200000000002</v>
      </c>
      <c r="C84" s="121">
        <f t="shared" si="13"/>
        <v>10.794636969135803</v>
      </c>
      <c r="D84" s="62">
        <f t="shared" si="18"/>
        <v>7.0941209219081145</v>
      </c>
      <c r="E84" s="62">
        <f t="shared" si="10"/>
        <v>39.506343048903737</v>
      </c>
      <c r="F84" s="120">
        <f t="shared" si="19"/>
        <v>116.58126234773317</v>
      </c>
      <c r="G84" s="120">
        <v>116.58126234773317</v>
      </c>
      <c r="H84" s="120">
        <f t="shared" si="21"/>
        <v>8302.6967468335388</v>
      </c>
      <c r="I84" s="117">
        <f>I83+(($B$60/100)^2*KeyParameters!$B$36*KeyParameters!$B$35*44/12)</f>
        <v>7929.5871380796179</v>
      </c>
      <c r="J84" s="63">
        <f t="shared" si="20"/>
        <v>57.316665256576933</v>
      </c>
      <c r="K84" s="64">
        <f>H84*(1+KeyParameters!$B$37)*(1+KeyParameters!$B$50)</f>
        <v>13699.449632275338</v>
      </c>
      <c r="L84" s="105"/>
      <c r="M84" s="105"/>
    </row>
    <row r="85" spans="1:13" s="19" customFormat="1" x14ac:dyDescent="0.25">
      <c r="A85" s="66">
        <v>79</v>
      </c>
      <c r="B85" s="62">
        <f t="shared" si="17"/>
        <v>79.743200000000002</v>
      </c>
      <c r="C85" s="121">
        <f t="shared" si="13"/>
        <v>10.794636969135803</v>
      </c>
      <c r="D85" s="62">
        <f t="shared" si="18"/>
        <v>7.0941209219081145</v>
      </c>
      <c r="E85" s="62">
        <f t="shared" si="10"/>
        <v>39.506343048903737</v>
      </c>
      <c r="F85" s="120">
        <f t="shared" si="19"/>
        <v>116.58126234773317</v>
      </c>
      <c r="G85" s="120">
        <v>116.58126234773317</v>
      </c>
      <c r="H85" s="120">
        <f t="shared" si="21"/>
        <v>8419.278009181271</v>
      </c>
      <c r="I85" s="117">
        <f>I84+(($B$60/100)^2*KeyParameters!$B$36*KeyParameters!$B$35*44/12)</f>
        <v>8046.1684004273511</v>
      </c>
      <c r="J85" s="63">
        <f t="shared" si="20"/>
        <v>58.121469935457029</v>
      </c>
      <c r="K85" s="64">
        <f>H85*(1+KeyParameters!$B$37)*(1+KeyParameters!$B$50)</f>
        <v>13891.8087151491</v>
      </c>
      <c r="L85" s="105"/>
      <c r="M85" s="105"/>
    </row>
    <row r="86" spans="1:13" s="19" customFormat="1" x14ac:dyDescent="0.25">
      <c r="A86" s="66">
        <v>80</v>
      </c>
      <c r="B86" s="62">
        <f t="shared" si="17"/>
        <v>79.743200000000002</v>
      </c>
      <c r="C86" s="121">
        <f t="shared" si="13"/>
        <v>10.794636969135803</v>
      </c>
      <c r="D86" s="62">
        <f t="shared" si="18"/>
        <v>7.0941209219081145</v>
      </c>
      <c r="E86" s="62">
        <f t="shared" si="10"/>
        <v>39.506343048903737</v>
      </c>
      <c r="F86" s="120">
        <f t="shared" si="19"/>
        <v>116.58126234773317</v>
      </c>
      <c r="G86" s="120">
        <v>116.58126234773317</v>
      </c>
      <c r="H86" s="120">
        <f t="shared" si="21"/>
        <v>8535.8592715290033</v>
      </c>
      <c r="I86" s="117">
        <f>I85+(($B$60/100)^2*KeyParameters!$B$36*KeyParameters!$B$35*44/12)</f>
        <v>8162.7496627750843</v>
      </c>
      <c r="J86" s="63">
        <f t="shared" si="20"/>
        <v>58.92627461433711</v>
      </c>
      <c r="K86" s="64">
        <f>H86*(1+KeyParameters!$B$37)*(1+KeyParameters!$B$50)</f>
        <v>14084.167798022854</v>
      </c>
      <c r="L86" s="105"/>
      <c r="M86" s="105"/>
    </row>
    <row r="87" spans="1:13" x14ac:dyDescent="0.25">
      <c r="A87" s="19"/>
      <c r="B87" s="1"/>
      <c r="C87" s="11"/>
      <c r="D87" s="1"/>
      <c r="E87" s="1"/>
      <c r="F87" s="1"/>
      <c r="G87" s="36"/>
      <c r="H87" s="36"/>
      <c r="I87" s="10"/>
      <c r="J87" s="2"/>
    </row>
    <row r="88" spans="1:13" x14ac:dyDescent="0.25">
      <c r="A88" s="19"/>
      <c r="B88" s="1"/>
      <c r="C88" s="11"/>
      <c r="D88" s="1"/>
      <c r="E88" s="1"/>
      <c r="F88" s="1"/>
      <c r="G88" s="36"/>
      <c r="H88" s="36"/>
      <c r="I88" s="10"/>
      <c r="J88" s="2"/>
    </row>
    <row r="89" spans="1:13" x14ac:dyDescent="0.25">
      <c r="A89" s="19"/>
      <c r="B89" s="15"/>
      <c r="C89" s="31"/>
      <c r="D89" s="15"/>
      <c r="E89" s="15"/>
      <c r="F89" s="15"/>
      <c r="G89" s="15"/>
      <c r="H89" s="15"/>
      <c r="I89" s="15"/>
      <c r="J89" s="32"/>
    </row>
    <row r="90" spans="1:13" x14ac:dyDescent="0.25">
      <c r="A90" s="19"/>
      <c r="B90" s="15"/>
      <c r="C90" s="31"/>
      <c r="D90" s="15"/>
      <c r="E90" s="15"/>
      <c r="F90" s="15"/>
      <c r="G90" s="15"/>
      <c r="H90" s="15"/>
      <c r="I90" s="15"/>
      <c r="J90" s="32"/>
    </row>
    <row r="91" spans="1:13" x14ac:dyDescent="0.25">
      <c r="A91" s="19"/>
      <c r="B91" s="15"/>
      <c r="C91" s="31"/>
      <c r="D91" s="15"/>
      <c r="E91" s="15"/>
      <c r="F91" s="15"/>
      <c r="G91" s="15"/>
      <c r="H91" s="15"/>
      <c r="I91" s="15"/>
      <c r="J91" s="32"/>
    </row>
    <row r="92" spans="1:13" x14ac:dyDescent="0.25">
      <c r="A92" s="19"/>
      <c r="B92" s="15"/>
      <c r="C92" s="31"/>
      <c r="D92" s="15"/>
      <c r="E92" s="15"/>
      <c r="F92" s="15"/>
      <c r="G92" s="15"/>
      <c r="H92" s="15"/>
      <c r="I92" s="15"/>
      <c r="J92" s="32"/>
    </row>
    <row r="93" spans="1:13" x14ac:dyDescent="0.25">
      <c r="A93" s="19"/>
      <c r="B93" s="15"/>
      <c r="C93" s="31"/>
      <c r="D93" s="15"/>
      <c r="E93" s="15"/>
      <c r="F93" s="15"/>
      <c r="G93" s="15"/>
      <c r="H93" s="15"/>
      <c r="I93" s="15"/>
      <c r="J93" s="32"/>
    </row>
    <row r="94" spans="1:13" x14ac:dyDescent="0.25">
      <c r="A94" s="19"/>
      <c r="B94" s="15"/>
      <c r="C94" s="31"/>
      <c r="D94" s="15"/>
      <c r="E94" s="15"/>
      <c r="F94" s="15"/>
      <c r="G94" s="15"/>
      <c r="H94" s="15"/>
      <c r="I94" s="15"/>
      <c r="J94" s="32"/>
    </row>
    <row r="95" spans="1:13" x14ac:dyDescent="0.25">
      <c r="A95" s="19"/>
      <c r="B95" s="15"/>
      <c r="C95" s="31"/>
      <c r="D95" s="15"/>
      <c r="E95" s="15"/>
      <c r="F95" s="15"/>
      <c r="G95" s="15"/>
      <c r="H95" s="15"/>
      <c r="I95" s="15"/>
      <c r="J95" s="32"/>
    </row>
    <row r="96" spans="1:13" x14ac:dyDescent="0.25">
      <c r="A96" s="19"/>
      <c r="B96" s="15"/>
      <c r="C96" s="31"/>
      <c r="D96" s="15"/>
      <c r="E96" s="15"/>
      <c r="F96" s="15"/>
      <c r="G96" s="15"/>
      <c r="H96" s="15"/>
      <c r="I96" s="15"/>
      <c r="J96" s="32"/>
    </row>
    <row r="97" spans="1:10" x14ac:dyDescent="0.25">
      <c r="A97" s="19"/>
      <c r="B97" s="15"/>
      <c r="C97" s="31"/>
      <c r="D97" s="15"/>
      <c r="E97" s="15"/>
      <c r="F97" s="15"/>
      <c r="G97" s="15"/>
      <c r="H97" s="15"/>
      <c r="I97" s="15"/>
      <c r="J97" s="32"/>
    </row>
    <row r="98" spans="1:10" x14ac:dyDescent="0.25">
      <c r="A98" s="19"/>
      <c r="B98" s="15"/>
      <c r="C98" s="31"/>
      <c r="D98" s="15"/>
      <c r="E98" s="15"/>
      <c r="F98" s="15"/>
      <c r="G98" s="15"/>
      <c r="H98" s="15"/>
      <c r="I98" s="15"/>
      <c r="J98" s="32"/>
    </row>
    <row r="99" spans="1:10" x14ac:dyDescent="0.25">
      <c r="B99" s="1"/>
      <c r="C99" s="11"/>
      <c r="D99" s="1"/>
      <c r="E99" s="1"/>
      <c r="F99" s="1"/>
      <c r="G99" s="36"/>
      <c r="H99" s="36"/>
      <c r="I99" s="10"/>
    </row>
    <row r="100" spans="1:10" x14ac:dyDescent="0.25">
      <c r="B100" s="1"/>
      <c r="C100" s="11"/>
      <c r="D100" s="1"/>
      <c r="E100" s="1"/>
      <c r="F100" s="1"/>
      <c r="G100" s="36"/>
      <c r="H100" s="36"/>
      <c r="I100" s="10"/>
    </row>
    <row r="101" spans="1:10" x14ac:dyDescent="0.25">
      <c r="B101" s="1"/>
      <c r="C101" s="11"/>
      <c r="D101" s="1"/>
      <c r="E101" s="1"/>
      <c r="F101" s="1"/>
      <c r="G101" s="36"/>
      <c r="H101" s="36"/>
      <c r="I101" s="10"/>
    </row>
    <row r="102" spans="1:10" x14ac:dyDescent="0.25">
      <c r="B102" s="1"/>
      <c r="C102" s="11"/>
      <c r="D102" s="1"/>
      <c r="E102" s="1"/>
      <c r="F102" s="1"/>
      <c r="G102" s="36"/>
      <c r="H102" s="36"/>
      <c r="I102" s="10"/>
    </row>
    <row r="103" spans="1:10" x14ac:dyDescent="0.25">
      <c r="B103" s="1"/>
      <c r="C103" s="11"/>
      <c r="D103" s="1"/>
      <c r="E103" s="1"/>
      <c r="F103" s="1"/>
      <c r="G103" s="36"/>
      <c r="H103" s="36"/>
      <c r="I103" s="10"/>
    </row>
    <row r="104" spans="1:10" x14ac:dyDescent="0.25">
      <c r="B104" s="1"/>
      <c r="C104" s="11"/>
      <c r="D104" s="1"/>
      <c r="E104" s="1"/>
      <c r="F104" s="1"/>
      <c r="G104" s="36"/>
      <c r="H104" s="36"/>
      <c r="I104" s="10"/>
    </row>
    <row r="105" spans="1:10" x14ac:dyDescent="0.25">
      <c r="B105" s="1"/>
      <c r="C105" s="11"/>
      <c r="D105" s="1"/>
      <c r="E105" s="1"/>
      <c r="F105" s="1"/>
      <c r="G105" s="36"/>
      <c r="H105" s="36"/>
      <c r="I105" s="10"/>
    </row>
    <row r="106" spans="1:10" x14ac:dyDescent="0.25">
      <c r="B106" s="1"/>
      <c r="C106" s="11"/>
      <c r="D106" s="1"/>
      <c r="E106" s="1"/>
      <c r="F106" s="1"/>
      <c r="G106" s="36"/>
      <c r="H106" s="36"/>
      <c r="I106" s="10"/>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7D813-667E-46C3-999C-C206B180B977}">
  <sheetPr codeName="Sheet9">
    <tabColor theme="9" tint="0.39997558519241921"/>
  </sheetPr>
  <dimension ref="A1:M107"/>
  <sheetViews>
    <sheetView zoomScale="80" zoomScaleNormal="80" workbookViewId="0">
      <selection activeCell="M1" sqref="M1:M1048576"/>
    </sheetView>
  </sheetViews>
  <sheetFormatPr defaultRowHeight="15" x14ac:dyDescent="0.25"/>
  <cols>
    <col min="1" max="1" width="25.7109375" customWidth="1"/>
    <col min="2" max="2" width="27.42578125" customWidth="1"/>
    <col min="3" max="3" width="17.42578125" customWidth="1"/>
    <col min="4" max="4" width="20" customWidth="1"/>
    <col min="5" max="5" width="19.7109375" customWidth="1"/>
    <col min="6" max="6" width="25.5703125" bestFit="1" customWidth="1"/>
    <col min="7" max="8" width="19.7109375" customWidth="1"/>
    <col min="9" max="9" width="22.28515625" bestFit="1" customWidth="1"/>
    <col min="10" max="10" width="27" bestFit="1" customWidth="1"/>
    <col min="11" max="11" width="32.140625" bestFit="1" customWidth="1"/>
    <col min="12" max="12" width="18.7109375" bestFit="1" customWidth="1"/>
    <col min="13" max="13" width="18.7109375" customWidth="1"/>
  </cols>
  <sheetData>
    <row r="1" spans="1:13" x14ac:dyDescent="0.25">
      <c r="A1" s="8" t="s">
        <v>17</v>
      </c>
      <c r="B1" s="50" t="s">
        <v>18</v>
      </c>
      <c r="C1" s="50" t="s">
        <v>128</v>
      </c>
    </row>
    <row r="2" spans="1:13" x14ac:dyDescent="0.25">
      <c r="A2" s="8"/>
    </row>
    <row r="3" spans="1:13" x14ac:dyDescent="0.25">
      <c r="A3" s="8"/>
      <c r="F3" s="8" t="s">
        <v>91</v>
      </c>
      <c r="G3" s="35">
        <f>(I27-I8)/(A27-A8)</f>
        <v>2.8027319653333045</v>
      </c>
    </row>
    <row r="4" spans="1:13" x14ac:dyDescent="0.25">
      <c r="F4" s="8" t="s">
        <v>92</v>
      </c>
      <c r="G4" s="35">
        <f>0.93*G3</f>
        <v>2.6065407277599735</v>
      </c>
    </row>
    <row r="5" spans="1:13" ht="15.75" thickBot="1" x14ac:dyDescent="0.3"/>
    <row r="6" spans="1:13" s="19" customFormat="1" ht="90" x14ac:dyDescent="0.25">
      <c r="A6" s="106" t="s">
        <v>13</v>
      </c>
      <c r="B6" s="107" t="s">
        <v>12</v>
      </c>
      <c r="C6" s="108" t="s">
        <v>43</v>
      </c>
      <c r="D6" s="108" t="s">
        <v>10</v>
      </c>
      <c r="E6" s="108" t="s">
        <v>9</v>
      </c>
      <c r="F6" s="108" t="s">
        <v>45</v>
      </c>
      <c r="G6" s="108" t="s">
        <v>46</v>
      </c>
      <c r="H6" s="108" t="s">
        <v>47</v>
      </c>
      <c r="I6" s="107" t="s">
        <v>8</v>
      </c>
      <c r="J6" s="107" t="s">
        <v>84</v>
      </c>
      <c r="K6" s="107" t="s">
        <v>90</v>
      </c>
      <c r="L6" s="108" t="s">
        <v>6</v>
      </c>
      <c r="M6" s="108" t="s">
        <v>230</v>
      </c>
    </row>
    <row r="7" spans="1:13" ht="17.25" x14ac:dyDescent="0.25">
      <c r="A7" s="109" t="s">
        <v>5</v>
      </c>
      <c r="B7" s="109" t="s">
        <v>4</v>
      </c>
      <c r="C7" s="110" t="s">
        <v>3</v>
      </c>
      <c r="D7" s="110" t="s">
        <v>3</v>
      </c>
      <c r="E7" s="110" t="s">
        <v>2</v>
      </c>
      <c r="F7" s="110" t="s">
        <v>70</v>
      </c>
      <c r="G7" s="110" t="s">
        <v>70</v>
      </c>
      <c r="H7" s="110" t="s">
        <v>69</v>
      </c>
      <c r="I7" s="109" t="s">
        <v>1</v>
      </c>
      <c r="J7" s="109" t="s">
        <v>1</v>
      </c>
      <c r="K7" s="110" t="s">
        <v>69</v>
      </c>
      <c r="L7" s="61"/>
      <c r="M7" s="109" t="s">
        <v>0</v>
      </c>
    </row>
    <row r="8" spans="1:13" x14ac:dyDescent="0.25">
      <c r="A8" s="111">
        <v>1</v>
      </c>
      <c r="B8" s="61">
        <f>(0.002*A8^2) -(0.0595*A8) +42.402</f>
        <v>42.344500000000004</v>
      </c>
      <c r="C8" s="61">
        <v>0</v>
      </c>
      <c r="D8" s="61">
        <f>1.4688 * (C8+4)^0.5036</f>
        <v>2.9522972058062971</v>
      </c>
      <c r="E8" s="111">
        <f>E12</f>
        <v>6.8339797034882244</v>
      </c>
      <c r="F8" s="61">
        <v>38.041660254819298</v>
      </c>
      <c r="G8" s="111">
        <v>12.912540689087701</v>
      </c>
      <c r="H8" s="113">
        <f>H12/5</f>
        <v>31.892842696011684</v>
      </c>
      <c r="I8" s="113">
        <f>H8</f>
        <v>31.892842696011684</v>
      </c>
      <c r="J8" s="111">
        <f>I8</f>
        <v>31.892842696011684</v>
      </c>
      <c r="K8" s="111">
        <f>J8</f>
        <v>31.892842696011684</v>
      </c>
      <c r="L8" s="111">
        <f t="shared" ref="L8:L39" si="0">(K8/E8)*12/44</f>
        <v>1.2727646825704646</v>
      </c>
      <c r="M8" s="64">
        <f>K8*(1+ KeyParameters!$B$34)*(1+KeyParameters!$B$47)</f>
        <v>48.450880488307561</v>
      </c>
    </row>
    <row r="9" spans="1:13" x14ac:dyDescent="0.25">
      <c r="A9" s="111">
        <v>2</v>
      </c>
      <c r="B9" s="61">
        <f t="shared" ref="B9:B26" si="1">(0.002*A9^2) -(0.0595*A9) +42.402</f>
        <v>42.291000000000004</v>
      </c>
      <c r="C9" s="61">
        <v>0</v>
      </c>
      <c r="D9" s="61">
        <f>1.4688 * (C9+4)^0.5036</f>
        <v>2.9522972058062971</v>
      </c>
      <c r="E9" s="111">
        <f>E8</f>
        <v>6.8339797034882244</v>
      </c>
      <c r="F9" s="61">
        <f>F8</f>
        <v>38.041660254819298</v>
      </c>
      <c r="G9" s="111">
        <f>G8</f>
        <v>12.912540689087701</v>
      </c>
      <c r="H9" s="113">
        <f>H8*2</f>
        <v>63.785685392023368</v>
      </c>
      <c r="I9" s="113">
        <f>H9-H8</f>
        <v>31.892842696011684</v>
      </c>
      <c r="J9" s="111">
        <f>I9</f>
        <v>31.892842696011684</v>
      </c>
      <c r="K9" s="111">
        <f>K8+J9</f>
        <v>63.785685392023368</v>
      </c>
      <c r="L9" s="111">
        <f t="shared" si="0"/>
        <v>2.5455293651409292</v>
      </c>
      <c r="M9" s="64">
        <f>K9*(1+ KeyParameters!$B$34)*(1+KeyParameters!$B$47)</f>
        <v>96.901760976615122</v>
      </c>
    </row>
    <row r="10" spans="1:13" x14ac:dyDescent="0.25">
      <c r="A10" s="111">
        <v>3</v>
      </c>
      <c r="B10" s="61">
        <f t="shared" si="1"/>
        <v>42.241500000000002</v>
      </c>
      <c r="C10" s="61">
        <v>0</v>
      </c>
      <c r="D10" s="61">
        <f>1.4688 * (C10+4)^0.5036</f>
        <v>2.9522972058062971</v>
      </c>
      <c r="E10" s="111">
        <f t="shared" ref="E10:E11" si="2">E9</f>
        <v>6.8339797034882244</v>
      </c>
      <c r="F10" s="61">
        <f>F9</f>
        <v>38.041660254819298</v>
      </c>
      <c r="G10" s="111">
        <f>G9</f>
        <v>12.912540689087701</v>
      </c>
      <c r="H10" s="113">
        <f>H8*3</f>
        <v>95.678528088035051</v>
      </c>
      <c r="I10" s="113">
        <f t="shared" ref="I10:I73" si="3">H10-H9</f>
        <v>31.892842696011684</v>
      </c>
      <c r="J10" s="111">
        <f t="shared" ref="J10:J26" si="4">I10</f>
        <v>31.892842696011684</v>
      </c>
      <c r="K10" s="111">
        <f t="shared" ref="K10:K73" si="5">K9+J10</f>
        <v>95.678528088035051</v>
      </c>
      <c r="L10" s="111">
        <f t="shared" si="0"/>
        <v>3.8182940477113934</v>
      </c>
      <c r="M10" s="64">
        <f>K10*(1+ KeyParameters!$B$34)*(1+KeyParameters!$B$47)</f>
        <v>145.35264146492267</v>
      </c>
    </row>
    <row r="11" spans="1:13" x14ac:dyDescent="0.25">
      <c r="A11" s="111">
        <v>4</v>
      </c>
      <c r="B11" s="61">
        <f t="shared" si="1"/>
        <v>42.195999999999998</v>
      </c>
      <c r="C11" s="61">
        <f t="shared" ref="C11:C56" si="6" xml:space="preserve"> 0.26*A11-1.04</f>
        <v>0</v>
      </c>
      <c r="D11" s="61">
        <f>1.4688 * (C11+4)^0.5036</f>
        <v>2.9522972058062971</v>
      </c>
      <c r="E11" s="111">
        <f t="shared" si="2"/>
        <v>6.8339797034882244</v>
      </c>
      <c r="F11" s="61">
        <f>F10</f>
        <v>38.041660254819298</v>
      </c>
      <c r="G11" s="111">
        <f t="shared" ref="G11" si="7">G10</f>
        <v>12.912540689087701</v>
      </c>
      <c r="H11" s="113">
        <f>H8*4</f>
        <v>127.57137078404674</v>
      </c>
      <c r="I11" s="113">
        <f>H11-H10</f>
        <v>31.892842696011684</v>
      </c>
      <c r="J11" s="111">
        <f>I11</f>
        <v>31.892842696011684</v>
      </c>
      <c r="K11" s="111">
        <f t="shared" si="5"/>
        <v>127.57137078404674</v>
      </c>
      <c r="L11" s="111">
        <f t="shared" si="0"/>
        <v>5.0910587302818584</v>
      </c>
      <c r="M11" s="64">
        <f>K11*(1+ KeyParameters!$B$34)*(1+KeyParameters!$B$47)</f>
        <v>193.80352195323024</v>
      </c>
    </row>
    <row r="12" spans="1:13" x14ac:dyDescent="0.25">
      <c r="A12" s="111">
        <v>5</v>
      </c>
      <c r="B12" s="61">
        <f t="shared" si="1"/>
        <v>42.154499999999999</v>
      </c>
      <c r="C12" s="61">
        <f xml:space="preserve"> 0.26*A12-1.04</f>
        <v>0.26</v>
      </c>
      <c r="D12" s="61">
        <f>1.4688 *( C12+4)^0.5036</f>
        <v>3.0474271888675255</v>
      </c>
      <c r="E12" s="111">
        <f>LN((F12*KeyParameters!$B$40)/14.034) * 1/0.0554</f>
        <v>6.8339797034882244</v>
      </c>
      <c r="F12" s="61">
        <f xml:space="preserve"> 6.4575 *A12^1.1019</f>
        <v>38.04166025481927</v>
      </c>
      <c r="G12" s="111">
        <f xml:space="preserve"> 0.5808 * A12^1.9271</f>
        <v>12.912540689087654</v>
      </c>
      <c r="H12" s="113">
        <f>(( F12 + G12) * KeyParameters!$B$40 *44/12)*(1+KeyParameters!$B$41)</f>
        <v>159.46421348005842</v>
      </c>
      <c r="I12" s="114">
        <f>H12-H11</f>
        <v>31.892842696011684</v>
      </c>
      <c r="J12" s="111">
        <f t="shared" si="4"/>
        <v>31.892842696011684</v>
      </c>
      <c r="K12" s="111">
        <f t="shared" si="5"/>
        <v>159.46421348005842</v>
      </c>
      <c r="L12" s="111">
        <f t="shared" si="0"/>
        <v>6.363823412852323</v>
      </c>
      <c r="M12" s="64">
        <f>K12*(1+ KeyParameters!$B$34)*(1+KeyParameters!$B$47)</f>
        <v>242.25440244153782</v>
      </c>
    </row>
    <row r="13" spans="1:13" x14ac:dyDescent="0.25">
      <c r="A13" s="111">
        <v>6</v>
      </c>
      <c r="B13" s="61">
        <f t="shared" si="1"/>
        <v>42.117000000000004</v>
      </c>
      <c r="C13" s="61">
        <f t="shared" si="6"/>
        <v>0.52</v>
      </c>
      <c r="D13" s="61">
        <f>1.4688 *( C13+4)^0.5036</f>
        <v>3.1397160973757243</v>
      </c>
      <c r="E13" s="111">
        <f>LN((F13*KeyParameters!$B$40)/14.034) * 1/0.0554</f>
        <v>10.460335722103</v>
      </c>
      <c r="F13" s="61">
        <f xml:space="preserve"> 6.4575 *A13^1.1019</f>
        <v>46.506031094053277</v>
      </c>
      <c r="G13" s="111">
        <f t="shared" ref="G13:G26" si="8" xml:space="preserve"> 0.5808 * A13^1.9271</f>
        <v>18.348555603152533</v>
      </c>
      <c r="H13" s="113">
        <f>(( F13 + G13) * KeyParameters!$B$40 *44/12)*(1+KeyParameters!$B$41)</f>
        <v>202.96630045536742</v>
      </c>
      <c r="I13" s="114">
        <f>H13-H12</f>
        <v>43.502086975308998</v>
      </c>
      <c r="J13" s="111">
        <f t="shared" si="4"/>
        <v>43.502086975308998</v>
      </c>
      <c r="K13" s="111">
        <f t="shared" si="5"/>
        <v>202.96630045536742</v>
      </c>
      <c r="L13" s="111">
        <f t="shared" si="0"/>
        <v>5.2918421596900549</v>
      </c>
      <c r="M13" s="64">
        <f>K13*(1+ KeyParameters!$B$34)*(1+KeyParameters!$B$47)</f>
        <v>308.34178251996002</v>
      </c>
    </row>
    <row r="14" spans="1:13" x14ac:dyDescent="0.25">
      <c r="A14" s="111">
        <v>7</v>
      </c>
      <c r="B14" s="61">
        <f t="shared" si="1"/>
        <v>42.083500000000001</v>
      </c>
      <c r="C14" s="61">
        <f t="shared" si="6"/>
        <v>0.78</v>
      </c>
      <c r="D14" s="61">
        <f t="shared" ref="D14:D70" si="9">1.4688 *( C14+4)^0.5036</f>
        <v>3.229405291821247</v>
      </c>
      <c r="E14" s="111">
        <f>LN((F14*KeyParameters!$B$40)/14.034) * 1/0.0554</f>
        <v>13.526376048847698</v>
      </c>
      <c r="F14" s="61">
        <f t="shared" ref="F14:F27" si="10" xml:space="preserve"> 6.4575 *A14^1.1019</f>
        <v>55.116032193278876</v>
      </c>
      <c r="G14" s="111">
        <f t="shared" si="8"/>
        <v>24.695341751045575</v>
      </c>
      <c r="H14" s="115">
        <f>(( F14 + G14) * KeyParameters!$B$40 *44/12)*(1+KeyParameters!$B$41)</f>
        <v>249.774458965712</v>
      </c>
      <c r="I14" s="111">
        <f>H14-H13</f>
        <v>46.808158510344583</v>
      </c>
      <c r="J14" s="111">
        <f t="shared" si="4"/>
        <v>46.808158510344583</v>
      </c>
      <c r="K14" s="111">
        <f t="shared" si="5"/>
        <v>249.774458965712</v>
      </c>
      <c r="L14" s="111">
        <f t="shared" si="0"/>
        <v>5.0361092094916167</v>
      </c>
      <c r="M14" s="64">
        <f>K14*(1+ KeyParameters!$B$34)*(1+KeyParameters!$B$47)</f>
        <v>379.45167120185135</v>
      </c>
    </row>
    <row r="15" spans="1:13" x14ac:dyDescent="0.25">
      <c r="A15" s="111">
        <v>8</v>
      </c>
      <c r="B15" s="61">
        <f t="shared" si="1"/>
        <v>42.054000000000002</v>
      </c>
      <c r="C15" s="61">
        <f t="shared" si="6"/>
        <v>1.04</v>
      </c>
      <c r="D15" s="61">
        <f t="shared" si="9"/>
        <v>3.3167037515814677</v>
      </c>
      <c r="E15" s="111">
        <f>LN((F15*KeyParameters!$B$40)/14.034) * 1/0.0554</f>
        <v>16.182300986265773</v>
      </c>
      <c r="F15" s="61">
        <f t="shared" si="10"/>
        <v>63.852700802700888</v>
      </c>
      <c r="G15" s="111">
        <f xml:space="preserve"> 0.5808 * A15^1.9271</f>
        <v>31.942677856856456</v>
      </c>
      <c r="H15" s="111">
        <f>(( F15 + G15) * KeyParameters!$B$40 *44/12)*(1+KeyParameters!$B$41)</f>
        <v>299.79735586055483</v>
      </c>
      <c r="I15" s="111">
        <f>H15-H14</f>
        <v>50.02289689484283</v>
      </c>
      <c r="J15" s="111">
        <f t="shared" si="4"/>
        <v>50.02289689484283</v>
      </c>
      <c r="K15" s="111">
        <f t="shared" si="5"/>
        <v>299.79735586055483</v>
      </c>
      <c r="L15" s="111">
        <f t="shared" si="0"/>
        <v>5.0526136736728926</v>
      </c>
      <c r="M15" s="64">
        <f>K15*(1+ KeyParameters!$B$34)*(1+KeyParameters!$B$47)</f>
        <v>455.4453172443865</v>
      </c>
    </row>
    <row r="16" spans="1:13" ht="15.75" customHeight="1" x14ac:dyDescent="0.25">
      <c r="A16" s="111">
        <v>9</v>
      </c>
      <c r="B16" s="61">
        <f t="shared" si="1"/>
        <v>42.028500000000001</v>
      </c>
      <c r="C16" s="61">
        <f t="shared" si="6"/>
        <v>1.2999999999999998</v>
      </c>
      <c r="D16" s="61">
        <f t="shared" si="9"/>
        <v>3.4017938509774708</v>
      </c>
      <c r="E16" s="111">
        <f>LN((F16*KeyParameters!$B$40)/14.034) * 1/0.0554</f>
        <v>18.524992809185793</v>
      </c>
      <c r="F16" s="61">
        <f xml:space="preserve"> 6.4575 *A16^1.1019</f>
        <v>72.701644726346942</v>
      </c>
      <c r="G16" s="111">
        <f t="shared" si="8"/>
        <v>40.081812087280255</v>
      </c>
      <c r="H16" s="111">
        <f>(( F16 + G16) * KeyParameters!$B$40 *44/12)*(1+KeyParameters!$B$41)</f>
        <v>352.96256051872831</v>
      </c>
      <c r="I16" s="111">
        <f t="shared" si="3"/>
        <v>53.165204658173479</v>
      </c>
      <c r="J16" s="111">
        <f t="shared" si="4"/>
        <v>53.165204658173479</v>
      </c>
      <c r="K16" s="111">
        <f t="shared" si="5"/>
        <v>352.96256051872831</v>
      </c>
      <c r="L16" s="111">
        <f t="shared" si="0"/>
        <v>5.1963591833285374</v>
      </c>
      <c r="M16" s="64">
        <f>K16*(1+ KeyParameters!$B$34)*(1+KeyParameters!$B$47)</f>
        <v>536.21268569698611</v>
      </c>
    </row>
    <row r="17" spans="1:13" x14ac:dyDescent="0.25">
      <c r="A17" s="111">
        <v>10</v>
      </c>
      <c r="B17" s="61">
        <f t="shared" si="1"/>
        <v>42.006999999999998</v>
      </c>
      <c r="C17" s="61">
        <f t="shared" si="6"/>
        <v>1.56</v>
      </c>
      <c r="D17" s="61">
        <f t="shared" si="9"/>
        <v>3.4848358742790477</v>
      </c>
      <c r="E17" s="111">
        <f>LN((F17*KeyParameters!$B$40)/14.034) * 1/0.0554</f>
        <v>20.620602054733791</v>
      </c>
      <c r="F17" s="61">
        <f xml:space="preserve"> 6.4575 *A17^1.1019</f>
        <v>81.651546509861248</v>
      </c>
      <c r="G17" s="111">
        <f xml:space="preserve"> 0.5808 * A17^1.9271</f>
        <v>49.105100892588894</v>
      </c>
      <c r="H17" s="111">
        <f>(( F17 + G17) * KeyParameters!$B$40 *44/12)*(1+KeyParameters!$B$41)</f>
        <v>409.21073334610668</v>
      </c>
      <c r="I17" s="111">
        <f t="shared" si="3"/>
        <v>56.248172827378369</v>
      </c>
      <c r="J17" s="111">
        <f t="shared" si="4"/>
        <v>56.248172827378369</v>
      </c>
      <c r="K17" s="111">
        <f t="shared" si="5"/>
        <v>409.21073334610668</v>
      </c>
      <c r="L17" s="111">
        <f t="shared" si="0"/>
        <v>5.4122050840213296</v>
      </c>
      <c r="M17" s="64">
        <f>K17*(1+ KeyParameters!$B$34)*(1+KeyParameters!$B$47)</f>
        <v>621.66362919929679</v>
      </c>
    </row>
    <row r="18" spans="1:13" x14ac:dyDescent="0.25">
      <c r="A18" s="111">
        <v>11</v>
      </c>
      <c r="B18" s="61">
        <f t="shared" si="1"/>
        <v>41.9895</v>
      </c>
      <c r="C18" s="61">
        <f t="shared" si="6"/>
        <v>1.8200000000000003</v>
      </c>
      <c r="D18" s="61">
        <f t="shared" si="9"/>
        <v>3.5659715907079472</v>
      </c>
      <c r="E18" s="111">
        <f>LN((F18*KeyParameters!$B$40)/14.034) * 1/0.0554</f>
        <v>22.51631120863966</v>
      </c>
      <c r="F18" s="61">
        <f t="shared" si="10"/>
        <v>90.693260330086275</v>
      </c>
      <c r="G18" s="111">
        <f t="shared" si="8"/>
        <v>59.005765810831043</v>
      </c>
      <c r="H18" s="111">
        <f>(( F18 + G18) * KeyParameters!$B$40 *44/12)*(1+KeyParameters!$B$41)</f>
        <v>468.49203834186778</v>
      </c>
      <c r="I18" s="111">
        <f t="shared" si="3"/>
        <v>59.281304995761104</v>
      </c>
      <c r="J18" s="111">
        <f t="shared" si="4"/>
        <v>59.281304995761104</v>
      </c>
      <c r="K18" s="111">
        <f t="shared" si="5"/>
        <v>468.49203834186778</v>
      </c>
      <c r="L18" s="111">
        <f t="shared" si="0"/>
        <v>5.6745776307440652</v>
      </c>
      <c r="M18" s="64">
        <f>K18*(1+ KeyParameters!$B$34)*(1+KeyParameters!$B$47)</f>
        <v>711.72243803353456</v>
      </c>
    </row>
    <row r="19" spans="1:13" x14ac:dyDescent="0.25">
      <c r="A19" s="111">
        <v>12</v>
      </c>
      <c r="B19" s="61">
        <f t="shared" si="1"/>
        <v>41.975999999999999</v>
      </c>
      <c r="C19" s="61">
        <f t="shared" si="6"/>
        <v>2.08</v>
      </c>
      <c r="D19" s="61">
        <f t="shared" si="9"/>
        <v>3.6453271181368301</v>
      </c>
      <c r="E19" s="111">
        <f>LN((F19*KeyParameters!$B$40)/14.034) * 1/0.0554</f>
        <v>24.246958073348562</v>
      </c>
      <c r="F19" s="61">
        <f xml:space="preserve"> 6.4575 *A19^1.1019</f>
        <v>99.819233320241011</v>
      </c>
      <c r="G19" s="111">
        <f t="shared" si="8"/>
        <v>69.777721969737541</v>
      </c>
      <c r="H19" s="111">
        <f>(( F19 + G19) * KeyParameters!$B$40 *44/12)*(1+KeyParameters!$B$41)</f>
        <v>530.76379538757237</v>
      </c>
      <c r="I19" s="111">
        <f t="shared" si="3"/>
        <v>62.271757045704589</v>
      </c>
      <c r="J19" s="111">
        <f t="shared" si="4"/>
        <v>62.271757045704589</v>
      </c>
      <c r="K19" s="111">
        <f t="shared" si="5"/>
        <v>530.76379538757237</v>
      </c>
      <c r="L19" s="111">
        <f t="shared" si="0"/>
        <v>5.9699761900251422</v>
      </c>
      <c r="M19" s="64">
        <f>K19*(1+ KeyParameters!$B$34)*(1+KeyParameters!$B$47)</f>
        <v>806.32427353550634</v>
      </c>
    </row>
    <row r="20" spans="1:13" x14ac:dyDescent="0.25">
      <c r="A20" s="111">
        <v>13</v>
      </c>
      <c r="B20" s="61">
        <f t="shared" si="1"/>
        <v>41.966500000000003</v>
      </c>
      <c r="C20" s="61">
        <f t="shared" si="6"/>
        <v>2.34</v>
      </c>
      <c r="D20" s="61">
        <f t="shared" si="9"/>
        <v>3.7230152411908661</v>
      </c>
      <c r="E20" s="111">
        <f>LN((F20*KeyParameters!$B$40)/14.034) * 1/0.0554</f>
        <v>25.838998860089895</v>
      </c>
      <c r="F20" s="61">
        <f t="shared" si="10"/>
        <v>109.02311707229364</v>
      </c>
      <c r="G20" s="111">
        <f t="shared" si="8"/>
        <v>81.415452674878026</v>
      </c>
      <c r="H20" s="111">
        <f>(( F20 + G20) * KeyParameters!$B$40 *44/12)*(1+KeyParameters!$B$41)</f>
        <v>595.98887193679718</v>
      </c>
      <c r="I20" s="111">
        <f t="shared" si="3"/>
        <v>65.225076549224809</v>
      </c>
      <c r="J20" s="111">
        <f t="shared" si="4"/>
        <v>65.225076549224809</v>
      </c>
      <c r="K20" s="111">
        <f t="shared" si="5"/>
        <v>595.98887193679718</v>
      </c>
      <c r="L20" s="111">
        <f t="shared" si="0"/>
        <v>6.2905850377269994</v>
      </c>
      <c r="M20" s="64">
        <f>K20*(1+ KeyParameters!$B$34)*(1+KeyParameters!$B$47)</f>
        <v>905.4127247861187</v>
      </c>
    </row>
    <row r="21" spans="1:13" x14ac:dyDescent="0.25">
      <c r="A21" s="111">
        <v>14</v>
      </c>
      <c r="B21" s="61">
        <f t="shared" si="1"/>
        <v>41.960999999999999</v>
      </c>
      <c r="C21" s="61">
        <f t="shared" si="6"/>
        <v>2.6</v>
      </c>
      <c r="D21" s="61">
        <f t="shared" si="9"/>
        <v>3.7991373056782667</v>
      </c>
      <c r="E21" s="111">
        <f>LN((F21*KeyParameters!$B$40)/14.034) * 1/0.0554</f>
        <v>27.31299840009325</v>
      </c>
      <c r="F21" s="61">
        <f t="shared" si="10"/>
        <v>118.2994968127975</v>
      </c>
      <c r="G21" s="111">
        <f t="shared" si="8"/>
        <v>93.913914965385217</v>
      </c>
      <c r="H21" s="111">
        <f>(( F21 + G21) * KeyParameters!$B$40 *44/12)*(1+KeyParameters!$B$41)</f>
        <v>664.13453988574975</v>
      </c>
      <c r="I21" s="111">
        <f t="shared" si="3"/>
        <v>68.145667948952564</v>
      </c>
      <c r="J21" s="111">
        <f t="shared" si="4"/>
        <v>68.145667948952564</v>
      </c>
      <c r="K21" s="111">
        <f t="shared" si="5"/>
        <v>664.13453988574975</v>
      </c>
      <c r="L21" s="111">
        <f t="shared" si="0"/>
        <v>6.6315531943356412</v>
      </c>
      <c r="M21" s="64">
        <f>K21*(1+ KeyParameters!$B$34)*(1+KeyParameters!$B$47)</f>
        <v>1008.9380719952429</v>
      </c>
    </row>
    <row r="22" spans="1:13" x14ac:dyDescent="0.25">
      <c r="A22" s="111">
        <v>15</v>
      </c>
      <c r="B22" s="61">
        <f t="shared" si="1"/>
        <v>41.959499999999998</v>
      </c>
      <c r="C22" s="61">
        <f t="shared" si="6"/>
        <v>2.8600000000000003</v>
      </c>
      <c r="D22" s="61">
        <f t="shared" si="9"/>
        <v>3.8737847803238639</v>
      </c>
      <c r="E22" s="111">
        <f>LN((F22*KeyParameters!$B$40)/14.034) * 1/0.0554</f>
        <v>28.685259141816566</v>
      </c>
      <c r="F22" s="61">
        <f t="shared" si="10"/>
        <v>127.64369665756712</v>
      </c>
      <c r="G22" s="111">
        <f t="shared" si="8"/>
        <v>107.26846674326319</v>
      </c>
      <c r="H22" s="111">
        <f>(( F22 + G22) * KeyParameters!$B$40 *44/12)*(1+KeyParameters!$B$41)</f>
        <v>735.17163805297241</v>
      </c>
      <c r="I22" s="111">
        <f t="shared" si="3"/>
        <v>71.037098167222666</v>
      </c>
      <c r="J22" s="111">
        <f t="shared" si="4"/>
        <v>71.037098167222666</v>
      </c>
      <c r="K22" s="111">
        <f t="shared" si="5"/>
        <v>735.17163805297241</v>
      </c>
      <c r="L22" s="111">
        <f t="shared" si="0"/>
        <v>6.9897000003163159</v>
      </c>
      <c r="M22" s="64">
        <f>K22*(1+ KeyParameters!$B$34)*(1+KeyParameters!$B$47)</f>
        <v>1116.8560141599496</v>
      </c>
    </row>
    <row r="23" spans="1:13" x14ac:dyDescent="0.25">
      <c r="A23" s="111">
        <v>16</v>
      </c>
      <c r="B23" s="61">
        <f t="shared" si="1"/>
        <v>41.962000000000003</v>
      </c>
      <c r="C23" s="61">
        <f t="shared" si="6"/>
        <v>3.12</v>
      </c>
      <c r="D23" s="61">
        <f t="shared" si="9"/>
        <v>3.9470405545552092</v>
      </c>
      <c r="E23" s="111">
        <f>LN((F23*KeyParameters!$B$40)/14.034) * 1/0.0554</f>
        <v>29.968923337511328</v>
      </c>
      <c r="F23" s="61">
        <f t="shared" si="10"/>
        <v>137.05163587626268</v>
      </c>
      <c r="G23" s="111">
        <f xml:space="preserve"> 0.5808 * A23^1.9271</f>
        <v>121.47480938944689</v>
      </c>
      <c r="H23" s="111">
        <f>(( F23 + G23) * KeyParameters!$B$40 *44/12)*(1+KeyParameters!$B$41)</f>
        <v>809.07394276431091</v>
      </c>
      <c r="I23" s="111">
        <f t="shared" si="3"/>
        <v>73.902304711338502</v>
      </c>
      <c r="J23" s="111">
        <f t="shared" si="4"/>
        <v>73.902304711338502</v>
      </c>
      <c r="K23" s="111">
        <f t="shared" si="5"/>
        <v>809.07394276431091</v>
      </c>
      <c r="L23" s="111">
        <f t="shared" si="0"/>
        <v>7.3628447495349967</v>
      </c>
      <c r="M23" s="64">
        <f>K23*(1+ KeyParameters!$B$34)*(1+KeyParameters!$B$47)</f>
        <v>1229.1267128715235</v>
      </c>
    </row>
    <row r="24" spans="1:13" x14ac:dyDescent="0.25">
      <c r="A24" s="111">
        <v>17</v>
      </c>
      <c r="B24" s="61">
        <f t="shared" si="1"/>
        <v>41.968499999999999</v>
      </c>
      <c r="C24" s="61">
        <f t="shared" si="6"/>
        <v>3.38</v>
      </c>
      <c r="D24" s="61">
        <f t="shared" si="9"/>
        <v>4.0189800249051428</v>
      </c>
      <c r="E24" s="111">
        <f>LN((F24*KeyParameters!$B$40)/14.034) * 1/0.0554</f>
        <v>31.174740499596698</v>
      </c>
      <c r="F24" s="61">
        <f t="shared" si="10"/>
        <v>146.51972042439826</v>
      </c>
      <c r="G24" s="111">
        <f t="shared" si="8"/>
        <v>136.52894178226029</v>
      </c>
      <c r="H24" s="111">
        <f>(( F24 + G24) * KeyParameters!$B$40 *44/12)*(1+KeyParameters!$B$41)</f>
        <v>885.81768449388062</v>
      </c>
      <c r="I24" s="111">
        <f t="shared" si="3"/>
        <v>76.743741729569706</v>
      </c>
      <c r="J24" s="111">
        <f t="shared" si="4"/>
        <v>76.743741729569706</v>
      </c>
      <c r="K24" s="111">
        <f t="shared" si="5"/>
        <v>885.81768449388062</v>
      </c>
      <c r="L24" s="111">
        <f t="shared" si="0"/>
        <v>7.7494355158699451</v>
      </c>
      <c r="M24" s="64">
        <f>K24*(1+ KeyParameters!$B$34)*(1+KeyParameters!$B$47)</f>
        <v>1345.7140580074247</v>
      </c>
    </row>
    <row r="25" spans="1:13" x14ac:dyDescent="0.25">
      <c r="A25" s="111">
        <v>18</v>
      </c>
      <c r="B25" s="61">
        <f t="shared" si="1"/>
        <v>41.978999999999999</v>
      </c>
      <c r="C25" s="61">
        <f t="shared" si="6"/>
        <v>3.6399999999999997</v>
      </c>
      <c r="D25" s="61">
        <f t="shared" si="9"/>
        <v>4.0896720106531728</v>
      </c>
      <c r="E25" s="111">
        <f>LN((F25*KeyParameters!$B$40)/14.034) * 1/0.0554</f>
        <v>32.311615160431337</v>
      </c>
      <c r="F25" s="61">
        <f t="shared" si="10"/>
        <v>156.04475950716949</v>
      </c>
      <c r="G25" s="111">
        <f t="shared" si="8"/>
        <v>152.42712289511078</v>
      </c>
      <c r="H25" s="111">
        <f>(( F25 + G25) * KeyParameters!$B$40 *44/12)*(1+KeyParameters!$B$41)</f>
        <v>965.38116969283624</v>
      </c>
      <c r="I25" s="111">
        <f t="shared" si="3"/>
        <v>79.563485198955618</v>
      </c>
      <c r="J25" s="111">
        <f t="shared" si="4"/>
        <v>79.563485198955618</v>
      </c>
      <c r="K25" s="111">
        <f t="shared" si="5"/>
        <v>965.38116969283624</v>
      </c>
      <c r="L25" s="111">
        <f t="shared" si="0"/>
        <v>8.1483321785476797</v>
      </c>
      <c r="M25" s="64">
        <f>K25*(1+ KeyParameters!$B$34)*(1+KeyParameters!$B$47)</f>
        <v>1466.5850932221658</v>
      </c>
    </row>
    <row r="26" spans="1:13" ht="15" customHeight="1" x14ac:dyDescent="0.25">
      <c r="A26" s="111">
        <v>19</v>
      </c>
      <c r="B26" s="61">
        <f t="shared" si="1"/>
        <v>41.993499999999997</v>
      </c>
      <c r="C26" s="61">
        <f t="shared" si="6"/>
        <v>3.9000000000000004</v>
      </c>
      <c r="D26" s="61">
        <f t="shared" si="9"/>
        <v>4.1591795304116106</v>
      </c>
      <c r="E26" s="111">
        <f>LN((F26*KeyParameters!$B$40)/14.034) * 1/0.0554</f>
        <v>33.387006335841399</v>
      </c>
      <c r="F26" s="61">
        <f t="shared" si="10"/>
        <v>165.62390031838905</v>
      </c>
      <c r="G26" s="111">
        <f t="shared" si="8"/>
        <v>169.16584097163971</v>
      </c>
      <c r="H26" s="111">
        <f>(( F26 + G26) * KeyParameters!$B$40 *44/12)*(1+KeyParameters!$B$41)</f>
        <v>1047.7444800827682</v>
      </c>
      <c r="I26" s="111">
        <f t="shared" si="3"/>
        <v>82.363310389931939</v>
      </c>
      <c r="J26" s="111">
        <f t="shared" si="4"/>
        <v>82.363310389931939</v>
      </c>
      <c r="K26" s="111">
        <f t="shared" si="5"/>
        <v>1047.7444800827682</v>
      </c>
      <c r="L26" s="111">
        <f t="shared" si="0"/>
        <v>8.5586737455185631</v>
      </c>
      <c r="M26" s="64">
        <f>K26*(1+ KeyParameters!$B$34)*(1+KeyParameters!$B$47)</f>
        <v>1591.7095591206858</v>
      </c>
    </row>
    <row r="27" spans="1:13" s="12" customFormat="1" ht="13.5" customHeight="1" x14ac:dyDescent="0.25">
      <c r="A27" s="112">
        <v>20</v>
      </c>
      <c r="B27" s="116">
        <f>(0.002*A27^2) -(0.0595*A27) +42.402</f>
        <v>42.012</v>
      </c>
      <c r="C27" s="116">
        <f xml:space="preserve"> 0.26*A27-1.04</f>
        <v>4.16</v>
      </c>
      <c r="D27" s="116">
        <f>1.4688 *( C27+4)^0.5036</f>
        <v>4.2275604646308302</v>
      </c>
      <c r="E27" s="112">
        <f>LN((F27*KeyParameters!$B$40)/14.034) * 1/0.0554</f>
        <v>34.407224405979335</v>
      </c>
      <c r="F27" s="67">
        <f t="shared" si="10"/>
        <v>175.25457624072621</v>
      </c>
      <c r="G27" s="112">
        <f xml:space="preserve"> 0.5808 * A27^1.9271</f>
        <v>186.74178782717189</v>
      </c>
      <c r="H27" s="112">
        <f>(( F27 + G27) * KeyParameters!$B$40 *44/12)*(1+KeyParameters!$B$41)</f>
        <v>1132.8892301201126</v>
      </c>
      <c r="I27" s="112">
        <f>H27-H26</f>
        <v>85.144750037344465</v>
      </c>
      <c r="J27" s="112">
        <f>I27</f>
        <v>85.144750037344465</v>
      </c>
      <c r="K27" s="112">
        <f t="shared" si="5"/>
        <v>1132.8892301201126</v>
      </c>
      <c r="L27" s="112">
        <f t="shared" si="0"/>
        <v>8.9797940800788574</v>
      </c>
      <c r="M27" s="64">
        <f>K27*(1+ KeyParameters!$B$34)*(1+KeyParameters!$B$47)</f>
        <v>1721.0595248038039</v>
      </c>
    </row>
    <row r="28" spans="1:13" s="19" customFormat="1" x14ac:dyDescent="0.25">
      <c r="A28" s="62">
        <v>21</v>
      </c>
      <c r="B28" s="66">
        <f>B27</f>
        <v>42.012</v>
      </c>
      <c r="C28" s="66">
        <f t="shared" si="6"/>
        <v>4.42</v>
      </c>
      <c r="D28" s="66">
        <f t="shared" si="9"/>
        <v>4.2948681238636821</v>
      </c>
      <c r="E28" s="62">
        <f>E27</f>
        <v>34.407224405979335</v>
      </c>
      <c r="F28" s="66"/>
      <c r="G28" s="62"/>
      <c r="H28" s="117">
        <f>H27+(($B$19/100)^2*KeyParameters!$B$36*KeyParameters!$B$35*44/12)</f>
        <v>1165.1922806801126</v>
      </c>
      <c r="I28" s="118">
        <f>H28-H27</f>
        <v>32.303050559999974</v>
      </c>
      <c r="J28" s="111">
        <f>J27</f>
        <v>85.144750037344465</v>
      </c>
      <c r="K28" s="62">
        <f t="shared" si="5"/>
        <v>1218.0339801574571</v>
      </c>
      <c r="L28" s="111">
        <f t="shared" si="0"/>
        <v>9.6546900028285823</v>
      </c>
      <c r="M28" s="64">
        <f>K28*(1+ KeyParameters!$B$34)*(1+KeyParameters!$B$47)</f>
        <v>1850.4094904869221</v>
      </c>
    </row>
    <row r="29" spans="1:13" s="19" customFormat="1" x14ac:dyDescent="0.25">
      <c r="A29" s="62">
        <v>22</v>
      </c>
      <c r="B29" s="66">
        <f t="shared" ref="B29:B87" si="11">B28</f>
        <v>42.012</v>
      </c>
      <c r="C29" s="66">
        <f t="shared" si="6"/>
        <v>4.6800000000000006</v>
      </c>
      <c r="D29" s="66">
        <f t="shared" si="9"/>
        <v>4.3611517386754821</v>
      </c>
      <c r="E29" s="62">
        <f t="shared" ref="E29:E87" si="12">E28</f>
        <v>34.407224405979335</v>
      </c>
      <c r="F29" s="66"/>
      <c r="G29" s="62"/>
      <c r="H29" s="117">
        <f>H28+(($B$19/100)^2*KeyParameters!$B$36*KeyParameters!$B$35*44/12)</f>
        <v>1197.4953312401126</v>
      </c>
      <c r="I29" s="118">
        <f>H29-H28</f>
        <v>32.303050559999974</v>
      </c>
      <c r="J29" s="111">
        <f>J27</f>
        <v>85.144750037344465</v>
      </c>
      <c r="K29" s="62">
        <f t="shared" si="5"/>
        <v>1303.1787301948016</v>
      </c>
      <c r="L29" s="111">
        <f t="shared" si="0"/>
        <v>10.329585925578307</v>
      </c>
      <c r="M29" s="64">
        <f>K29*(1+ KeyParameters!$B$34)*(1+KeyParameters!$B$47)</f>
        <v>1979.7594561700403</v>
      </c>
    </row>
    <row r="30" spans="1:13" s="19" customFormat="1" x14ac:dyDescent="0.25">
      <c r="A30" s="62">
        <v>23</v>
      </c>
      <c r="B30" s="66">
        <f t="shared" si="11"/>
        <v>42.012</v>
      </c>
      <c r="C30" s="66">
        <f t="shared" si="6"/>
        <v>4.9400000000000004</v>
      </c>
      <c r="D30" s="66">
        <f t="shared" si="9"/>
        <v>4.4264568840146667</v>
      </c>
      <c r="E30" s="62">
        <f t="shared" si="12"/>
        <v>34.407224405979335</v>
      </c>
      <c r="F30" s="66"/>
      <c r="G30" s="62"/>
      <c r="H30" s="117">
        <f>H29+(($B$19/100)^2*KeyParameters!$B$36*KeyParameters!$B$35*44/12)</f>
        <v>1229.7983818001126</v>
      </c>
      <c r="I30" s="111">
        <f t="shared" si="3"/>
        <v>32.303050559999974</v>
      </c>
      <c r="J30" s="111">
        <f t="shared" ref="J30:J47" si="13">J29-$G$4</f>
        <v>82.538209309584488</v>
      </c>
      <c r="K30" s="62">
        <f t="shared" si="5"/>
        <v>1385.7169395043861</v>
      </c>
      <c r="L30" s="111">
        <f t="shared" si="0"/>
        <v>10.983821223816545</v>
      </c>
      <c r="M30" s="64">
        <f>K30*(1+ KeyParameters!$B$34)*(1+KeyParameters!$B$47)</f>
        <v>2105.1496245252019</v>
      </c>
    </row>
    <row r="31" spans="1:13" s="19" customFormat="1" x14ac:dyDescent="0.25">
      <c r="A31" s="62">
        <v>24</v>
      </c>
      <c r="B31" s="66">
        <f t="shared" si="11"/>
        <v>42.012</v>
      </c>
      <c r="C31" s="66">
        <f t="shared" si="6"/>
        <v>5.2</v>
      </c>
      <c r="D31" s="66">
        <f t="shared" si="9"/>
        <v>4.4908258484531913</v>
      </c>
      <c r="E31" s="62">
        <f t="shared" si="12"/>
        <v>34.407224405979335</v>
      </c>
      <c r="F31" s="66"/>
      <c r="G31" s="62"/>
      <c r="H31" s="117">
        <f>H30+(($B$19/100)^2*KeyParameters!$B$36*KeyParameters!$B$35*44/12)</f>
        <v>1262.1014323601125</v>
      </c>
      <c r="I31" s="111">
        <f t="shared" si="3"/>
        <v>32.303050559999974</v>
      </c>
      <c r="J31" s="111">
        <f t="shared" si="13"/>
        <v>79.931668581824511</v>
      </c>
      <c r="K31" s="62">
        <f t="shared" si="5"/>
        <v>1465.6486080862105</v>
      </c>
      <c r="L31" s="111">
        <f t="shared" si="0"/>
        <v>11.617395897543286</v>
      </c>
      <c r="M31" s="64">
        <f>K31*(1+ KeyParameters!$B$34)*(1+KeyParameters!$B$47)</f>
        <v>2226.5799955524071</v>
      </c>
    </row>
    <row r="32" spans="1:13" s="19" customFormat="1" x14ac:dyDescent="0.25">
      <c r="A32" s="62">
        <v>25</v>
      </c>
      <c r="B32" s="66">
        <f t="shared" si="11"/>
        <v>42.012</v>
      </c>
      <c r="C32" s="66">
        <f t="shared" si="6"/>
        <v>5.46</v>
      </c>
      <c r="D32" s="66">
        <f t="shared" si="9"/>
        <v>4.5542979568065363</v>
      </c>
      <c r="E32" s="62">
        <f t="shared" si="12"/>
        <v>34.407224405979335</v>
      </c>
      <c r="F32" s="66"/>
      <c r="G32" s="62"/>
      <c r="H32" s="117">
        <f>H31+(($B$19/100)^2*KeyParameters!$B$36*KeyParameters!$B$35*44/12)</f>
        <v>1294.4044829201125</v>
      </c>
      <c r="I32" s="111">
        <f t="shared" si="3"/>
        <v>32.303050559999974</v>
      </c>
      <c r="J32" s="111">
        <f t="shared" si="13"/>
        <v>77.325127854064533</v>
      </c>
      <c r="K32" s="62">
        <f t="shared" si="5"/>
        <v>1542.973735940275</v>
      </c>
      <c r="L32" s="111">
        <f t="shared" si="0"/>
        <v>12.23030994675854</v>
      </c>
      <c r="M32" s="64">
        <f>K32*(1+ KeyParameters!$B$34)*(1+KeyParameters!$B$47)</f>
        <v>2344.0505692516558</v>
      </c>
    </row>
    <row r="33" spans="1:13" s="19" customFormat="1" x14ac:dyDescent="0.25">
      <c r="A33" s="62">
        <v>26</v>
      </c>
      <c r="B33" s="66">
        <f t="shared" si="11"/>
        <v>42.012</v>
      </c>
      <c r="C33" s="66">
        <f t="shared" si="6"/>
        <v>5.72</v>
      </c>
      <c r="D33" s="66">
        <f t="shared" si="9"/>
        <v>4.6169098531328361</v>
      </c>
      <c r="E33" s="62">
        <f t="shared" si="12"/>
        <v>34.407224405979335</v>
      </c>
      <c r="F33" s="66"/>
      <c r="G33" s="62"/>
      <c r="H33" s="117">
        <f>H32+(($B$19/100)^2*KeyParameters!$B$36*KeyParameters!$B$35*44/12)</f>
        <v>1326.7075334801125</v>
      </c>
      <c r="I33" s="111">
        <f t="shared" si="3"/>
        <v>32.303050559999974</v>
      </c>
      <c r="J33" s="111">
        <f t="shared" si="13"/>
        <v>74.718587126304556</v>
      </c>
      <c r="K33" s="62">
        <f t="shared" si="5"/>
        <v>1617.6923230665795</v>
      </c>
      <c r="L33" s="111">
        <f t="shared" si="0"/>
        <v>12.822563371462303</v>
      </c>
      <c r="M33" s="64">
        <f>K33*(1+ KeyParameters!$B$34)*(1+KeyParameters!$B$47)</f>
        <v>2457.5613456229476</v>
      </c>
    </row>
    <row r="34" spans="1:13" s="19" customFormat="1" ht="14.25" customHeight="1" x14ac:dyDescent="0.25">
      <c r="A34" s="62">
        <v>27</v>
      </c>
      <c r="B34" s="66">
        <f t="shared" si="11"/>
        <v>42.012</v>
      </c>
      <c r="C34" s="66">
        <f t="shared" si="6"/>
        <v>5.98</v>
      </c>
      <c r="D34" s="66">
        <f t="shared" si="9"/>
        <v>4.6786957499015189</v>
      </c>
      <c r="E34" s="62">
        <f t="shared" si="12"/>
        <v>34.407224405979335</v>
      </c>
      <c r="F34" s="66"/>
      <c r="G34" s="62"/>
      <c r="H34" s="117">
        <f>H33+(($B$19/100)^2*KeyParameters!$B$36*KeyParameters!$B$35*44/12)</f>
        <v>1359.0105840401125</v>
      </c>
      <c r="I34" s="111">
        <f t="shared" si="3"/>
        <v>32.303050559999974</v>
      </c>
      <c r="J34" s="111">
        <f t="shared" si="13"/>
        <v>72.112046398544578</v>
      </c>
      <c r="K34" s="62">
        <f t="shared" si="5"/>
        <v>1689.8043694651242</v>
      </c>
      <c r="L34" s="111">
        <f t="shared" si="0"/>
        <v>13.394156171654577</v>
      </c>
      <c r="M34" s="64">
        <f>K34*(1+ KeyParameters!$B$34)*(1+KeyParameters!$B$47)</f>
        <v>2567.1123246662833</v>
      </c>
    </row>
    <row r="35" spans="1:13" s="19" customFormat="1" x14ac:dyDescent="0.25">
      <c r="A35" s="62">
        <v>28</v>
      </c>
      <c r="B35" s="66">
        <f t="shared" si="11"/>
        <v>42.012</v>
      </c>
      <c r="C35" s="66">
        <f t="shared" si="6"/>
        <v>6.24</v>
      </c>
      <c r="D35" s="66">
        <f t="shared" si="9"/>
        <v>4.7396876481474282</v>
      </c>
      <c r="E35" s="62">
        <f t="shared" si="12"/>
        <v>34.407224405979335</v>
      </c>
      <c r="F35" s="66"/>
      <c r="G35" s="62"/>
      <c r="H35" s="117">
        <f>H34+(($B$19/100)^2*KeyParameters!$B$36*KeyParameters!$B$35*44/12)</f>
        <v>1391.3136346001124</v>
      </c>
      <c r="I35" s="111">
        <f t="shared" si="3"/>
        <v>32.303050559999974</v>
      </c>
      <c r="J35" s="111">
        <f t="shared" si="13"/>
        <v>69.505505670784601</v>
      </c>
      <c r="K35" s="62">
        <f t="shared" si="5"/>
        <v>1759.3098751359089</v>
      </c>
      <c r="L35" s="111">
        <f t="shared" si="0"/>
        <v>13.945088347335359</v>
      </c>
      <c r="M35" s="64">
        <f>K35*(1+ KeyParameters!$B$34)*(1+KeyParameters!$B$47)</f>
        <v>2672.7035063816629</v>
      </c>
    </row>
    <row r="36" spans="1:13" s="19" customFormat="1" x14ac:dyDescent="0.25">
      <c r="A36" s="62">
        <v>29</v>
      </c>
      <c r="B36" s="66">
        <f t="shared" si="11"/>
        <v>42.012</v>
      </c>
      <c r="C36" s="66">
        <f t="shared" si="6"/>
        <v>6.5</v>
      </c>
      <c r="D36" s="66">
        <f t="shared" si="9"/>
        <v>4.7999155326365122</v>
      </c>
      <c r="E36" s="62">
        <f t="shared" si="12"/>
        <v>34.407224405979335</v>
      </c>
      <c r="F36" s="66"/>
      <c r="G36" s="62"/>
      <c r="H36" s="117">
        <f>H35+(($B$19/100)^2*KeyParameters!$B$36*KeyParameters!$B$35*44/12)</f>
        <v>1423.6166851601124</v>
      </c>
      <c r="I36" s="111">
        <f t="shared" si="3"/>
        <v>32.303050559999974</v>
      </c>
      <c r="J36" s="111">
        <f t="shared" si="13"/>
        <v>66.898964943024623</v>
      </c>
      <c r="K36" s="62">
        <f t="shared" si="5"/>
        <v>1826.2088400789335</v>
      </c>
      <c r="L36" s="111">
        <f t="shared" si="0"/>
        <v>14.475359898504648</v>
      </c>
      <c r="M36" s="64">
        <f>K36*(1+ KeyParameters!$B$34)*(1+KeyParameters!$B$47)</f>
        <v>2774.3348907690847</v>
      </c>
    </row>
    <row r="37" spans="1:13" s="19" customFormat="1" x14ac:dyDescent="0.25">
      <c r="A37" s="62">
        <v>30</v>
      </c>
      <c r="B37" s="66">
        <f t="shared" si="11"/>
        <v>42.012</v>
      </c>
      <c r="C37" s="66">
        <f t="shared" si="6"/>
        <v>6.7600000000000007</v>
      </c>
      <c r="D37" s="66">
        <f t="shared" si="9"/>
        <v>4.8594075454250545</v>
      </c>
      <c r="E37" s="62">
        <f t="shared" si="12"/>
        <v>34.407224405979335</v>
      </c>
      <c r="F37" s="66"/>
      <c r="G37" s="62"/>
      <c r="H37" s="117">
        <f>H36+(($B$19/100)^2*KeyParameters!$B$36*KeyParameters!$B$35*44/12)</f>
        <v>1455.9197357201124</v>
      </c>
      <c r="I37" s="111">
        <f t="shared" si="3"/>
        <v>32.303050559999974</v>
      </c>
      <c r="J37" s="111">
        <f t="shared" si="13"/>
        <v>64.292424215264646</v>
      </c>
      <c r="K37" s="62">
        <f t="shared" si="5"/>
        <v>1890.5012642941981</v>
      </c>
      <c r="L37" s="111">
        <f t="shared" si="0"/>
        <v>14.984970825162447</v>
      </c>
      <c r="M37" s="64">
        <f>K37*(1+ KeyParameters!$B$34)*(1+KeyParameters!$B$47)</f>
        <v>2872.0064778285509</v>
      </c>
    </row>
    <row r="38" spans="1:13" s="19" customFormat="1" x14ac:dyDescent="0.25">
      <c r="A38" s="62">
        <v>31</v>
      </c>
      <c r="B38" s="66">
        <f t="shared" si="11"/>
        <v>42.012</v>
      </c>
      <c r="C38" s="66">
        <f t="shared" si="6"/>
        <v>7.0200000000000005</v>
      </c>
      <c r="D38" s="66">
        <f t="shared" si="9"/>
        <v>4.9181901406663799</v>
      </c>
      <c r="E38" s="62">
        <f t="shared" si="12"/>
        <v>34.407224405979335</v>
      </c>
      <c r="F38" s="66"/>
      <c r="G38" s="62"/>
      <c r="H38" s="117">
        <f>H37+(($B$19/100)^2*KeyParameters!$B$36*KeyParameters!$B$35*44/12)</f>
        <v>1488.2227862801124</v>
      </c>
      <c r="I38" s="111">
        <f t="shared" si="3"/>
        <v>32.303050559999974</v>
      </c>
      <c r="J38" s="111">
        <f t="shared" si="13"/>
        <v>61.685883487504675</v>
      </c>
      <c r="K38" s="62">
        <f t="shared" si="5"/>
        <v>1952.1871477817028</v>
      </c>
      <c r="L38" s="111">
        <f t="shared" si="0"/>
        <v>15.473921127308758</v>
      </c>
      <c r="M38" s="64">
        <f>K38*(1+ KeyParameters!$B$34)*(1+KeyParameters!$B$47)</f>
        <v>2965.7182675600602</v>
      </c>
    </row>
    <row r="39" spans="1:13" s="19" customFormat="1" x14ac:dyDescent="0.25">
      <c r="A39" s="62">
        <v>32</v>
      </c>
      <c r="B39" s="66">
        <f t="shared" si="11"/>
        <v>42.012</v>
      </c>
      <c r="C39" s="66">
        <f t="shared" si="6"/>
        <v>7.28</v>
      </c>
      <c r="D39" s="66">
        <f t="shared" si="9"/>
        <v>4.9762882230838619</v>
      </c>
      <c r="E39" s="62">
        <f t="shared" si="12"/>
        <v>34.407224405979335</v>
      </c>
      <c r="F39" s="66"/>
      <c r="G39" s="62"/>
      <c r="H39" s="117">
        <f>H38+(($B$19/100)^2*KeyParameters!$B$36*KeyParameters!$B$35*44/12)</f>
        <v>1520.5258368401123</v>
      </c>
      <c r="I39" s="111">
        <f t="shared" si="3"/>
        <v>32.303050559999974</v>
      </c>
      <c r="J39" s="111">
        <f t="shared" si="13"/>
        <v>59.079342759744705</v>
      </c>
      <c r="K39" s="62">
        <f t="shared" si="5"/>
        <v>2011.2664905414476</v>
      </c>
      <c r="L39" s="111">
        <f t="shared" si="0"/>
        <v>15.942210804943578</v>
      </c>
      <c r="M39" s="64">
        <f>K39*(1+ KeyParameters!$B$34)*(1+KeyParameters!$B$47)</f>
        <v>3055.4702599636134</v>
      </c>
    </row>
    <row r="40" spans="1:13" s="19" customFormat="1" x14ac:dyDescent="0.25">
      <c r="A40" s="62">
        <v>33</v>
      </c>
      <c r="B40" s="66">
        <f t="shared" si="11"/>
        <v>42.012</v>
      </c>
      <c r="C40" s="66">
        <f t="shared" si="6"/>
        <v>7.54</v>
      </c>
      <c r="D40" s="66">
        <f t="shared" si="9"/>
        <v>5.0337252721687102</v>
      </c>
      <c r="E40" s="62">
        <f t="shared" si="12"/>
        <v>34.407224405979335</v>
      </c>
      <c r="F40" s="66"/>
      <c r="G40" s="62"/>
      <c r="H40" s="117">
        <f>H39+(($B$19/100)^2*KeyParameters!$B$36*KeyParameters!$B$35*44/12)</f>
        <v>1552.8288874001123</v>
      </c>
      <c r="I40" s="111">
        <f t="shared" si="3"/>
        <v>32.303050559999974</v>
      </c>
      <c r="J40" s="111">
        <f t="shared" si="13"/>
        <v>56.472802031984735</v>
      </c>
      <c r="K40" s="62">
        <f t="shared" si="5"/>
        <v>2067.7392925734325</v>
      </c>
      <c r="L40" s="111">
        <f t="shared" ref="L40:L71" si="14">(K40/E40)*12/44</f>
        <v>16.389839858066907</v>
      </c>
      <c r="M40" s="64">
        <f>K40*(1+ KeyParameters!$B$34)*(1+KeyParameters!$B$47)</f>
        <v>3141.2624550392102</v>
      </c>
    </row>
    <row r="41" spans="1:13" s="19" customFormat="1" x14ac:dyDescent="0.25">
      <c r="A41" s="62">
        <v>34</v>
      </c>
      <c r="B41" s="66">
        <f t="shared" si="11"/>
        <v>42.012</v>
      </c>
      <c r="C41" s="66">
        <f t="shared" si="6"/>
        <v>7.8</v>
      </c>
      <c r="D41" s="66">
        <f t="shared" si="9"/>
        <v>5.0905234538612572</v>
      </c>
      <c r="E41" s="62">
        <f t="shared" si="12"/>
        <v>34.407224405979335</v>
      </c>
      <c r="F41" s="66"/>
      <c r="G41" s="62"/>
      <c r="H41" s="117">
        <f>H40+(($B$19/100)^2*KeyParameters!$B$36*KeyParameters!$B$35*44/12)</f>
        <v>1585.1319379601123</v>
      </c>
      <c r="I41" s="111">
        <f t="shared" si="3"/>
        <v>32.303050559999974</v>
      </c>
      <c r="J41" s="111">
        <f t="shared" si="13"/>
        <v>53.866261304224764</v>
      </c>
      <c r="K41" s="62">
        <f t="shared" si="5"/>
        <v>2121.6055538776573</v>
      </c>
      <c r="L41" s="111">
        <f t="shared" si="14"/>
        <v>16.816808286678743</v>
      </c>
      <c r="M41" s="64">
        <f>K41*(1+ KeyParameters!$B$34)*(1+KeyParameters!$B$47)</f>
        <v>3223.09485278685</v>
      </c>
    </row>
    <row r="42" spans="1:13" s="19" customFormat="1" x14ac:dyDescent="0.25">
      <c r="A42" s="62">
        <v>35</v>
      </c>
      <c r="B42" s="66">
        <f t="shared" si="11"/>
        <v>42.012</v>
      </c>
      <c r="C42" s="66">
        <f t="shared" si="6"/>
        <v>8.0599999999999987</v>
      </c>
      <c r="D42" s="66">
        <f t="shared" si="9"/>
        <v>5.1467037212239672</v>
      </c>
      <c r="E42" s="62">
        <f t="shared" si="12"/>
        <v>34.407224405979335</v>
      </c>
      <c r="F42" s="66"/>
      <c r="G42" s="62"/>
      <c r="H42" s="117">
        <f>H41+(($B$19/100)^2*KeyParameters!$B$36*KeyParameters!$B$35*44/12)</f>
        <v>1617.4349885201123</v>
      </c>
      <c r="I42" s="111">
        <f t="shared" si="3"/>
        <v>32.303050559999974</v>
      </c>
      <c r="J42" s="111">
        <f t="shared" si="13"/>
        <v>51.259720576464794</v>
      </c>
      <c r="K42" s="62">
        <f t="shared" si="5"/>
        <v>2172.8652744541218</v>
      </c>
      <c r="L42" s="111">
        <f t="shared" si="14"/>
        <v>17.223116090779087</v>
      </c>
      <c r="M42" s="64">
        <f>K42*(1+ KeyParameters!$B$34)*(1+KeyParameters!$B$47)</f>
        <v>3300.9674532065328</v>
      </c>
    </row>
    <row r="43" spans="1:13" s="19" customFormat="1" x14ac:dyDescent="0.25">
      <c r="A43" s="62">
        <v>36</v>
      </c>
      <c r="B43" s="66">
        <f t="shared" si="11"/>
        <v>42.012</v>
      </c>
      <c r="C43" s="66">
        <f t="shared" si="6"/>
        <v>8.32</v>
      </c>
      <c r="D43" s="66">
        <f t="shared" si="9"/>
        <v>5.2022859054041852</v>
      </c>
      <c r="E43" s="62">
        <f t="shared" si="12"/>
        <v>34.407224405979335</v>
      </c>
      <c r="F43" s="66"/>
      <c r="G43" s="62"/>
      <c r="H43" s="117">
        <f>H42+(($B$19/100)^2*KeyParameters!$B$36*KeyParameters!$B$35*44/12)</f>
        <v>1649.7380390801122</v>
      </c>
      <c r="I43" s="111">
        <f t="shared" si="3"/>
        <v>32.303050559999974</v>
      </c>
      <c r="J43" s="111">
        <f t="shared" si="13"/>
        <v>48.653179848704823</v>
      </c>
      <c r="K43" s="62">
        <f t="shared" si="5"/>
        <v>2221.5184543028267</v>
      </c>
      <c r="L43" s="111">
        <f t="shared" si="14"/>
        <v>17.608763270367945</v>
      </c>
      <c r="M43" s="64">
        <f>K43*(1+ KeyParameters!$B$34)*(1+KeyParameters!$B$47)</f>
        <v>3374.8802562982605</v>
      </c>
    </row>
    <row r="44" spans="1:13" s="19" customFormat="1" x14ac:dyDescent="0.25">
      <c r="A44" s="62">
        <v>37</v>
      </c>
      <c r="B44" s="66">
        <f t="shared" si="11"/>
        <v>42.012</v>
      </c>
      <c r="C44" s="66">
        <f t="shared" si="6"/>
        <v>8.5800000000000018</v>
      </c>
      <c r="D44" s="66">
        <f t="shared" si="9"/>
        <v>5.257288798007516</v>
      </c>
      <c r="E44" s="62">
        <f t="shared" si="12"/>
        <v>34.407224405979335</v>
      </c>
      <c r="F44" s="66"/>
      <c r="G44" s="62"/>
      <c r="H44" s="117">
        <f>H43+(($B$19/100)^2*KeyParameters!$B$36*KeyParameters!$B$35*44/12)</f>
        <v>1682.0410896401122</v>
      </c>
      <c r="I44" s="111">
        <f t="shared" si="3"/>
        <v>32.303050559999974</v>
      </c>
      <c r="J44" s="111">
        <f t="shared" si="13"/>
        <v>46.046639120944853</v>
      </c>
      <c r="K44" s="62">
        <f t="shared" si="5"/>
        <v>2267.5650934237715</v>
      </c>
      <c r="L44" s="111">
        <f t="shared" si="14"/>
        <v>17.973749825445307</v>
      </c>
      <c r="M44" s="64">
        <f>K44*(1+ KeyParameters!$B$34)*(1+KeyParameters!$B$47)</f>
        <v>3444.8332620620304</v>
      </c>
    </row>
    <row r="45" spans="1:13" s="19" customFormat="1" x14ac:dyDescent="0.25">
      <c r="A45" s="62">
        <v>38</v>
      </c>
      <c r="B45" s="66">
        <f t="shared" si="11"/>
        <v>42.012</v>
      </c>
      <c r="C45" s="66">
        <f t="shared" si="6"/>
        <v>8.84</v>
      </c>
      <c r="D45" s="66">
        <f t="shared" si="9"/>
        <v>5.3117302258529691</v>
      </c>
      <c r="E45" s="62">
        <f t="shared" si="12"/>
        <v>34.407224405979335</v>
      </c>
      <c r="F45" s="66"/>
      <c r="G45" s="62"/>
      <c r="H45" s="117">
        <f>H44+(($B$19/100)^2*KeyParameters!$B$36*KeyParameters!$B$35*44/12)</f>
        <v>1714.3441402001122</v>
      </c>
      <c r="I45" s="111">
        <f t="shared" si="3"/>
        <v>32.303050559999974</v>
      </c>
      <c r="J45" s="111">
        <f t="shared" si="13"/>
        <v>43.440098393184883</v>
      </c>
      <c r="K45" s="62">
        <f t="shared" si="5"/>
        <v>2311.0051918169565</v>
      </c>
      <c r="L45" s="111">
        <f t="shared" si="14"/>
        <v>18.318075756011183</v>
      </c>
      <c r="M45" s="64">
        <f>K45*(1+ KeyParameters!$B$34)*(1+KeyParameters!$B$47)</f>
        <v>3510.8264704978442</v>
      </c>
    </row>
    <row r="46" spans="1:13" s="19" customFormat="1" x14ac:dyDescent="0.25">
      <c r="A46" s="62">
        <v>39</v>
      </c>
      <c r="B46" s="66">
        <f t="shared" si="11"/>
        <v>42.012</v>
      </c>
      <c r="C46" s="66">
        <f t="shared" si="6"/>
        <v>9.1000000000000014</v>
      </c>
      <c r="D46" s="66">
        <f t="shared" si="9"/>
        <v>5.3656271189537916</v>
      </c>
      <c r="E46" s="62">
        <f t="shared" si="12"/>
        <v>34.407224405979335</v>
      </c>
      <c r="F46" s="66"/>
      <c r="G46" s="62"/>
      <c r="H46" s="117">
        <f>H45+(($B$19/100)^2*KeyParameters!$B$36*KeyParameters!$B$35*44/12)</f>
        <v>1746.6471907601122</v>
      </c>
      <c r="I46" s="111">
        <f t="shared" si="3"/>
        <v>32.303050559999974</v>
      </c>
      <c r="J46" s="111">
        <f t="shared" si="13"/>
        <v>40.833557665424912</v>
      </c>
      <c r="K46" s="62">
        <f t="shared" si="5"/>
        <v>2351.8387494823814</v>
      </c>
      <c r="L46" s="111">
        <f t="shared" si="14"/>
        <v>18.641741062065567</v>
      </c>
      <c r="M46" s="64">
        <f>K46*(1+ KeyParameters!$B$34)*(1+KeyParameters!$B$47)</f>
        <v>3572.8598816057015</v>
      </c>
    </row>
    <row r="47" spans="1:13" s="19" customFormat="1" x14ac:dyDescent="0.25">
      <c r="A47" s="62">
        <v>40</v>
      </c>
      <c r="B47" s="66">
        <f t="shared" si="11"/>
        <v>42.012</v>
      </c>
      <c r="C47" s="66">
        <f t="shared" si="6"/>
        <v>9.36</v>
      </c>
      <c r="D47" s="66">
        <f t="shared" si="9"/>
        <v>5.4189955724596244</v>
      </c>
      <c r="E47" s="62">
        <f t="shared" si="12"/>
        <v>34.407224405979335</v>
      </c>
      <c r="F47" s="66"/>
      <c r="G47" s="62"/>
      <c r="H47" s="117">
        <f>H46+(($B$19/100)^2*KeyParameters!$B$36*KeyParameters!$B$35*44/12)</f>
        <v>1778.9502413201121</v>
      </c>
      <c r="I47" s="111">
        <f t="shared" si="3"/>
        <v>32.303050559999974</v>
      </c>
      <c r="J47" s="111">
        <f t="shared" si="13"/>
        <v>38.227016937664942</v>
      </c>
      <c r="K47" s="62">
        <f t="shared" si="5"/>
        <v>2390.0657664200462</v>
      </c>
      <c r="L47" s="111">
        <f t="shared" si="14"/>
        <v>18.944745743608461</v>
      </c>
      <c r="M47" s="64">
        <f>K47*(1+ KeyParameters!$B$34)*(1+KeyParameters!$B$47)</f>
        <v>3630.9334953856023</v>
      </c>
    </row>
    <row r="48" spans="1:13" s="19" customFormat="1" x14ac:dyDescent="0.25">
      <c r="A48" s="62">
        <v>41</v>
      </c>
      <c r="B48" s="66">
        <f t="shared" si="11"/>
        <v>42.012</v>
      </c>
      <c r="C48" s="66">
        <f t="shared" si="6"/>
        <v>9.620000000000001</v>
      </c>
      <c r="D48" s="66">
        <f t="shared" si="9"/>
        <v>5.471850903203034</v>
      </c>
      <c r="E48" s="62">
        <f t="shared" si="12"/>
        <v>34.407224405979335</v>
      </c>
      <c r="F48" s="66"/>
      <c r="G48" s="62"/>
      <c r="H48" s="117">
        <f>H47+(($B$19/100)^2*KeyParameters!$B$36*KeyParameters!$B$35*44/12)</f>
        <v>1811.2532918801121</v>
      </c>
      <c r="I48" s="111">
        <f t="shared" si="3"/>
        <v>32.303050559999974</v>
      </c>
      <c r="J48" s="111">
        <v>32.303050559999974</v>
      </c>
      <c r="K48" s="62">
        <f t="shared" si="5"/>
        <v>2422.3688169800462</v>
      </c>
      <c r="L48" s="111">
        <f t="shared" si="14"/>
        <v>19.200794379675393</v>
      </c>
      <c r="M48" s="64">
        <f>K48*(1+ KeyParameters!$B$34)*(1+KeyParameters!$B$47)</f>
        <v>3680.0075543212779</v>
      </c>
    </row>
    <row r="49" spans="1:13" s="19" customFormat="1" x14ac:dyDescent="0.25">
      <c r="A49" s="62">
        <v>42</v>
      </c>
      <c r="B49" s="66">
        <f t="shared" si="11"/>
        <v>42.012</v>
      </c>
      <c r="C49" s="66">
        <f t="shared" si="6"/>
        <v>9.879999999999999</v>
      </c>
      <c r="D49" s="66">
        <f t="shared" si="9"/>
        <v>5.5242077014140287</v>
      </c>
      <c r="E49" s="62">
        <f t="shared" si="12"/>
        <v>34.407224405979335</v>
      </c>
      <c r="F49" s="66"/>
      <c r="G49" s="62"/>
      <c r="H49" s="117">
        <f>H48+(($B$19/100)^2*KeyParameters!$B$36*KeyParameters!$B$35*44/12)</f>
        <v>1843.5563424401121</v>
      </c>
      <c r="I49" s="111">
        <f t="shared" si="3"/>
        <v>32.303050559999974</v>
      </c>
      <c r="J49" s="111">
        <v>32.303050559999974</v>
      </c>
      <c r="K49" s="62">
        <f t="shared" si="5"/>
        <v>2454.6718675400462</v>
      </c>
      <c r="L49" s="111">
        <f t="shared" si="14"/>
        <v>19.456843015742329</v>
      </c>
      <c r="M49" s="64">
        <f>K49*(1+ KeyParameters!$B$34)*(1+KeyParameters!$B$47)</f>
        <v>3729.0816132569539</v>
      </c>
    </row>
    <row r="50" spans="1:13" s="19" customFormat="1" ht="13.5" customHeight="1" x14ac:dyDescent="0.25">
      <c r="A50" s="62">
        <v>43</v>
      </c>
      <c r="B50" s="66">
        <f t="shared" si="11"/>
        <v>42.012</v>
      </c>
      <c r="C50" s="66">
        <f t="shared" si="6"/>
        <v>10.14</v>
      </c>
      <c r="D50" s="66">
        <f t="shared" si="9"/>
        <v>5.5760798780979179</v>
      </c>
      <c r="E50" s="62">
        <f t="shared" si="12"/>
        <v>34.407224405979335</v>
      </c>
      <c r="F50" s="66"/>
      <c r="G50" s="62"/>
      <c r="H50" s="117">
        <f>H49+(($B$19/100)^2*KeyParameters!$B$36*KeyParameters!$B$35*44/12)</f>
        <v>1875.859393000112</v>
      </c>
      <c r="I50" s="111">
        <f t="shared" si="3"/>
        <v>32.303050559999974</v>
      </c>
      <c r="J50" s="111">
        <v>32.303050559999974</v>
      </c>
      <c r="K50" s="62">
        <f t="shared" si="5"/>
        <v>2486.9749181000461</v>
      </c>
      <c r="L50" s="111">
        <f t="shared" si="14"/>
        <v>19.712891651809265</v>
      </c>
      <c r="M50" s="64">
        <f>K50*(1+ KeyParameters!$B$34)*(1+KeyParameters!$B$47)</f>
        <v>3778.1556721926295</v>
      </c>
    </row>
    <row r="51" spans="1:13" s="19" customFormat="1" x14ac:dyDescent="0.25">
      <c r="A51" s="62">
        <v>44</v>
      </c>
      <c r="B51" s="66">
        <f t="shared" si="11"/>
        <v>42.012</v>
      </c>
      <c r="C51" s="66">
        <f xml:space="preserve"> 0.26*A51-1.04</f>
        <v>10.400000000000002</v>
      </c>
      <c r="D51" s="66">
        <f t="shared" si="9"/>
        <v>5.6274807085129313</v>
      </c>
      <c r="E51" s="62">
        <f t="shared" si="12"/>
        <v>34.407224405979335</v>
      </c>
      <c r="F51" s="66"/>
      <c r="G51" s="62"/>
      <c r="H51" s="117">
        <f>H50+(($B$19/100)^2*KeyParameters!$B$36*KeyParameters!$B$35*44/12)</f>
        <v>1908.162443560112</v>
      </c>
      <c r="I51" s="111">
        <f t="shared" si="3"/>
        <v>32.303050559999974</v>
      </c>
      <c r="J51" s="111">
        <v>32.303050559999974</v>
      </c>
      <c r="K51" s="62">
        <f t="shared" si="5"/>
        <v>2519.2779686600461</v>
      </c>
      <c r="L51" s="111">
        <f t="shared" si="14"/>
        <v>19.968940287876197</v>
      </c>
      <c r="M51" s="64">
        <f>K51*(1+ KeyParameters!$B$34)*(1+KeyParameters!$B$47)</f>
        <v>3827.229731128306</v>
      </c>
    </row>
    <row r="52" spans="1:13" s="19" customFormat="1" x14ac:dyDescent="0.25">
      <c r="A52" s="62">
        <v>45</v>
      </c>
      <c r="B52" s="66">
        <f t="shared" si="11"/>
        <v>42.012</v>
      </c>
      <c r="C52" s="66">
        <f t="shared" si="6"/>
        <v>10.66</v>
      </c>
      <c r="D52" s="66">
        <f t="shared" si="9"/>
        <v>5.6784228721330328</v>
      </c>
      <c r="E52" s="62">
        <f t="shared" si="12"/>
        <v>34.407224405979335</v>
      </c>
      <c r="F52" s="66"/>
      <c r="G52" s="62"/>
      <c r="H52" s="117">
        <f>H51+(($B$19/100)^2*KeyParameters!$B$36*KeyParameters!$B$35*44/12)</f>
        <v>1940.465494120112</v>
      </c>
      <c r="I52" s="111">
        <f t="shared" si="3"/>
        <v>32.303050559999974</v>
      </c>
      <c r="J52" s="111">
        <v>32.303050559999974</v>
      </c>
      <c r="K52" s="62">
        <f t="shared" si="5"/>
        <v>2551.5810192200461</v>
      </c>
      <c r="L52" s="111">
        <f t="shared" si="14"/>
        <v>20.224988923943137</v>
      </c>
      <c r="M52" s="64">
        <f>K52*(1+ KeyParameters!$B$34)*(1+KeyParameters!$B$47)</f>
        <v>3876.3037900639815</v>
      </c>
    </row>
    <row r="53" spans="1:13" s="19" customFormat="1" x14ac:dyDescent="0.25">
      <c r="A53" s="62">
        <v>46</v>
      </c>
      <c r="B53" s="66">
        <f t="shared" si="11"/>
        <v>42.012</v>
      </c>
      <c r="C53" s="66">
        <f t="shared" si="6"/>
        <v>10.920000000000002</v>
      </c>
      <c r="D53" s="66">
        <f t="shared" si="9"/>
        <v>5.7289184894371674</v>
      </c>
      <c r="E53" s="62">
        <f t="shared" si="12"/>
        <v>34.407224405979335</v>
      </c>
      <c r="F53" s="66"/>
      <c r="G53" s="62"/>
      <c r="H53" s="117">
        <f>H52+(($B$19/100)^2*KeyParameters!$B$36*KeyParameters!$B$35*44/12)</f>
        <v>1972.768544680112</v>
      </c>
      <c r="I53" s="111">
        <f t="shared" si="3"/>
        <v>32.303050559999974</v>
      </c>
      <c r="J53" s="111">
        <v>32.303050559999974</v>
      </c>
      <c r="K53" s="62">
        <f t="shared" si="5"/>
        <v>2583.884069780046</v>
      </c>
      <c r="L53" s="111">
        <f t="shared" si="14"/>
        <v>20.481037560010069</v>
      </c>
      <c r="M53" s="64">
        <f>K53*(1+ KeyParameters!$B$34)*(1+KeyParameters!$B$47)</f>
        <v>3925.3778489996571</v>
      </c>
    </row>
    <row r="54" spans="1:13" s="19" customFormat="1" x14ac:dyDescent="0.25">
      <c r="A54" s="62">
        <v>47</v>
      </c>
      <c r="B54" s="66">
        <f t="shared" si="11"/>
        <v>42.012</v>
      </c>
      <c r="C54" s="66">
        <f t="shared" si="6"/>
        <v>11.18</v>
      </c>
      <c r="D54" s="66">
        <f t="shared" si="9"/>
        <v>5.7789791558276393</v>
      </c>
      <c r="E54" s="62">
        <f t="shared" si="12"/>
        <v>34.407224405979335</v>
      </c>
      <c r="F54" s="66"/>
      <c r="G54" s="62"/>
      <c r="H54" s="117">
        <f>H53+(($B$19/100)^2*KeyParameters!$B$36*KeyParameters!$B$35*44/12)</f>
        <v>2005.0715952401119</v>
      </c>
      <c r="I54" s="111">
        <f t="shared" si="3"/>
        <v>32.303050559999974</v>
      </c>
      <c r="J54" s="111">
        <v>32.303050559999974</v>
      </c>
      <c r="K54" s="62">
        <f t="shared" si="5"/>
        <v>2616.187120340046</v>
      </c>
      <c r="L54" s="111">
        <f t="shared" si="14"/>
        <v>20.737086196077009</v>
      </c>
      <c r="M54" s="64">
        <f>K54*(1+ KeyParameters!$B$34)*(1+KeyParameters!$B$47)</f>
        <v>3974.4519079353331</v>
      </c>
    </row>
    <row r="55" spans="1:13" s="19" customFormat="1" x14ac:dyDescent="0.25">
      <c r="A55" s="62">
        <v>48</v>
      </c>
      <c r="B55" s="66">
        <f t="shared" si="11"/>
        <v>42.012</v>
      </c>
      <c r="C55" s="66">
        <f t="shared" si="6"/>
        <v>11.440000000000001</v>
      </c>
      <c r="D55" s="66">
        <f t="shared" si="9"/>
        <v>5.8286159729468547</v>
      </c>
      <c r="E55" s="62">
        <f t="shared" si="12"/>
        <v>34.407224405979335</v>
      </c>
      <c r="F55" s="66"/>
      <c r="G55" s="62"/>
      <c r="H55" s="117">
        <f>H54+(($B$19/100)^2*KeyParameters!$B$36*KeyParameters!$B$35*44/12)</f>
        <v>2037.3746458001119</v>
      </c>
      <c r="I55" s="111">
        <f t="shared" si="3"/>
        <v>32.303050559999974</v>
      </c>
      <c r="J55" s="111">
        <v>32.303050559999974</v>
      </c>
      <c r="K55" s="62">
        <f t="shared" si="5"/>
        <v>2648.490170900046</v>
      </c>
      <c r="L55" s="111">
        <f t="shared" si="14"/>
        <v>20.993134832143944</v>
      </c>
      <c r="M55" s="64">
        <f>K55*(1+ KeyParameters!$B$34)*(1+KeyParameters!$B$47)</f>
        <v>4023.5259668710087</v>
      </c>
    </row>
    <row r="56" spans="1:13" s="19" customFormat="1" x14ac:dyDescent="0.25">
      <c r="A56" s="62">
        <v>49</v>
      </c>
      <c r="B56" s="66">
        <f t="shared" si="11"/>
        <v>42.012</v>
      </c>
      <c r="C56" s="66">
        <f t="shared" si="6"/>
        <v>11.7</v>
      </c>
      <c r="D56" s="66">
        <f t="shared" si="9"/>
        <v>5.8778395776322494</v>
      </c>
      <c r="E56" s="62">
        <f t="shared" si="12"/>
        <v>34.407224405979335</v>
      </c>
      <c r="F56" s="66"/>
      <c r="G56" s="62"/>
      <c r="H56" s="117">
        <f>H55+(($B$19/100)^2*KeyParameters!$B$36*KeyParameters!$B$35*44/12)</f>
        <v>2069.6776963601119</v>
      </c>
      <c r="I56" s="111">
        <f t="shared" si="3"/>
        <v>32.303050559999974</v>
      </c>
      <c r="J56" s="111">
        <v>32.303050559999974</v>
      </c>
      <c r="K56" s="62">
        <f t="shared" si="5"/>
        <v>2680.793221460046</v>
      </c>
      <c r="L56" s="111">
        <f t="shared" si="14"/>
        <v>21.249183468210877</v>
      </c>
      <c r="M56" s="64">
        <f>K56*(1+ KeyParameters!$B$34)*(1+KeyParameters!$B$47)</f>
        <v>4072.6000258066847</v>
      </c>
    </row>
    <row r="57" spans="1:13" s="19" customFormat="1" ht="15.75" customHeight="1" x14ac:dyDescent="0.25">
      <c r="A57" s="62">
        <v>50</v>
      </c>
      <c r="B57" s="66">
        <f t="shared" si="11"/>
        <v>42.012</v>
      </c>
      <c r="C57" s="66">
        <f xml:space="preserve"> 0.26*A57-1.04</f>
        <v>11.96</v>
      </c>
      <c r="D57" s="66">
        <f t="shared" si="9"/>
        <v>5.9266601687235667</v>
      </c>
      <c r="E57" s="62">
        <f t="shared" si="12"/>
        <v>34.407224405979335</v>
      </c>
      <c r="F57" s="66"/>
      <c r="G57" s="62"/>
      <c r="H57" s="117">
        <f>H56+(($B$19/100)^2*KeyParameters!$B$36*KeyParameters!$B$35*44/12)</f>
        <v>2101.9807469201119</v>
      </c>
      <c r="I57" s="111">
        <f t="shared" si="3"/>
        <v>32.303050559999974</v>
      </c>
      <c r="J57" s="111">
        <v>32.303050559999974</v>
      </c>
      <c r="K57" s="62">
        <f t="shared" si="5"/>
        <v>2713.0962720200459</v>
      </c>
      <c r="L57" s="111">
        <f t="shared" si="14"/>
        <v>21.505232104277813</v>
      </c>
      <c r="M57" s="64">
        <f>K57*(1+ KeyParameters!$B$34)*(1+KeyParameters!$B$47)</f>
        <v>4121.6740847423607</v>
      </c>
    </row>
    <row r="58" spans="1:13" s="19" customFormat="1" x14ac:dyDescent="0.25">
      <c r="A58" s="62">
        <v>51</v>
      </c>
      <c r="B58" s="66">
        <f t="shared" si="11"/>
        <v>42.012</v>
      </c>
      <c r="C58" s="66">
        <f t="shared" ref="C58:C69" si="15" xml:space="preserve"> 0.26*A58-1.04</f>
        <v>12.219999999999999</v>
      </c>
      <c r="D58" s="66">
        <f t="shared" si="9"/>
        <v>5.97508753191405</v>
      </c>
      <c r="E58" s="62">
        <f t="shared" si="12"/>
        <v>34.407224405979335</v>
      </c>
      <c r="F58" s="66"/>
      <c r="G58" s="62"/>
      <c r="H58" s="117">
        <f>H57+(($B$19/100)^2*KeyParameters!$B$36*KeyParameters!$B$35*44/12)</f>
        <v>2134.2837974801118</v>
      </c>
      <c r="I58" s="111">
        <f t="shared" si="3"/>
        <v>32.303050559999974</v>
      </c>
      <c r="J58" s="111">
        <v>32.303050559999974</v>
      </c>
      <c r="K58" s="62">
        <f t="shared" si="5"/>
        <v>2745.3993225800459</v>
      </c>
      <c r="L58" s="111">
        <f t="shared" si="14"/>
        <v>21.761280740344752</v>
      </c>
      <c r="M58" s="64">
        <f>K58*(1+ KeyParameters!$B$34)*(1+KeyParameters!$B$47)</f>
        <v>4170.7481436780363</v>
      </c>
    </row>
    <row r="59" spans="1:13" s="19" customFormat="1" x14ac:dyDescent="0.25">
      <c r="A59" s="62">
        <v>52</v>
      </c>
      <c r="B59" s="66">
        <f t="shared" si="11"/>
        <v>42.012</v>
      </c>
      <c r="C59" s="66">
        <f t="shared" si="15"/>
        <v>12.48</v>
      </c>
      <c r="D59" s="66">
        <f t="shared" si="9"/>
        <v>6.023131062817253</v>
      </c>
      <c r="E59" s="62">
        <f t="shared" si="12"/>
        <v>34.407224405979335</v>
      </c>
      <c r="F59" s="66"/>
      <c r="G59" s="62"/>
      <c r="H59" s="117">
        <f>H58+(($B$19/100)^2*KeyParameters!$B$36*KeyParameters!$B$35*44/12)</f>
        <v>2166.5868480401118</v>
      </c>
      <c r="I59" s="111">
        <f t="shared" si="3"/>
        <v>32.303050559999974</v>
      </c>
      <c r="J59" s="111">
        <v>32.303050559999974</v>
      </c>
      <c r="K59" s="62">
        <f t="shared" si="5"/>
        <v>2777.7023731400459</v>
      </c>
      <c r="L59" s="111">
        <f t="shared" si="14"/>
        <v>22.017329376411684</v>
      </c>
      <c r="M59" s="64">
        <f>K59*(1+ KeyParameters!$B$34)*(1+KeyParameters!$B$47)</f>
        <v>4219.8222026137119</v>
      </c>
    </row>
    <row r="60" spans="1:13" s="19" customFormat="1" x14ac:dyDescent="0.25">
      <c r="A60" s="62">
        <v>53</v>
      </c>
      <c r="B60" s="66">
        <f t="shared" si="11"/>
        <v>42.012</v>
      </c>
      <c r="C60" s="66">
        <f t="shared" si="15"/>
        <v>12.740000000000002</v>
      </c>
      <c r="D60" s="66">
        <f t="shared" si="9"/>
        <v>6.0707997884036109</v>
      </c>
      <c r="E60" s="62">
        <f t="shared" si="12"/>
        <v>34.407224405979335</v>
      </c>
      <c r="F60" s="66"/>
      <c r="G60" s="62"/>
      <c r="H60" s="117">
        <f>H59+(($B$19/100)^2*KeyParameters!$B$36*KeyParameters!$B$35*44/12)</f>
        <v>2198.8898986001118</v>
      </c>
      <c r="I60" s="111">
        <f t="shared" si="3"/>
        <v>32.303050559999974</v>
      </c>
      <c r="J60" s="111">
        <v>32.303050559999974</v>
      </c>
      <c r="K60" s="62">
        <f t="shared" si="5"/>
        <v>2810.0054237000459</v>
      </c>
      <c r="L60" s="111">
        <f t="shared" si="14"/>
        <v>22.273378012478624</v>
      </c>
      <c r="M60" s="64">
        <f>K60*(1+ KeyParameters!$B$34)*(1+KeyParameters!$B$47)</f>
        <v>4268.8962615493874</v>
      </c>
    </row>
    <row r="61" spans="1:13" s="19" customFormat="1" x14ac:dyDescent="0.25">
      <c r="A61" s="62">
        <v>54</v>
      </c>
      <c r="B61" s="66">
        <f t="shared" si="11"/>
        <v>42.012</v>
      </c>
      <c r="C61" s="66">
        <f t="shared" si="15"/>
        <v>13</v>
      </c>
      <c r="D61" s="66">
        <f t="shared" si="9"/>
        <v>6.1181023869454654</v>
      </c>
      <c r="E61" s="62">
        <f t="shared" si="12"/>
        <v>34.407224405979335</v>
      </c>
      <c r="F61" s="66"/>
      <c r="G61" s="62"/>
      <c r="H61" s="117">
        <f>H60+(($B$19/100)^2*KeyParameters!$B$36*KeyParameters!$B$35*44/12)</f>
        <v>2231.1929491601118</v>
      </c>
      <c r="I61" s="111">
        <f t="shared" si="3"/>
        <v>32.303050559999974</v>
      </c>
      <c r="J61" s="111">
        <v>32.303050559999974</v>
      </c>
      <c r="K61" s="62">
        <f t="shared" si="5"/>
        <v>2842.3084742600458</v>
      </c>
      <c r="L61" s="111">
        <f t="shared" si="14"/>
        <v>22.529426648545559</v>
      </c>
      <c r="M61" s="64">
        <f>K61*(1+ KeyParameters!$B$34)*(1+KeyParameters!$B$47)</f>
        <v>4317.9703204850639</v>
      </c>
    </row>
    <row r="62" spans="1:13" s="19" customFormat="1" x14ac:dyDescent="0.25">
      <c r="A62" s="62">
        <v>55</v>
      </c>
      <c r="B62" s="66">
        <f t="shared" si="11"/>
        <v>42.012</v>
      </c>
      <c r="C62" s="66">
        <f t="shared" si="15"/>
        <v>13.260000000000002</v>
      </c>
      <c r="D62" s="66">
        <f t="shared" si="9"/>
        <v>6.165047206595446</v>
      </c>
      <c r="E62" s="62">
        <f t="shared" si="12"/>
        <v>34.407224405979335</v>
      </c>
      <c r="F62" s="66"/>
      <c r="G62" s="62"/>
      <c r="H62" s="117">
        <f>H61+(($B$19/100)^2*KeyParameters!$B$36*KeyParameters!$B$35*44/12)</f>
        <v>2263.4959997201117</v>
      </c>
      <c r="I62" s="111">
        <f t="shared" si="3"/>
        <v>32.303050559999974</v>
      </c>
      <c r="J62" s="111">
        <v>32.303050559999974</v>
      </c>
      <c r="K62" s="62">
        <f t="shared" si="5"/>
        <v>2874.6115248200458</v>
      </c>
      <c r="L62" s="111">
        <f t="shared" si="14"/>
        <v>22.785475284612492</v>
      </c>
      <c r="M62" s="64">
        <f>K62*(1+ KeyParameters!$B$34)*(1+KeyParameters!$B$47)</f>
        <v>4367.0443794207395</v>
      </c>
    </row>
    <row r="63" spans="1:13" s="19" customFormat="1" x14ac:dyDescent="0.25">
      <c r="A63" s="62">
        <v>56</v>
      </c>
      <c r="B63" s="66">
        <f t="shared" si="11"/>
        <v>42.012</v>
      </c>
      <c r="C63" s="66">
        <f t="shared" si="15"/>
        <v>13.52</v>
      </c>
      <c r="D63" s="66">
        <f t="shared" si="9"/>
        <v>6.2116422827109892</v>
      </c>
      <c r="E63" s="62">
        <f t="shared" si="12"/>
        <v>34.407224405979335</v>
      </c>
      <c r="F63" s="66"/>
      <c r="G63" s="62"/>
      <c r="H63" s="117">
        <f>H62+(($B$19/100)^2*KeyParameters!$B$36*KeyParameters!$B$35*44/12)</f>
        <v>2295.7990502801117</v>
      </c>
      <c r="I63" s="111">
        <f t="shared" si="3"/>
        <v>32.303050559999974</v>
      </c>
      <c r="J63" s="111">
        <v>32.303050559999974</v>
      </c>
      <c r="K63" s="62">
        <f t="shared" si="5"/>
        <v>2906.9145753800458</v>
      </c>
      <c r="L63" s="111">
        <f t="shared" si="14"/>
        <v>23.041523920679428</v>
      </c>
      <c r="M63" s="64">
        <f>K63*(1+ KeyParameters!$B$34)*(1+KeyParameters!$B$47)</f>
        <v>4416.118438356415</v>
      </c>
    </row>
    <row r="64" spans="1:13" s="19" customFormat="1" x14ac:dyDescent="0.25">
      <c r="A64" s="62">
        <v>57</v>
      </c>
      <c r="B64" s="66">
        <f t="shared" si="11"/>
        <v>42.012</v>
      </c>
      <c r="C64" s="66">
        <f t="shared" si="15"/>
        <v>13.780000000000001</v>
      </c>
      <c r="D64" s="66">
        <f t="shared" si="9"/>
        <v>6.2578953540268882</v>
      </c>
      <c r="E64" s="62">
        <f t="shared" si="12"/>
        <v>34.407224405979335</v>
      </c>
      <c r="F64" s="66"/>
      <c r="G64" s="62"/>
      <c r="H64" s="117">
        <f>H63+(($B$19/100)^2*KeyParameters!$B$36*KeyParameters!$B$35*44/12)</f>
        <v>2328.1021008401117</v>
      </c>
      <c r="I64" s="111">
        <f t="shared" si="3"/>
        <v>32.303050559999974</v>
      </c>
      <c r="J64" s="111">
        <v>32.303050559999974</v>
      </c>
      <c r="K64" s="62">
        <f t="shared" si="5"/>
        <v>2939.2176259400458</v>
      </c>
      <c r="L64" s="111">
        <f t="shared" si="14"/>
        <v>23.297572556746367</v>
      </c>
      <c r="M64" s="64">
        <f>K64*(1+ KeyParameters!$B$34)*(1+KeyParameters!$B$47)</f>
        <v>4465.1924972920915</v>
      </c>
    </row>
    <row r="65" spans="1:13" s="19" customFormat="1" x14ac:dyDescent="0.25">
      <c r="A65" s="62">
        <v>58</v>
      </c>
      <c r="B65" s="66">
        <f t="shared" si="11"/>
        <v>42.012</v>
      </c>
      <c r="C65" s="66">
        <f t="shared" si="15"/>
        <v>14.04</v>
      </c>
      <c r="D65" s="66">
        <f t="shared" si="9"/>
        <v>6.3038138777681629</v>
      </c>
      <c r="E65" s="62">
        <f t="shared" si="12"/>
        <v>34.407224405979335</v>
      </c>
      <c r="F65" s="66"/>
      <c r="G65" s="62"/>
      <c r="H65" s="117">
        <f>H64+(($B$19/100)^2*KeyParameters!$B$36*KeyParameters!$B$35*44/12)</f>
        <v>2360.4051514001117</v>
      </c>
      <c r="I65" s="111">
        <f t="shared" si="3"/>
        <v>32.303050559999974</v>
      </c>
      <c r="J65" s="111">
        <v>32.303050559999974</v>
      </c>
      <c r="K65" s="62">
        <f t="shared" si="5"/>
        <v>2971.5206765000457</v>
      </c>
      <c r="L65" s="111">
        <f t="shared" si="14"/>
        <v>23.553621192813299</v>
      </c>
      <c r="M65" s="64">
        <f>K65*(1+ KeyParameters!$B$34)*(1+KeyParameters!$B$47)</f>
        <v>4514.2665562277671</v>
      </c>
    </row>
    <row r="66" spans="1:13" s="19" customFormat="1" x14ac:dyDescent="0.25">
      <c r="A66" s="62">
        <v>59</v>
      </c>
      <c r="B66" s="66">
        <f t="shared" si="11"/>
        <v>42.012</v>
      </c>
      <c r="C66" s="66">
        <f t="shared" si="15"/>
        <v>14.3</v>
      </c>
      <c r="D66" s="66">
        <f t="shared" si="9"/>
        <v>6.3494050437869056</v>
      </c>
      <c r="E66" s="62">
        <f t="shared" si="12"/>
        <v>34.407224405979335</v>
      </c>
      <c r="F66" s="66"/>
      <c r="G66" s="62"/>
      <c r="H66" s="117">
        <f>H65+(($B$19/100)^2*KeyParameters!$B$36*KeyParameters!$B$35*44/12)</f>
        <v>2392.7082019601116</v>
      </c>
      <c r="I66" s="111">
        <f t="shared" si="3"/>
        <v>32.303050559999974</v>
      </c>
      <c r="J66" s="111">
        <v>32.303050559999974</v>
      </c>
      <c r="K66" s="62">
        <f t="shared" si="5"/>
        <v>3003.8237270600457</v>
      </c>
      <c r="L66" s="111">
        <f t="shared" si="14"/>
        <v>23.809669828880239</v>
      </c>
      <c r="M66" s="64">
        <f>K66*(1+ KeyParameters!$B$34)*(1+KeyParameters!$B$47)</f>
        <v>4563.3406151634426</v>
      </c>
    </row>
    <row r="67" spans="1:13" s="19" customFormat="1" x14ac:dyDescent="0.25">
      <c r="A67" s="62">
        <v>60</v>
      </c>
      <c r="B67" s="66">
        <f t="shared" si="11"/>
        <v>42.012</v>
      </c>
      <c r="C67" s="66">
        <f t="shared" si="15"/>
        <v>14.560000000000002</v>
      </c>
      <c r="D67" s="66">
        <f t="shared" si="9"/>
        <v>6.3946757877990574</v>
      </c>
      <c r="E67" s="62">
        <f t="shared" si="12"/>
        <v>34.407224405979335</v>
      </c>
      <c r="F67" s="66"/>
      <c r="G67" s="62"/>
      <c r="H67" s="117">
        <f>H66+(($B$19/100)^2*KeyParameters!$B$36*KeyParameters!$B$35*44/12)</f>
        <v>2425.0112525201116</v>
      </c>
      <c r="I67" s="111">
        <f t="shared" si="3"/>
        <v>32.303050559999974</v>
      </c>
      <c r="J67" s="111">
        <v>32.303050559999974</v>
      </c>
      <c r="K67" s="62">
        <f t="shared" si="5"/>
        <v>3036.1267776200457</v>
      </c>
      <c r="L67" s="111">
        <f t="shared" si="14"/>
        <v>24.065718464947178</v>
      </c>
      <c r="M67" s="64">
        <f>K67*(1+ KeyParameters!$B$34)*(1+KeyParameters!$B$47)</f>
        <v>4612.4146740991182</v>
      </c>
    </row>
    <row r="68" spans="1:13" s="19" customFormat="1" x14ac:dyDescent="0.25">
      <c r="A68" s="62">
        <v>61</v>
      </c>
      <c r="B68" s="66">
        <f t="shared" si="11"/>
        <v>42.012</v>
      </c>
      <c r="C68" s="66">
        <f t="shared" si="15"/>
        <v>14.82</v>
      </c>
      <c r="D68" s="66">
        <f t="shared" si="9"/>
        <v>6.4396328037902029</v>
      </c>
      <c r="E68" s="62">
        <f t="shared" si="12"/>
        <v>34.407224405979335</v>
      </c>
      <c r="F68" s="66"/>
      <c r="G68" s="62"/>
      <c r="H68" s="117">
        <f>H67+(($B$19/100)^2*KeyParameters!$B$36*KeyParameters!$B$35*44/12)</f>
        <v>2457.3143030801116</v>
      </c>
      <c r="I68" s="111">
        <f t="shared" si="3"/>
        <v>32.303050559999974</v>
      </c>
      <c r="J68" s="111">
        <v>32.303050559999974</v>
      </c>
      <c r="K68" s="62">
        <f t="shared" si="5"/>
        <v>3068.4298281800457</v>
      </c>
      <c r="L68" s="111">
        <f t="shared" si="14"/>
        <v>24.321767101014107</v>
      </c>
      <c r="M68" s="64">
        <f>K68*(1+ KeyParameters!$B$34)*(1+KeyParameters!$B$47)</f>
        <v>4661.4887330347938</v>
      </c>
    </row>
    <row r="69" spans="1:13" s="19" customFormat="1" x14ac:dyDescent="0.25">
      <c r="A69" s="62">
        <v>62</v>
      </c>
      <c r="B69" s="66">
        <f t="shared" si="11"/>
        <v>42.012</v>
      </c>
      <c r="C69" s="66">
        <f t="shared" si="15"/>
        <v>15.080000000000002</v>
      </c>
      <c r="D69" s="66">
        <f t="shared" si="9"/>
        <v>6.484282555653258</v>
      </c>
      <c r="E69" s="62">
        <f t="shared" si="12"/>
        <v>34.407224405979335</v>
      </c>
      <c r="F69" s="66"/>
      <c r="G69" s="62"/>
      <c r="H69" s="117">
        <f>H68+(($B$19/100)^2*KeyParameters!$B$36*KeyParameters!$B$35*44/12)</f>
        <v>2489.6173536401116</v>
      </c>
      <c r="I69" s="111">
        <f t="shared" si="3"/>
        <v>32.303050559999974</v>
      </c>
      <c r="J69" s="111">
        <v>32.303050559999974</v>
      </c>
      <c r="K69" s="62">
        <f t="shared" si="5"/>
        <v>3100.7328787400456</v>
      </c>
      <c r="L69" s="111">
        <f t="shared" si="14"/>
        <v>24.577815737081043</v>
      </c>
      <c r="M69" s="64">
        <f>K69*(1+ KeyParameters!$B$34)*(1+KeyParameters!$B$47)</f>
        <v>4710.5627919704702</v>
      </c>
    </row>
    <row r="70" spans="1:13" s="19" customFormat="1" x14ac:dyDescent="0.25">
      <c r="A70" s="62">
        <v>63</v>
      </c>
      <c r="B70" s="66">
        <f t="shared" si="11"/>
        <v>42.012</v>
      </c>
      <c r="C70" s="66">
        <f xml:space="preserve"> 0.26*A70-1.04</f>
        <v>15.34</v>
      </c>
      <c r="D70" s="66">
        <f t="shared" si="9"/>
        <v>6.5286312881154194</v>
      </c>
      <c r="E70" s="62">
        <f t="shared" si="12"/>
        <v>34.407224405979335</v>
      </c>
      <c r="F70" s="66"/>
      <c r="G70" s="62"/>
      <c r="H70" s="117">
        <f>H69+(($B$19/100)^2*KeyParameters!$B$36*KeyParameters!$B$35*44/12)</f>
        <v>2521.9204042001115</v>
      </c>
      <c r="I70" s="111">
        <f t="shared" si="3"/>
        <v>32.303050559999974</v>
      </c>
      <c r="J70" s="111">
        <v>32.303050559999974</v>
      </c>
      <c r="K70" s="62">
        <f t="shared" si="5"/>
        <v>3133.0359293000456</v>
      </c>
      <c r="L70" s="111">
        <f t="shared" si="14"/>
        <v>24.833864373147978</v>
      </c>
      <c r="M70" s="64">
        <f>K70*(1+ KeyParameters!$B$34)*(1+KeyParameters!$B$47)</f>
        <v>4759.6368509061458</v>
      </c>
    </row>
    <row r="71" spans="1:13" x14ac:dyDescent="0.25">
      <c r="A71" s="62">
        <v>64</v>
      </c>
      <c r="B71" s="66">
        <f t="shared" si="11"/>
        <v>42.012</v>
      </c>
      <c r="C71" s="66">
        <f t="shared" ref="C71:C80" si="16" xml:space="preserve"> 0.26*A71-1.04</f>
        <v>15.600000000000001</v>
      </c>
      <c r="D71" s="66">
        <f t="shared" ref="D71:D80" si="17">1.4688 *( C71+4)^0.5036</f>
        <v>6.5726850370067149</v>
      </c>
      <c r="E71" s="62">
        <f t="shared" si="12"/>
        <v>34.407224405979335</v>
      </c>
      <c r="F71" s="66"/>
      <c r="G71" s="62"/>
      <c r="H71" s="117">
        <f>H70+(($B$19/100)^2*KeyParameters!$B$36*KeyParameters!$B$35*44/12)</f>
        <v>2554.2234547601115</v>
      </c>
      <c r="I71" s="111">
        <f t="shared" si="3"/>
        <v>32.303050559999974</v>
      </c>
      <c r="J71" s="111">
        <v>32.303050559999974</v>
      </c>
      <c r="K71" s="62">
        <f t="shared" si="5"/>
        <v>3165.3389798600456</v>
      </c>
      <c r="L71" s="111">
        <f t="shared" si="14"/>
        <v>25.089913009214914</v>
      </c>
      <c r="M71" s="64">
        <f>K71*(1+ KeyParameters!$B$34)*(1+KeyParameters!$B$47)</f>
        <v>4808.7109098418214</v>
      </c>
    </row>
    <row r="72" spans="1:13" x14ac:dyDescent="0.25">
      <c r="A72" s="62">
        <v>65</v>
      </c>
      <c r="B72" s="66">
        <f t="shared" si="11"/>
        <v>42.012</v>
      </c>
      <c r="C72" s="66">
        <f t="shared" si="16"/>
        <v>15.860000000000003</v>
      </c>
      <c r="D72" s="66">
        <f t="shared" si="17"/>
        <v>6.6164496389179837</v>
      </c>
      <c r="E72" s="62">
        <f t="shared" si="12"/>
        <v>34.407224405979335</v>
      </c>
      <c r="F72" s="66"/>
      <c r="G72" s="62"/>
      <c r="H72" s="117">
        <f>H71+(($B$19/100)^2*KeyParameters!$B$36*KeyParameters!$B$35*44/12)</f>
        <v>2586.5265053201115</v>
      </c>
      <c r="I72" s="111">
        <f t="shared" si="3"/>
        <v>32.303050559999974</v>
      </c>
      <c r="J72" s="111">
        <v>32.303050559999974</v>
      </c>
      <c r="K72" s="62">
        <f t="shared" si="5"/>
        <v>3197.6420304200456</v>
      </c>
      <c r="L72" s="111">
        <f t="shared" ref="L72" si="18">(K72/E72)*12/44</f>
        <v>25.345961645281854</v>
      </c>
      <c r="M72" s="64">
        <f>K72*(1+ KeyParameters!$B$34)*(1+KeyParameters!$B$47)</f>
        <v>4857.7849687774979</v>
      </c>
    </row>
    <row r="73" spans="1:13" x14ac:dyDescent="0.25">
      <c r="A73" s="62">
        <v>66</v>
      </c>
      <c r="B73" s="66">
        <f t="shared" si="11"/>
        <v>42.012</v>
      </c>
      <c r="C73" s="66">
        <f t="shared" si="16"/>
        <v>16.12</v>
      </c>
      <c r="D73" s="66">
        <f t="shared" si="17"/>
        <v>6.6599307402921566</v>
      </c>
      <c r="E73" s="62">
        <f t="shared" si="12"/>
        <v>34.407224405979335</v>
      </c>
      <c r="F73" s="66"/>
      <c r="G73" s="62"/>
      <c r="H73" s="117">
        <f>H72+(($B$19/100)^2*KeyParameters!$B$36*KeyParameters!$B$35*44/12)</f>
        <v>2618.8295558801115</v>
      </c>
      <c r="I73" s="111">
        <f t="shared" si="3"/>
        <v>32.303050559999974</v>
      </c>
      <c r="J73" s="111">
        <v>32.303050559999974</v>
      </c>
      <c r="K73" s="62">
        <f t="shared" si="5"/>
        <v>3229.9450809800455</v>
      </c>
      <c r="L73" s="111">
        <f t="shared" ref="L73:L87" si="19">(K73/E73)*12/44</f>
        <v>25.602010281348786</v>
      </c>
      <c r="M73" s="64">
        <f>K73*(1+ KeyParameters!$B$34)*(1+KeyParameters!$B$47)</f>
        <v>4906.8590277131734</v>
      </c>
    </row>
    <row r="74" spans="1:13" x14ac:dyDescent="0.25">
      <c r="A74" s="62">
        <v>67</v>
      </c>
      <c r="B74" s="66">
        <f t="shared" si="11"/>
        <v>42.012</v>
      </c>
      <c r="C74" s="66">
        <f t="shared" si="16"/>
        <v>16.380000000000003</v>
      </c>
      <c r="D74" s="66">
        <f t="shared" si="17"/>
        <v>6.7031338059888688</v>
      </c>
      <c r="E74" s="62">
        <f t="shared" si="12"/>
        <v>34.407224405979335</v>
      </c>
      <c r="F74" s="66"/>
      <c r="G74" s="62"/>
      <c r="H74" s="117">
        <f>H73+(($B$19/100)^2*KeyParameters!$B$36*KeyParameters!$B$35*44/12)</f>
        <v>2651.1326064401114</v>
      </c>
      <c r="I74" s="111">
        <f t="shared" ref="I74:I87" si="20">H74-H73</f>
        <v>32.303050559999974</v>
      </c>
      <c r="J74" s="111">
        <v>32.303050559999974</v>
      </c>
      <c r="K74" s="62">
        <f t="shared" ref="K74:K87" si="21">K73+J74</f>
        <v>3262.2481315400455</v>
      </c>
      <c r="L74" s="111">
        <f t="shared" si="19"/>
        <v>25.858058917415725</v>
      </c>
      <c r="M74" s="64">
        <f>K74*(1+ KeyParameters!$B$34)*(1+KeyParameters!$B$47)</f>
        <v>4955.9330866488499</v>
      </c>
    </row>
    <row r="75" spans="1:13" x14ac:dyDescent="0.25">
      <c r="A75" s="62">
        <v>68</v>
      </c>
      <c r="B75" s="66">
        <f t="shared" si="11"/>
        <v>42.012</v>
      </c>
      <c r="C75" s="66">
        <f t="shared" si="16"/>
        <v>16.64</v>
      </c>
      <c r="D75" s="66">
        <f t="shared" si="17"/>
        <v>6.7460641273593032</v>
      </c>
      <c r="E75" s="62">
        <f t="shared" si="12"/>
        <v>34.407224405979335</v>
      </c>
      <c r="F75" s="66"/>
      <c r="G75" s="62"/>
      <c r="H75" s="117">
        <f>H74+(($B$19/100)^2*KeyParameters!$B$36*KeyParameters!$B$35*44/12)</f>
        <v>2683.4356570001114</v>
      </c>
      <c r="I75" s="111">
        <f t="shared" si="20"/>
        <v>32.303050559999974</v>
      </c>
      <c r="J75" s="111">
        <v>32.303050559999974</v>
      </c>
      <c r="K75" s="62">
        <f t="shared" si="21"/>
        <v>3294.5511821000455</v>
      </c>
      <c r="L75" s="111">
        <f t="shared" si="19"/>
        <v>26.114107553482658</v>
      </c>
      <c r="M75" s="64">
        <f>K75*(1+ KeyParameters!$B$34)*(1+KeyParameters!$B$47)</f>
        <v>5005.0071455845255</v>
      </c>
    </row>
    <row r="76" spans="1:13" x14ac:dyDescent="0.25">
      <c r="A76" s="62">
        <v>69</v>
      </c>
      <c r="B76" s="66">
        <f t="shared" si="11"/>
        <v>42.012</v>
      </c>
      <c r="C76" s="66">
        <f t="shared" si="16"/>
        <v>16.900000000000002</v>
      </c>
      <c r="D76" s="66">
        <f t="shared" si="17"/>
        <v>6.7887268298650447</v>
      </c>
      <c r="E76" s="62">
        <f t="shared" si="12"/>
        <v>34.407224405979335</v>
      </c>
      <c r="F76" s="66"/>
      <c r="G76" s="62"/>
      <c r="H76" s="117">
        <f>H75+(($B$19/100)^2*KeyParameters!$B$36*KeyParameters!$B$35*44/12)</f>
        <v>2715.7387075601114</v>
      </c>
      <c r="I76" s="111">
        <f t="shared" si="20"/>
        <v>32.303050559999974</v>
      </c>
      <c r="J76" s="111">
        <v>32.303050559999974</v>
      </c>
      <c r="K76" s="62">
        <f t="shared" si="21"/>
        <v>3326.8542326600455</v>
      </c>
      <c r="L76" s="111">
        <f t="shared" si="19"/>
        <v>26.370156189549594</v>
      </c>
      <c r="M76" s="64">
        <f>K76*(1+ KeyParameters!$B$34)*(1+KeyParameters!$B$47)</f>
        <v>5054.081204520201</v>
      </c>
    </row>
    <row r="77" spans="1:13" x14ac:dyDescent="0.25">
      <c r="A77" s="62">
        <v>70</v>
      </c>
      <c r="B77" s="66">
        <f t="shared" si="11"/>
        <v>42.012</v>
      </c>
      <c r="C77" s="66">
        <f t="shared" si="16"/>
        <v>17.16</v>
      </c>
      <c r="D77" s="66">
        <f t="shared" si="17"/>
        <v>6.8311268802720031</v>
      </c>
      <c r="E77" s="62">
        <f t="shared" si="12"/>
        <v>34.407224405979335</v>
      </c>
      <c r="F77" s="66"/>
      <c r="G77" s="62"/>
      <c r="H77" s="117">
        <f>H76+(($B$19/100)^2*KeyParameters!$B$36*KeyParameters!$B$35*44/12)</f>
        <v>2748.0417581201114</v>
      </c>
      <c r="I77" s="111">
        <f t="shared" si="20"/>
        <v>32.303050559999974</v>
      </c>
      <c r="J77" s="111">
        <v>32.303050559999974</v>
      </c>
      <c r="K77" s="62">
        <f t="shared" si="21"/>
        <v>3359.1572832200454</v>
      </c>
      <c r="L77" s="111">
        <f t="shared" si="19"/>
        <v>26.626204825616529</v>
      </c>
      <c r="M77" s="64">
        <f>K77*(1+ KeyParameters!$B$34)*(1+KeyParameters!$B$47)</f>
        <v>5103.1552634558766</v>
      </c>
    </row>
    <row r="78" spans="1:13" x14ac:dyDescent="0.25">
      <c r="A78" s="62">
        <v>71</v>
      </c>
      <c r="B78" s="66">
        <f t="shared" si="11"/>
        <v>42.012</v>
      </c>
      <c r="C78" s="66">
        <f t="shared" si="16"/>
        <v>17.420000000000002</v>
      </c>
      <c r="D78" s="66">
        <f t="shared" si="17"/>
        <v>6.8732690934480818</v>
      </c>
      <c r="E78" s="62">
        <f t="shared" si="12"/>
        <v>34.407224405979335</v>
      </c>
      <c r="F78" s="66"/>
      <c r="G78" s="62"/>
      <c r="H78" s="117">
        <f>H77+(($B$19/100)^2*KeyParameters!$B$36*KeyParameters!$B$35*44/12)</f>
        <v>2780.3448086801113</v>
      </c>
      <c r="I78" s="111">
        <f t="shared" si="20"/>
        <v>32.303050559999974</v>
      </c>
      <c r="J78" s="111">
        <v>32.303050559999974</v>
      </c>
      <c r="K78" s="62">
        <f t="shared" si="21"/>
        <v>3391.4603337800454</v>
      </c>
      <c r="L78" s="111">
        <f t="shared" si="19"/>
        <v>26.882253461683469</v>
      </c>
      <c r="M78" s="64">
        <f>K78*(1+ KeyParameters!$B$34)*(1+KeyParameters!$B$47)</f>
        <v>5152.2293223915522</v>
      </c>
    </row>
    <row r="79" spans="1:13" x14ac:dyDescent="0.25">
      <c r="A79" s="62">
        <v>72</v>
      </c>
      <c r="B79" s="66">
        <f t="shared" si="11"/>
        <v>42.012</v>
      </c>
      <c r="C79" s="66">
        <f t="shared" si="16"/>
        <v>17.68</v>
      </c>
      <c r="D79" s="66">
        <f t="shared" si="17"/>
        <v>6.9151581387908969</v>
      </c>
      <c r="E79" s="62">
        <f t="shared" si="12"/>
        <v>34.407224405979335</v>
      </c>
      <c r="F79" s="66"/>
      <c r="G79" s="62"/>
      <c r="H79" s="117">
        <f>H78+(($B$19/100)^2*KeyParameters!$B$36*KeyParameters!$B$35*44/12)</f>
        <v>2812.6478592401113</v>
      </c>
      <c r="I79" s="111">
        <f t="shared" si="20"/>
        <v>32.303050559999974</v>
      </c>
      <c r="J79" s="111">
        <v>32.303050559999974</v>
      </c>
      <c r="K79" s="62">
        <f t="shared" si="21"/>
        <v>3423.7633843400454</v>
      </c>
      <c r="L79" s="111">
        <f t="shared" si="19"/>
        <v>27.138302097750401</v>
      </c>
      <c r="M79" s="64">
        <f>K79*(1+ KeyParameters!$B$34)*(1+KeyParameters!$B$47)</f>
        <v>5201.3033813272286</v>
      </c>
    </row>
    <row r="80" spans="1:13" x14ac:dyDescent="0.25">
      <c r="A80" s="62">
        <v>73</v>
      </c>
      <c r="B80" s="66">
        <f t="shared" si="11"/>
        <v>42.012</v>
      </c>
      <c r="C80" s="66">
        <f t="shared" si="16"/>
        <v>17.940000000000001</v>
      </c>
      <c r="D80" s="66">
        <f t="shared" si="17"/>
        <v>6.9567985463098827</v>
      </c>
      <c r="E80" s="62">
        <f t="shared" si="12"/>
        <v>34.407224405979335</v>
      </c>
      <c r="F80" s="66"/>
      <c r="G80" s="62"/>
      <c r="H80" s="117">
        <f>H79+(($B$19/100)^2*KeyParameters!$B$36*KeyParameters!$B$35*44/12)</f>
        <v>2844.9509098001113</v>
      </c>
      <c r="I80" s="111">
        <f t="shared" si="20"/>
        <v>32.303050559999974</v>
      </c>
      <c r="J80" s="111">
        <v>32.303050559999974</v>
      </c>
      <c r="K80" s="62">
        <f t="shared" si="21"/>
        <v>3456.0664349000454</v>
      </c>
      <c r="L80" s="111">
        <f t="shared" si="19"/>
        <v>27.394350733817337</v>
      </c>
      <c r="M80" s="64">
        <f>K80*(1+ KeyParameters!$B$34)*(1+KeyParameters!$B$47)</f>
        <v>5250.3774402629042</v>
      </c>
    </row>
    <row r="81" spans="1:13" x14ac:dyDescent="0.25">
      <c r="A81" s="62">
        <v>74</v>
      </c>
      <c r="B81" s="66">
        <f t="shared" si="11"/>
        <v>42.012</v>
      </c>
      <c r="C81" s="66">
        <f t="shared" ref="C81:C84" si="22" xml:space="preserve"> 0.26*A81-1.04</f>
        <v>18.200000000000003</v>
      </c>
      <c r="D81" s="66">
        <f t="shared" ref="D81:D84" si="23">1.4688 *( C81+4)^0.5036</f>
        <v>6.9981947123852546</v>
      </c>
      <c r="E81" s="62">
        <f t="shared" si="12"/>
        <v>34.407224405979335</v>
      </c>
      <c r="F81" s="66"/>
      <c r="G81" s="62"/>
      <c r="H81" s="117">
        <f>H80+(($B$19/100)^2*KeyParameters!$B$36*KeyParameters!$B$35*44/12)</f>
        <v>2877.2539603601113</v>
      </c>
      <c r="I81" s="111">
        <f t="shared" si="20"/>
        <v>32.303050559999974</v>
      </c>
      <c r="J81" s="111">
        <v>32.303050559999974</v>
      </c>
      <c r="K81" s="62">
        <f t="shared" si="21"/>
        <v>3488.3694854600453</v>
      </c>
      <c r="L81" s="111">
        <f t="shared" si="19"/>
        <v>27.650399369884273</v>
      </c>
      <c r="M81" s="64">
        <f>K81*(1+ KeyParameters!$B$34)*(1+KeyParameters!$B$47)</f>
        <v>5299.4514991985798</v>
      </c>
    </row>
    <row r="82" spans="1:13" x14ac:dyDescent="0.25">
      <c r="A82" s="62">
        <v>75</v>
      </c>
      <c r="B82" s="66">
        <f t="shared" si="11"/>
        <v>42.012</v>
      </c>
      <c r="C82" s="66">
        <f t="shared" si="22"/>
        <v>18.46</v>
      </c>
      <c r="D82" s="66">
        <f t="shared" si="23"/>
        <v>7.0393509052245191</v>
      </c>
      <c r="E82" s="62">
        <f t="shared" si="12"/>
        <v>34.407224405979335</v>
      </c>
      <c r="F82" s="66"/>
      <c r="G82" s="62"/>
      <c r="H82" s="117">
        <f>H81+(($B$19/100)^2*KeyParameters!$B$36*KeyParameters!$B$35*44/12)</f>
        <v>2909.5570109201112</v>
      </c>
      <c r="I82" s="111">
        <f t="shared" si="20"/>
        <v>32.303050559999974</v>
      </c>
      <c r="J82" s="111">
        <v>32.303050559999974</v>
      </c>
      <c r="K82" s="62">
        <f t="shared" si="21"/>
        <v>3520.6725360200453</v>
      </c>
      <c r="L82" s="111">
        <f t="shared" si="19"/>
        <v>27.906448005951209</v>
      </c>
      <c r="M82" s="64">
        <f>K82*(1+ KeyParameters!$B$34)*(1+KeyParameters!$B$47)</f>
        <v>5348.5255581342553</v>
      </c>
    </row>
    <row r="83" spans="1:13" x14ac:dyDescent="0.25">
      <c r="A83" s="62">
        <v>76</v>
      </c>
      <c r="B83" s="66">
        <f t="shared" si="11"/>
        <v>42.012</v>
      </c>
      <c r="C83" s="66">
        <f t="shared" si="22"/>
        <v>18.720000000000002</v>
      </c>
      <c r="D83" s="66">
        <f t="shared" si="23"/>
        <v>7.0802712700357908</v>
      </c>
      <c r="E83" s="62">
        <f t="shared" si="12"/>
        <v>34.407224405979335</v>
      </c>
      <c r="F83" s="66"/>
      <c r="G83" s="62"/>
      <c r="H83" s="117">
        <f>H82+(($B$19/100)^2*KeyParameters!$B$36*KeyParameters!$B$35*44/12)</f>
        <v>2941.8600614801112</v>
      </c>
      <c r="I83" s="111">
        <f t="shared" si="20"/>
        <v>32.303050559999974</v>
      </c>
      <c r="J83" s="111">
        <v>32.303050559999974</v>
      </c>
      <c r="K83" s="62">
        <f t="shared" si="21"/>
        <v>3552.9755865800453</v>
      </c>
      <c r="L83" s="111">
        <f t="shared" si="19"/>
        <v>28.162496642018144</v>
      </c>
      <c r="M83" s="64">
        <f>K83*(1+ KeyParameters!$B$34)*(1+KeyParameters!$B$47)</f>
        <v>5397.5996170699318</v>
      </c>
    </row>
    <row r="84" spans="1:13" x14ac:dyDescent="0.25">
      <c r="A84" s="62">
        <v>77</v>
      </c>
      <c r="B84" s="66">
        <f t="shared" si="11"/>
        <v>42.012</v>
      </c>
      <c r="C84" s="66">
        <f t="shared" si="22"/>
        <v>18.98</v>
      </c>
      <c r="D84" s="66">
        <f t="shared" si="23"/>
        <v>7.120959833935613</v>
      </c>
      <c r="E84" s="62">
        <f t="shared" si="12"/>
        <v>34.407224405979335</v>
      </c>
      <c r="F84" s="66"/>
      <c r="G84" s="62"/>
      <c r="H84" s="117">
        <f>H83+(($B$19/100)^2*KeyParameters!$B$36*KeyParameters!$B$35*44/12)</f>
        <v>2974.1631120401112</v>
      </c>
      <c r="I84" s="111">
        <f t="shared" si="20"/>
        <v>32.303050559999974</v>
      </c>
      <c r="J84" s="111">
        <v>32.303050559999974</v>
      </c>
      <c r="K84" s="62">
        <f t="shared" si="21"/>
        <v>3585.2786371400452</v>
      </c>
      <c r="L84" s="111">
        <f t="shared" si="19"/>
        <v>28.418545278085084</v>
      </c>
      <c r="M84" s="64">
        <f>K84*(1+ KeyParameters!$B$34)*(1+KeyParameters!$B$47)</f>
        <v>5446.6736760056074</v>
      </c>
    </row>
    <row r="85" spans="1:13" x14ac:dyDescent="0.25">
      <c r="A85" s="62">
        <v>78</v>
      </c>
      <c r="B85" s="66">
        <f t="shared" si="11"/>
        <v>42.012</v>
      </c>
      <c r="C85" s="66">
        <f t="shared" ref="C85:C87" si="24" xml:space="preserve"> 0.26*A85-1.04</f>
        <v>19.240000000000002</v>
      </c>
      <c r="D85" s="66">
        <f t="shared" ref="D85:D87" si="25">1.4688 *( C85+4)^0.5036</f>
        <v>7.1614205106077904</v>
      </c>
      <c r="E85" s="62">
        <f t="shared" si="12"/>
        <v>34.407224405979335</v>
      </c>
      <c r="F85" s="66"/>
      <c r="G85" s="62"/>
      <c r="H85" s="117">
        <f>H84+(($B$19/100)^2*KeyParameters!$B$36*KeyParameters!$B$35*44/12)</f>
        <v>3006.4661626001111</v>
      </c>
      <c r="I85" s="111">
        <f t="shared" si="20"/>
        <v>32.303050559999974</v>
      </c>
      <c r="J85" s="111">
        <v>32.303050559999974</v>
      </c>
      <c r="K85" s="62">
        <f t="shared" si="21"/>
        <v>3617.5816877000452</v>
      </c>
      <c r="L85" s="111">
        <f t="shared" si="19"/>
        <v>28.674593914152016</v>
      </c>
      <c r="M85" s="64">
        <f>K85*(1+ KeyParameters!$B$34)*(1+KeyParameters!$B$47)</f>
        <v>5495.7477349412829</v>
      </c>
    </row>
    <row r="86" spans="1:13" x14ac:dyDescent="0.25">
      <c r="A86" s="62">
        <v>79</v>
      </c>
      <c r="B86" s="66">
        <f t="shared" si="11"/>
        <v>42.012</v>
      </c>
      <c r="C86" s="66">
        <f t="shared" si="24"/>
        <v>19.5</v>
      </c>
      <c r="D86" s="66">
        <f t="shared" si="25"/>
        <v>7.2016571047285094</v>
      </c>
      <c r="E86" s="62">
        <f t="shared" si="12"/>
        <v>34.407224405979335</v>
      </c>
      <c r="F86" s="66"/>
      <c r="G86" s="62"/>
      <c r="H86" s="117">
        <f>H85+(($B$19/100)^2*KeyParameters!$B$36*KeyParameters!$B$35*44/12)</f>
        <v>3038.7692131601111</v>
      </c>
      <c r="I86" s="111">
        <f t="shared" si="20"/>
        <v>32.303050559999974</v>
      </c>
      <c r="J86" s="111">
        <v>32.303050559999974</v>
      </c>
      <c r="K86" s="62">
        <f t="shared" si="21"/>
        <v>3649.8847382600452</v>
      </c>
      <c r="L86" s="111">
        <f t="shared" si="19"/>
        <v>28.930642550218955</v>
      </c>
      <c r="M86" s="64">
        <f>K86*(1+ KeyParameters!$B$34)*(1+KeyParameters!$B$47)</f>
        <v>5544.8217938769585</v>
      </c>
    </row>
    <row r="87" spans="1:13" x14ac:dyDescent="0.25">
      <c r="A87" s="62">
        <v>80</v>
      </c>
      <c r="B87" s="66">
        <f t="shared" si="11"/>
        <v>42.012</v>
      </c>
      <c r="C87" s="66">
        <f t="shared" si="24"/>
        <v>19.760000000000002</v>
      </c>
      <c r="D87" s="66">
        <f t="shared" si="25"/>
        <v>7.2416733161718714</v>
      </c>
      <c r="E87" s="62">
        <f t="shared" si="12"/>
        <v>34.407224405979335</v>
      </c>
      <c r="F87" s="66"/>
      <c r="G87" s="62"/>
      <c r="H87" s="117">
        <f>H86+(($B$19/100)^2*KeyParameters!$B$36*KeyParameters!$B$35*44/12)</f>
        <v>3071.0722637201111</v>
      </c>
      <c r="I87" s="111">
        <f t="shared" si="20"/>
        <v>32.303050559999974</v>
      </c>
      <c r="J87" s="111">
        <v>32.303050559999974</v>
      </c>
      <c r="K87" s="62">
        <f t="shared" si="21"/>
        <v>3682.1877888200452</v>
      </c>
      <c r="L87" s="111">
        <f t="shared" si="19"/>
        <v>29.186691186285884</v>
      </c>
      <c r="M87" s="64">
        <f>K87*(1+ KeyParameters!$B$34)*(1+KeyParameters!$B$47)</f>
        <v>5593.8958528126341</v>
      </c>
    </row>
    <row r="88" spans="1:13" x14ac:dyDescent="0.25">
      <c r="A88" s="15"/>
      <c r="B88" s="19"/>
      <c r="C88" s="19"/>
      <c r="D88" s="19"/>
      <c r="E88" s="15"/>
      <c r="F88" s="19"/>
      <c r="G88" s="15"/>
      <c r="H88" s="44"/>
      <c r="I88" s="36"/>
      <c r="J88" s="36"/>
      <c r="K88" s="36"/>
      <c r="L88" s="15"/>
      <c r="M88" s="36"/>
    </row>
    <row r="89" spans="1:13" x14ac:dyDescent="0.25">
      <c r="A89" s="15"/>
      <c r="B89" s="19"/>
      <c r="C89" s="19"/>
      <c r="D89" s="19"/>
      <c r="E89" s="15"/>
      <c r="F89" s="19"/>
      <c r="G89" s="15"/>
      <c r="H89" s="44"/>
      <c r="I89" s="36"/>
      <c r="J89" s="36"/>
      <c r="K89" s="36"/>
      <c r="L89" s="15"/>
      <c r="M89" s="36"/>
    </row>
    <row r="90" spans="1:13" x14ac:dyDescent="0.25">
      <c r="A90" s="15"/>
      <c r="B90" s="19"/>
      <c r="C90" s="19"/>
      <c r="D90" s="19"/>
      <c r="E90" s="15"/>
      <c r="F90" s="19"/>
      <c r="G90" s="15"/>
      <c r="H90" s="44"/>
      <c r="I90" s="36"/>
      <c r="J90" s="36"/>
      <c r="K90" s="36"/>
      <c r="L90" s="15"/>
      <c r="M90" s="36"/>
    </row>
    <row r="91" spans="1:13" x14ac:dyDescent="0.25">
      <c r="A91" s="15"/>
      <c r="B91" s="19"/>
      <c r="C91" s="19"/>
      <c r="D91" s="19"/>
      <c r="E91" s="15"/>
      <c r="F91" s="19"/>
      <c r="G91" s="15"/>
      <c r="H91" s="44"/>
      <c r="I91" s="36"/>
      <c r="J91" s="36"/>
      <c r="K91" s="36"/>
      <c r="L91" s="15"/>
      <c r="M91" s="36"/>
    </row>
    <row r="92" spans="1:13" x14ac:dyDescent="0.25">
      <c r="A92" s="15"/>
      <c r="B92" s="19"/>
      <c r="C92" s="19"/>
      <c r="D92" s="19"/>
      <c r="E92" s="15"/>
      <c r="F92" s="19"/>
      <c r="G92" s="15"/>
      <c r="H92" s="44"/>
      <c r="I92" s="36"/>
      <c r="J92" s="36"/>
      <c r="K92" s="36"/>
      <c r="L92" s="15"/>
      <c r="M92" s="36"/>
    </row>
    <row r="93" spans="1:13" x14ac:dyDescent="0.25">
      <c r="A93" s="15"/>
      <c r="B93" s="19"/>
      <c r="C93" s="19"/>
      <c r="D93" s="19"/>
      <c r="E93" s="15"/>
      <c r="F93" s="19"/>
      <c r="G93" s="15"/>
      <c r="H93" s="44"/>
      <c r="I93" s="36"/>
      <c r="J93" s="36"/>
      <c r="K93" s="36"/>
      <c r="L93" s="15"/>
      <c r="M93" s="36"/>
    </row>
    <row r="94" spans="1:13" x14ac:dyDescent="0.25">
      <c r="A94" s="15"/>
      <c r="B94" s="19"/>
      <c r="C94" s="19"/>
      <c r="D94" s="19"/>
      <c r="E94" s="15"/>
      <c r="F94" s="19"/>
      <c r="G94" s="15"/>
      <c r="H94" s="44"/>
      <c r="I94" s="36"/>
      <c r="J94" s="36"/>
      <c r="K94" s="36"/>
      <c r="L94" s="15"/>
      <c r="M94" s="36"/>
    </row>
    <row r="95" spans="1:13" x14ac:dyDescent="0.25">
      <c r="A95" s="15"/>
      <c r="B95" s="19"/>
      <c r="C95" s="19"/>
      <c r="D95" s="19"/>
      <c r="E95" s="15"/>
      <c r="F95" s="19"/>
      <c r="G95" s="15"/>
      <c r="H95" s="44"/>
      <c r="I95" s="36"/>
      <c r="J95" s="36"/>
      <c r="K95" s="36"/>
      <c r="L95" s="15"/>
      <c r="M95" s="36"/>
    </row>
    <row r="96" spans="1:13" x14ac:dyDescent="0.25">
      <c r="A96" s="15"/>
      <c r="B96" s="19"/>
      <c r="C96" s="19"/>
      <c r="D96" s="19"/>
      <c r="E96" s="15"/>
      <c r="F96" s="19"/>
      <c r="G96" s="15"/>
      <c r="H96" s="44"/>
      <c r="I96" s="36"/>
      <c r="J96" s="36"/>
      <c r="K96" s="36"/>
      <c r="L96" s="15"/>
      <c r="M96" s="36"/>
    </row>
    <row r="97" spans="1:13" x14ac:dyDescent="0.25">
      <c r="A97" s="15"/>
      <c r="B97" s="19"/>
      <c r="C97" s="19"/>
      <c r="D97" s="19"/>
      <c r="E97" s="15"/>
      <c r="F97" s="19"/>
      <c r="G97" s="15"/>
      <c r="H97" s="44"/>
      <c r="I97" s="36"/>
      <c r="J97" s="36"/>
      <c r="K97" s="36"/>
      <c r="L97" s="15"/>
      <c r="M97" s="36"/>
    </row>
    <row r="98" spans="1:13" x14ac:dyDescent="0.25">
      <c r="A98" s="15"/>
      <c r="B98" s="19"/>
      <c r="C98" s="19"/>
      <c r="D98" s="19"/>
      <c r="E98" s="15"/>
      <c r="F98" s="19"/>
      <c r="G98" s="15"/>
      <c r="H98" s="44"/>
      <c r="I98" s="36"/>
      <c r="J98" s="36"/>
      <c r="K98" s="36"/>
      <c r="L98" s="15"/>
      <c r="M98" s="36"/>
    </row>
    <row r="99" spans="1:13" x14ac:dyDescent="0.25">
      <c r="A99" s="15"/>
      <c r="B99" s="19"/>
      <c r="C99" s="19"/>
      <c r="D99" s="19"/>
      <c r="E99" s="15"/>
      <c r="F99" s="19"/>
      <c r="G99" s="15"/>
      <c r="H99" s="44"/>
      <c r="I99" s="36"/>
      <c r="J99" s="36"/>
      <c r="K99" s="36"/>
      <c r="L99" s="15"/>
      <c r="M99" s="36"/>
    </row>
    <row r="100" spans="1:13" x14ac:dyDescent="0.25">
      <c r="A100" s="15"/>
      <c r="B100" s="19"/>
      <c r="C100" s="19"/>
      <c r="D100" s="19"/>
      <c r="E100" s="15"/>
      <c r="F100" s="19"/>
      <c r="G100" s="15"/>
      <c r="H100" s="44"/>
      <c r="I100" s="36"/>
      <c r="J100" s="36"/>
      <c r="K100" s="36"/>
      <c r="L100" s="15"/>
      <c r="M100" s="36"/>
    </row>
    <row r="101" spans="1:13" x14ac:dyDescent="0.25">
      <c r="A101" s="15"/>
      <c r="B101" s="19"/>
      <c r="C101" s="19"/>
      <c r="D101" s="19"/>
      <c r="E101" s="15"/>
      <c r="F101" s="19"/>
      <c r="G101" s="15"/>
      <c r="H101" s="44"/>
      <c r="I101" s="36"/>
      <c r="J101" s="36"/>
      <c r="K101" s="36"/>
      <c r="L101" s="15"/>
      <c r="M101" s="36"/>
    </row>
    <row r="102" spans="1:13" x14ac:dyDescent="0.25">
      <c r="A102" s="15"/>
      <c r="B102" s="19"/>
      <c r="C102" s="19"/>
      <c r="D102" s="19"/>
      <c r="E102" s="15"/>
      <c r="F102" s="19"/>
      <c r="G102" s="15"/>
      <c r="H102" s="44"/>
      <c r="I102" s="36"/>
      <c r="J102" s="36"/>
      <c r="K102" s="36"/>
      <c r="L102" s="15"/>
      <c r="M102" s="36"/>
    </row>
    <row r="103" spans="1:13" x14ac:dyDescent="0.25">
      <c r="A103" s="15"/>
      <c r="B103" s="19"/>
      <c r="C103" s="19"/>
      <c r="D103" s="19"/>
      <c r="E103" s="15"/>
      <c r="F103" s="19"/>
      <c r="G103" s="15"/>
      <c r="H103" s="44"/>
      <c r="I103" s="36"/>
      <c r="J103" s="36"/>
      <c r="K103" s="36"/>
      <c r="L103" s="15"/>
      <c r="M103" s="36"/>
    </row>
    <row r="104" spans="1:13" x14ac:dyDescent="0.25">
      <c r="A104" s="36"/>
      <c r="E104" s="36"/>
      <c r="G104" s="36"/>
      <c r="H104" s="36"/>
      <c r="I104" s="36"/>
      <c r="J104" s="36"/>
      <c r="K104" s="36"/>
      <c r="L104" s="36"/>
      <c r="M104" s="36"/>
    </row>
    <row r="105" spans="1:13" x14ac:dyDescent="0.25">
      <c r="A105" s="36"/>
      <c r="E105" s="36"/>
      <c r="G105" s="36"/>
      <c r="H105" s="36"/>
      <c r="I105" s="36"/>
      <c r="J105" s="36"/>
      <c r="K105" s="36"/>
      <c r="L105" s="36"/>
      <c r="M105" s="36"/>
    </row>
    <row r="106" spans="1:13" x14ac:dyDescent="0.25">
      <c r="A106" s="36"/>
      <c r="E106" s="36"/>
      <c r="G106" s="36"/>
      <c r="H106" s="36"/>
      <c r="I106" s="36"/>
      <c r="J106" s="36"/>
      <c r="K106" s="36"/>
      <c r="L106" s="36"/>
      <c r="M106" s="36"/>
    </row>
    <row r="107" spans="1:13" x14ac:dyDescent="0.25">
      <c r="A107" s="36"/>
      <c r="E107" s="36"/>
      <c r="G107" s="36"/>
      <c r="H107" s="36"/>
      <c r="I107" s="36"/>
      <c r="J107" s="36"/>
      <c r="K107" s="36"/>
      <c r="L107" s="36"/>
      <c r="M107" s="36"/>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61A21-3239-4107-BD98-F9BAD75C348C}">
  <sheetPr codeName="Sheet11">
    <tabColor theme="9" tint="0.39997558519241921"/>
  </sheetPr>
  <dimension ref="A1:K89"/>
  <sheetViews>
    <sheetView zoomScale="80" zoomScaleNormal="80" workbookViewId="0">
      <selection activeCell="A4" sqref="A4"/>
    </sheetView>
  </sheetViews>
  <sheetFormatPr defaultRowHeight="15" x14ac:dyDescent="0.25"/>
  <cols>
    <col min="1" max="1" width="23.28515625" customWidth="1"/>
    <col min="2" max="2" width="16.140625" customWidth="1"/>
    <col min="3" max="3" width="14.5703125" customWidth="1"/>
    <col min="4" max="4" width="16.28515625" customWidth="1"/>
    <col min="5" max="5" width="13.42578125" customWidth="1"/>
    <col min="6" max="6" width="20.5703125" customWidth="1"/>
    <col min="7" max="9" width="19.42578125" customWidth="1"/>
    <col min="10" max="10" width="19" customWidth="1"/>
    <col min="11" max="11" width="29.28515625" customWidth="1"/>
  </cols>
  <sheetData>
    <row r="1" spans="1:11" s="50" customFormat="1" ht="15.75" x14ac:dyDescent="0.25">
      <c r="A1" s="81" t="s">
        <v>17</v>
      </c>
      <c r="B1" s="81" t="s">
        <v>21</v>
      </c>
      <c r="C1" s="81" t="s">
        <v>129</v>
      </c>
      <c r="D1" s="81"/>
    </row>
    <row r="2" spans="1:11" x14ac:dyDescent="0.25">
      <c r="A2" s="8"/>
      <c r="B2" s="9"/>
    </row>
    <row r="3" spans="1:11" x14ac:dyDescent="0.25">
      <c r="A3" s="8"/>
    </row>
    <row r="4" spans="1:11" x14ac:dyDescent="0.25">
      <c r="A4" s="8"/>
      <c r="F4" s="8" t="s">
        <v>93</v>
      </c>
      <c r="G4" s="36">
        <f>(H34 -H10)/(B34-B10)</f>
        <v>1.9597708165055612</v>
      </c>
    </row>
    <row r="5" spans="1:11" x14ac:dyDescent="0.25">
      <c r="F5" s="8" t="s">
        <v>94</v>
      </c>
      <c r="G5" s="36">
        <f>0.93*G4</f>
        <v>1.822586859350172</v>
      </c>
    </row>
    <row r="7" spans="1:11" ht="15.75" thickBot="1" x14ac:dyDescent="0.3"/>
    <row r="8" spans="1:11" ht="60" x14ac:dyDescent="0.25">
      <c r="A8" s="106" t="s">
        <v>13</v>
      </c>
      <c r="B8" s="107" t="s">
        <v>12</v>
      </c>
      <c r="C8" s="108" t="s">
        <v>11</v>
      </c>
      <c r="D8" s="108" t="s">
        <v>10</v>
      </c>
      <c r="E8" s="108" t="s">
        <v>9</v>
      </c>
      <c r="F8" s="108" t="s">
        <v>20</v>
      </c>
      <c r="G8" s="108" t="s">
        <v>19</v>
      </c>
      <c r="H8" s="108" t="s">
        <v>84</v>
      </c>
      <c r="I8" s="108" t="s">
        <v>83</v>
      </c>
      <c r="J8" s="108" t="s">
        <v>6</v>
      </c>
      <c r="K8" s="108" t="s">
        <v>230</v>
      </c>
    </row>
    <row r="9" spans="1:11" ht="17.25" x14ac:dyDescent="0.25">
      <c r="A9" s="109" t="s">
        <v>5</v>
      </c>
      <c r="B9" s="109" t="s">
        <v>4</v>
      </c>
      <c r="C9" s="110" t="s">
        <v>3</v>
      </c>
      <c r="D9" s="110" t="s">
        <v>3</v>
      </c>
      <c r="E9" s="110" t="s">
        <v>2</v>
      </c>
      <c r="F9" s="109" t="s">
        <v>1</v>
      </c>
      <c r="G9" s="109" t="s">
        <v>0</v>
      </c>
      <c r="H9" s="109" t="s">
        <v>1</v>
      </c>
      <c r="I9" s="109" t="s">
        <v>0</v>
      </c>
      <c r="J9" s="61"/>
      <c r="K9" s="109" t="s">
        <v>0</v>
      </c>
    </row>
    <row r="10" spans="1:11" x14ac:dyDescent="0.25">
      <c r="A10" s="111">
        <v>1</v>
      </c>
      <c r="B10" s="123">
        <f xml:space="preserve"> 5.28421 - 1.37336 * A10 +  0.41881 * A10^2 - 0.01147 * A10^3</f>
        <v>4.3181899999999995</v>
      </c>
      <c r="C10" s="61">
        <f t="shared" ref="C10:C32" si="0" xml:space="preserve"> 1.80404 + 0.32833 * B10 -
0.00262 * B10^2</f>
        <v>3.1729767987246178</v>
      </c>
      <c r="D10" s="61">
        <f t="shared" ref="D10:D32" si="1" xml:space="preserve"> 1.72053 + 0.28469 * B10 - 0.00227 * B10^2</f>
        <v>2.9075473548312525</v>
      </c>
      <c r="E10" s="111">
        <f xml:space="preserve">  3.14*(D10/2)^2</f>
        <v>6.6362578221601769</v>
      </c>
      <c r="F10" s="61">
        <f t="shared" ref="F10:F17" si="2" xml:space="preserve"> 48.145 * C10 - 2.0034 * C10^2 - 191.24</f>
        <v>-58.646826013894554</v>
      </c>
      <c r="G10" s="112">
        <f>G16/7</f>
        <v>1.607315912389879</v>
      </c>
      <c r="H10" s="62">
        <f>G10</f>
        <v>1.607315912389879</v>
      </c>
      <c r="I10" s="62">
        <f>H10</f>
        <v>1.607315912389879</v>
      </c>
      <c r="J10" s="61">
        <f>(I10/E10)*12/44</f>
        <v>6.605513181441601E-2</v>
      </c>
      <c r="K10" s="64">
        <f>I10*(1+KeyParameters!$B$37)*(1+KeyParameters!$B$34)</f>
        <v>2.4109738685848185</v>
      </c>
    </row>
    <row r="11" spans="1:11" x14ac:dyDescent="0.25">
      <c r="A11" s="111">
        <v>2</v>
      </c>
      <c r="B11" s="123">
        <f t="shared" ref="B11:B34" si="3" xml:space="preserve"> 5.28421 - 1.37336 * A11 +  0.41881 * A11^2 - 0.01147 * A11^3</f>
        <v>4.1209700000000007</v>
      </c>
      <c r="C11" s="61">
        <f t="shared" si="0"/>
        <v>3.1125842084988427</v>
      </c>
      <c r="D11" s="61">
        <f t="shared" si="1"/>
        <v>2.8551789155081568</v>
      </c>
      <c r="E11" s="111">
        <f t="shared" ref="E11:E31" si="4" xml:space="preserve">  3.14*(D11/2)^2</f>
        <v>6.3993566120564322</v>
      </c>
      <c r="F11" s="61">
        <f t="shared" si="2"/>
        <v>-60.793934005362956</v>
      </c>
      <c r="G11" s="112">
        <f>G10*2</f>
        <v>3.2146318247797581</v>
      </c>
      <c r="H11" s="62">
        <f>G11-G10</f>
        <v>1.607315912389879</v>
      </c>
      <c r="I11" s="62">
        <f>I10+H11</f>
        <v>3.2146318247797581</v>
      </c>
      <c r="J11" s="61">
        <f t="shared" ref="J11:J74" si="5">(I11/E11)*12/44</f>
        <v>0.13700092424021768</v>
      </c>
      <c r="K11" s="64">
        <f>I11*(1+KeyParameters!$B$37)*(1+KeyParameters!$B$34)</f>
        <v>4.8219477371696371</v>
      </c>
    </row>
    <row r="12" spans="1:11" x14ac:dyDescent="0.25">
      <c r="A12" s="111">
        <v>3</v>
      </c>
      <c r="B12" s="123">
        <f t="shared" si="3"/>
        <v>4.6237300000000001</v>
      </c>
      <c r="C12" s="61">
        <f t="shared" si="0"/>
        <v>3.2661366076242024</v>
      </c>
      <c r="D12" s="61">
        <f t="shared" si="1"/>
        <v>2.9883296381137168</v>
      </c>
      <c r="E12" s="111">
        <f t="shared" si="4"/>
        <v>7.0101395104326532</v>
      </c>
      <c r="F12" s="61">
        <f t="shared" si="2"/>
        <v>-55.36341970961351</v>
      </c>
      <c r="G12" s="112">
        <f>G10*3</f>
        <v>4.8219477371696371</v>
      </c>
      <c r="H12" s="62">
        <f t="shared" ref="H12:H33" si="6">G12-G11</f>
        <v>1.607315912389879</v>
      </c>
      <c r="I12" s="62">
        <f t="shared" ref="I12:I75" si="7">I11+H12</f>
        <v>4.8219477371696371</v>
      </c>
      <c r="J12" s="61">
        <f t="shared" si="5"/>
        <v>0.18759636004883948</v>
      </c>
      <c r="K12" s="64">
        <f>I12*(1+KeyParameters!$B$37)*(1+KeyParameters!$B$34)</f>
        <v>7.2329216057544556</v>
      </c>
    </row>
    <row r="13" spans="1:11" x14ac:dyDescent="0.25">
      <c r="A13" s="111">
        <v>4</v>
      </c>
      <c r="B13" s="123">
        <f t="shared" si="3"/>
        <v>5.7576500000000008</v>
      </c>
      <c r="C13" s="61">
        <f t="shared" si="0"/>
        <v>3.6075948266710505</v>
      </c>
      <c r="D13" s="61">
        <f t="shared" si="1"/>
        <v>3.2844236674039253</v>
      </c>
      <c r="E13" s="111">
        <f t="shared" si="4"/>
        <v>8.4681394791973954</v>
      </c>
      <c r="F13" s="61">
        <f t="shared" si="2"/>
        <v>-43.626078054243351</v>
      </c>
      <c r="G13" s="112">
        <f>G10*4</f>
        <v>6.4292636495595161</v>
      </c>
      <c r="H13" s="62">
        <f t="shared" si="6"/>
        <v>1.607315912389879</v>
      </c>
      <c r="I13" s="62">
        <f t="shared" si="7"/>
        <v>6.4292636495595161</v>
      </c>
      <c r="J13" s="61">
        <f t="shared" si="5"/>
        <v>0.20706266649202007</v>
      </c>
      <c r="K13" s="64">
        <f>I13*(1+KeyParameters!$B$37)*(1+KeyParameters!$B$34)</f>
        <v>9.6438954743392742</v>
      </c>
    </row>
    <row r="14" spans="1:11" x14ac:dyDescent="0.25">
      <c r="A14" s="111">
        <v>5</v>
      </c>
      <c r="B14" s="123">
        <f t="shared" si="3"/>
        <v>7.4539100000000005</v>
      </c>
      <c r="C14" s="61">
        <f t="shared" si="0"/>
        <v>4.1058130416651784</v>
      </c>
      <c r="D14" s="61">
        <f t="shared" si="1"/>
        <v>3.716460680266013</v>
      </c>
      <c r="E14" s="111">
        <f t="shared" si="4"/>
        <v>10.842482790551204</v>
      </c>
      <c r="F14" s="61">
        <f t="shared" si="2"/>
        <v>-27.338348757738288</v>
      </c>
      <c r="G14" s="112">
        <f>G10*5</f>
        <v>8.0365795619493952</v>
      </c>
      <c r="H14" s="62">
        <f t="shared" si="6"/>
        <v>1.607315912389879</v>
      </c>
      <c r="I14" s="62">
        <f t="shared" si="7"/>
        <v>8.0365795619493952</v>
      </c>
      <c r="J14" s="61">
        <f t="shared" si="5"/>
        <v>0.20214875765320661</v>
      </c>
      <c r="K14" s="64">
        <f>I14*(1+KeyParameters!$B$37)*(1+KeyParameters!$B$34)</f>
        <v>12.054869342924093</v>
      </c>
    </row>
    <row r="15" spans="1:11" x14ac:dyDescent="0.25">
      <c r="A15" s="111">
        <v>6</v>
      </c>
      <c r="B15" s="123">
        <f t="shared" si="3"/>
        <v>9.6436900000000012</v>
      </c>
      <c r="C15" s="61">
        <f t="shared" si="0"/>
        <v>4.7266907548418189</v>
      </c>
      <c r="D15" s="61">
        <f t="shared" si="1"/>
        <v>4.2548803881274528</v>
      </c>
      <c r="E15" s="111">
        <f t="shared" si="4"/>
        <v>14.211645587058225</v>
      </c>
      <c r="F15" s="61">
        <f t="shared" si="2"/>
        <v>-8.432646050627369</v>
      </c>
      <c r="G15" s="112">
        <f>G10*6</f>
        <v>9.6438954743392742</v>
      </c>
      <c r="H15" s="62">
        <f t="shared" si="6"/>
        <v>1.607315912389879</v>
      </c>
      <c r="I15" s="62">
        <f t="shared" si="7"/>
        <v>9.6438954743392742</v>
      </c>
      <c r="J15" s="61">
        <f t="shared" si="5"/>
        <v>0.18507028584913324</v>
      </c>
      <c r="K15" s="64">
        <f>I15*(1+KeyParameters!$B$37)*(1+KeyParameters!$B$34)</f>
        <v>14.465843211508911</v>
      </c>
    </row>
    <row r="16" spans="1:11" x14ac:dyDescent="0.25">
      <c r="A16" s="111">
        <v>7</v>
      </c>
      <c r="B16" s="123">
        <f t="shared" si="3"/>
        <v>12.25817</v>
      </c>
      <c r="C16" s="61">
        <f t="shared" si="0"/>
        <v>5.4350765989178829</v>
      </c>
      <c r="D16" s="61">
        <f t="shared" si="1"/>
        <v>4.8692120162299961</v>
      </c>
      <c r="E16" s="111">
        <f t="shared" si="4"/>
        <v>18.61174214231389</v>
      </c>
      <c r="F16" s="61">
        <f t="shared" si="2"/>
        <v>11.251211386729153</v>
      </c>
      <c r="G16" s="111">
        <f xml:space="preserve"> F16</f>
        <v>11.251211386729153</v>
      </c>
      <c r="H16" s="62">
        <f t="shared" si="6"/>
        <v>1.607315912389879</v>
      </c>
      <c r="I16" s="62">
        <f t="shared" si="7"/>
        <v>11.251211386729153</v>
      </c>
      <c r="J16" s="61">
        <f t="shared" si="5"/>
        <v>0.16486969209638899</v>
      </c>
      <c r="K16" s="64">
        <f>I16*(1+KeyParameters!$B$37)*(1+KeyParameters!$B$34)</f>
        <v>16.87681708009373</v>
      </c>
    </row>
    <row r="17" spans="1:11" x14ac:dyDescent="0.25">
      <c r="A17" s="111">
        <v>8</v>
      </c>
      <c r="B17" s="123">
        <f t="shared" si="3"/>
        <v>15.228530000000003</v>
      </c>
      <c r="C17" s="61">
        <f t="shared" si="0"/>
        <v>6.1964239648824426</v>
      </c>
      <c r="D17" s="61">
        <f t="shared" si="1"/>
        <v>5.529508759768758</v>
      </c>
      <c r="E17" s="111">
        <f t="shared" si="4"/>
        <v>24.001741692622151</v>
      </c>
      <c r="F17" s="61">
        <f t="shared" si="2"/>
        <v>30.164946606287572</v>
      </c>
      <c r="G17" s="111">
        <f>F17+G16</f>
        <v>41.416157993016725</v>
      </c>
      <c r="H17" s="62">
        <f t="shared" si="6"/>
        <v>30.164946606287572</v>
      </c>
      <c r="I17" s="62">
        <f t="shared" si="7"/>
        <v>41.416157993016725</v>
      </c>
      <c r="J17" s="61">
        <f t="shared" si="5"/>
        <v>0.47060400703126198</v>
      </c>
      <c r="K17" s="64">
        <f>I17*(1+KeyParameters!$B$37)*(1+KeyParameters!$B$34)</f>
        <v>62.124236989525087</v>
      </c>
    </row>
    <row r="18" spans="1:11" x14ac:dyDescent="0.25">
      <c r="A18" s="111">
        <v>9</v>
      </c>
      <c r="B18" s="123">
        <f t="shared" si="3"/>
        <v>18.485950000000003</v>
      </c>
      <c r="C18" s="61">
        <f t="shared" si="0"/>
        <v>6.9781984533054509</v>
      </c>
      <c r="D18" s="61">
        <f t="shared" si="1"/>
        <v>6.2075672168963258</v>
      </c>
      <c r="E18" s="111">
        <f t="shared" si="4"/>
        <v>30.249104240544511</v>
      </c>
      <c r="F18" s="61">
        <f t="shared" ref="F18:F32" si="8" xml:space="preserve"> 48.145 * C18 - 2.0034 * C18^2 - 191.24</f>
        <v>47.169293364539158</v>
      </c>
      <c r="G18" s="111">
        <f>F18+G17</f>
        <v>88.585451357555883</v>
      </c>
      <c r="H18" s="62">
        <f t="shared" si="6"/>
        <v>47.169293364539158</v>
      </c>
      <c r="I18" s="62">
        <f t="shared" si="7"/>
        <v>88.585451357555883</v>
      </c>
      <c r="J18" s="61">
        <f t="shared" si="5"/>
        <v>0.7986903797196806</v>
      </c>
      <c r="K18" s="64">
        <f>I18*(1+KeyParameters!$B$37)*(1+KeyParameters!$B$34)</f>
        <v>132.87817703633382</v>
      </c>
    </row>
    <row r="19" spans="1:11" x14ac:dyDescent="0.25">
      <c r="A19" s="111">
        <v>10</v>
      </c>
      <c r="B19" s="123">
        <f t="shared" si="3"/>
        <v>21.96161</v>
      </c>
      <c r="C19" s="61">
        <f t="shared" si="0"/>
        <v>7.7510371491646985</v>
      </c>
      <c r="D19" s="61">
        <f t="shared" si="1"/>
        <v>6.8779317985919333</v>
      </c>
      <c r="E19" s="111">
        <f t="shared" si="4"/>
        <v>37.135167473474425</v>
      </c>
      <c r="F19" s="61">
        <f xml:space="preserve"> 48.145 * C19 - 2.0034 * C19^2 - 191.24</f>
        <v>61.572262609653706</v>
      </c>
      <c r="G19" s="111">
        <f t="shared" ref="G19:G33" si="9">F19+G18</f>
        <v>150.15771396720959</v>
      </c>
      <c r="H19" s="62">
        <f t="shared" si="6"/>
        <v>61.572262609653706</v>
      </c>
      <c r="I19" s="62">
        <f t="shared" si="7"/>
        <v>150.15771396720959</v>
      </c>
      <c r="J19" s="61">
        <f t="shared" si="5"/>
        <v>1.1027849501013016</v>
      </c>
      <c r="K19" s="64">
        <f>I19*(1+KeyParameters!$B$37)*(1+KeyParameters!$B$34)</f>
        <v>225.23657095081438</v>
      </c>
    </row>
    <row r="20" spans="1:11" x14ac:dyDescent="0.25">
      <c r="A20" s="111">
        <v>11</v>
      </c>
      <c r="B20" s="123">
        <f t="shared" si="3"/>
        <v>25.586690000000004</v>
      </c>
      <c r="C20" s="61">
        <f t="shared" si="0"/>
        <v>8.4896597201910193</v>
      </c>
      <c r="D20" s="61">
        <f t="shared" si="1"/>
        <v>7.5186841153956525</v>
      </c>
      <c r="E20" s="111">
        <f t="shared" si="4"/>
        <v>44.376529499275783</v>
      </c>
      <c r="F20" s="61">
        <f xml:space="preserve"> 48.145 * C20 - 2.0034 * C20^2 - 191.24</f>
        <v>73.100970203969155</v>
      </c>
      <c r="G20" s="111">
        <f>F20+G19</f>
        <v>223.25868417117874</v>
      </c>
      <c r="H20" s="62">
        <f t="shared" si="6"/>
        <v>73.100970203969155</v>
      </c>
      <c r="I20" s="62">
        <f t="shared" si="7"/>
        <v>223.25868417117874</v>
      </c>
      <c r="J20" s="61">
        <f t="shared" si="5"/>
        <v>1.3720931477455625</v>
      </c>
      <c r="K20" s="64">
        <f>I20*(1+KeyParameters!$B$37)*(1+KeyParameters!$B$34)</f>
        <v>334.88802625676806</v>
      </c>
    </row>
    <row r="21" spans="1:11" x14ac:dyDescent="0.25">
      <c r="A21" s="111">
        <v>12</v>
      </c>
      <c r="B21" s="123">
        <f t="shared" si="3"/>
        <v>29.292370000000009</v>
      </c>
      <c r="C21" s="61">
        <f t="shared" si="0"/>
        <v>9.1735313387317241</v>
      </c>
      <c r="D21" s="61">
        <f t="shared" si="1"/>
        <v>8.1120173410076379</v>
      </c>
      <c r="E21" s="111">
        <f t="shared" si="4"/>
        <v>51.65678789253478</v>
      </c>
      <c r="F21" s="61">
        <f t="shared" si="8"/>
        <v>81.826189355295583</v>
      </c>
      <c r="G21" s="111">
        <f t="shared" si="9"/>
        <v>305.08487352647433</v>
      </c>
      <c r="H21" s="62">
        <f t="shared" si="6"/>
        <v>81.826189355295583</v>
      </c>
      <c r="I21" s="62">
        <f t="shared" si="7"/>
        <v>305.08487352647433</v>
      </c>
      <c r="J21" s="61">
        <f t="shared" si="5"/>
        <v>1.6107266615244713</v>
      </c>
      <c r="K21" s="64">
        <f>I21*(1+KeyParameters!$B$37)*(1+KeyParameters!$B$34)</f>
        <v>457.62731028971149</v>
      </c>
    </row>
    <row r="22" spans="1:11" x14ac:dyDescent="0.25">
      <c r="A22" s="111">
        <v>13</v>
      </c>
      <c r="B22" s="123">
        <f t="shared" si="3"/>
        <v>33.009830000000008</v>
      </c>
      <c r="C22" s="61">
        <f t="shared" si="0"/>
        <v>9.7872774271322847</v>
      </c>
      <c r="D22" s="61">
        <f t="shared" si="1"/>
        <v>8.6445955527523992</v>
      </c>
      <c r="E22" s="111">
        <f t="shared" si="4"/>
        <v>58.662290332473255</v>
      </c>
      <c r="F22" s="61">
        <f t="shared" si="8"/>
        <v>88.061184139896341</v>
      </c>
      <c r="G22" s="111">
        <f t="shared" si="9"/>
        <v>393.14605766637067</v>
      </c>
      <c r="H22" s="62">
        <f t="shared" si="6"/>
        <v>88.061184139896341</v>
      </c>
      <c r="I22" s="62">
        <f t="shared" si="7"/>
        <v>393.14605766637067</v>
      </c>
      <c r="J22" s="61">
        <f t="shared" si="5"/>
        <v>1.8277781430479616</v>
      </c>
      <c r="K22" s="64">
        <f>I22*(1+KeyParameters!$B$37)*(1+KeyParameters!$B$34)</f>
        <v>589.71908649955606</v>
      </c>
    </row>
    <row r="23" spans="1:11" x14ac:dyDescent="0.25">
      <c r="A23" s="111">
        <v>14</v>
      </c>
      <c r="B23" s="123">
        <f t="shared" si="3"/>
        <v>36.670249999999996</v>
      </c>
      <c r="C23" s="61">
        <f t="shared" si="0"/>
        <v>10.320850226636249</v>
      </c>
      <c r="D23" s="61">
        <f t="shared" si="1"/>
        <v>9.1076980489081247</v>
      </c>
      <c r="E23" s="111">
        <f t="shared" si="4"/>
        <v>65.115878543816621</v>
      </c>
      <c r="F23" s="61">
        <f t="shared" si="8"/>
        <v>92.255267532125004</v>
      </c>
      <c r="G23" s="111">
        <f t="shared" si="9"/>
        <v>485.40132519849567</v>
      </c>
      <c r="H23" s="62">
        <f t="shared" si="6"/>
        <v>92.255267532125004</v>
      </c>
      <c r="I23" s="62">
        <f t="shared" si="7"/>
        <v>485.40132519849567</v>
      </c>
      <c r="J23" s="61">
        <f t="shared" si="5"/>
        <v>2.0330245488511598</v>
      </c>
      <c r="K23" s="64">
        <f>I23*(1+KeyParameters!$B$37)*(1+KeyParameters!$B$34)</f>
        <v>728.1019877977435</v>
      </c>
    </row>
    <row r="24" spans="1:11" ht="14.25" customHeight="1" x14ac:dyDescent="0.25">
      <c r="A24" s="111">
        <v>15</v>
      </c>
      <c r="B24" s="123">
        <f t="shared" si="3"/>
        <v>40.204810000000002</v>
      </c>
      <c r="C24" s="61">
        <f t="shared" si="0"/>
        <v>10.769447189803419</v>
      </c>
      <c r="D24" s="61">
        <f t="shared" si="1"/>
        <v>9.4971486429010543</v>
      </c>
      <c r="E24" s="111">
        <f t="shared" si="4"/>
        <v>70.803728391105508</v>
      </c>
      <c r="F24" s="61">
        <f t="shared" si="8"/>
        <v>94.898714029724658</v>
      </c>
      <c r="G24" s="111">
        <f t="shared" si="9"/>
        <v>580.30003922822038</v>
      </c>
      <c r="H24" s="62">
        <f t="shared" si="6"/>
        <v>94.898714029724715</v>
      </c>
      <c r="I24" s="62">
        <f t="shared" si="7"/>
        <v>580.30003922822038</v>
      </c>
      <c r="J24" s="61">
        <f t="shared" si="5"/>
        <v>2.235244536672214</v>
      </c>
      <c r="K24" s="64">
        <f>I24*(1+KeyParameters!$B$37)*(1+KeyParameters!$B$34)</f>
        <v>870.45005884233046</v>
      </c>
    </row>
    <row r="25" spans="1:11" x14ac:dyDescent="0.25">
      <c r="A25" s="111">
        <v>16</v>
      </c>
      <c r="B25" s="123">
        <f t="shared" si="3"/>
        <v>43.54469000000001</v>
      </c>
      <c r="C25" s="61">
        <f t="shared" si="0"/>
        <v>11.133181196446218</v>
      </c>
      <c r="D25" s="61">
        <f t="shared" si="1"/>
        <v>9.8130299343648559</v>
      </c>
      <c r="E25" s="111">
        <f t="shared" si="4"/>
        <v>75.592011846801469</v>
      </c>
      <c r="F25" s="61">
        <f t="shared" si="8"/>
        <v>96.450139337016083</v>
      </c>
      <c r="G25" s="111">
        <f t="shared" si="9"/>
        <v>676.75017856523641</v>
      </c>
      <c r="H25" s="62">
        <f t="shared" si="6"/>
        <v>96.450139337016026</v>
      </c>
      <c r="I25" s="62">
        <f t="shared" si="7"/>
        <v>676.75017856523641</v>
      </c>
      <c r="J25" s="61">
        <f t="shared" si="5"/>
        <v>2.4416367021934393</v>
      </c>
      <c r="K25" s="64">
        <f>I25*(1+KeyParameters!$B$37)*(1+KeyParameters!$B$34)</f>
        <v>1015.1252678478546</v>
      </c>
    </row>
    <row r="26" spans="1:11" x14ac:dyDescent="0.25">
      <c r="A26" s="111">
        <v>17</v>
      </c>
      <c r="B26" s="123">
        <f t="shared" si="3"/>
        <v>46.621070000000017</v>
      </c>
      <c r="C26" s="61">
        <f t="shared" si="0"/>
        <v>11.416502593084363</v>
      </c>
      <c r="D26" s="61">
        <f t="shared" si="1"/>
        <v>10.059182557065078</v>
      </c>
      <c r="E26" s="111">
        <f t="shared" si="4"/>
        <v>79.431915667344427</v>
      </c>
      <c r="F26" s="61">
        <f t="shared" si="8"/>
        <v>97.291310221285812</v>
      </c>
      <c r="G26" s="111">
        <f t="shared" si="9"/>
        <v>774.04148878652222</v>
      </c>
      <c r="H26" s="62">
        <f t="shared" si="6"/>
        <v>97.291310221285812</v>
      </c>
      <c r="I26" s="62">
        <f t="shared" si="7"/>
        <v>774.04148878652222</v>
      </c>
      <c r="J26" s="61">
        <f t="shared" si="5"/>
        <v>2.6576499186874467</v>
      </c>
      <c r="K26" s="64">
        <f>I26*(1+KeyParameters!$B$37)*(1+KeyParameters!$B$34)</f>
        <v>1161.0622331797833</v>
      </c>
    </row>
    <row r="27" spans="1:11" x14ac:dyDescent="0.25">
      <c r="A27" s="111">
        <v>18</v>
      </c>
      <c r="B27" s="123">
        <f t="shared" si="3"/>
        <v>49.365130000000008</v>
      </c>
      <c r="C27" s="61">
        <f t="shared" si="0"/>
        <v>11.627373055917722</v>
      </c>
      <c r="D27" s="61">
        <f t="shared" si="1"/>
        <v>10.242489403688637</v>
      </c>
      <c r="E27" s="111">
        <f t="shared" si="4"/>
        <v>82.353242509969107</v>
      </c>
      <c r="F27" s="61">
        <f t="shared" si="8"/>
        <v>97.708601679978926</v>
      </c>
      <c r="G27" s="111">
        <f t="shared" si="9"/>
        <v>871.75009046650121</v>
      </c>
      <c r="H27" s="62">
        <f t="shared" si="6"/>
        <v>97.708601679978983</v>
      </c>
      <c r="I27" s="62">
        <f t="shared" si="7"/>
        <v>871.75009046650121</v>
      </c>
      <c r="J27" s="61">
        <f t="shared" si="5"/>
        <v>2.8869540218031102</v>
      </c>
      <c r="K27" s="64">
        <f>I27*(1+KeyParameters!$B$37)*(1+KeyParameters!$B$34)</f>
        <v>1307.6251356997518</v>
      </c>
    </row>
    <row r="28" spans="1:11" x14ac:dyDescent="0.25">
      <c r="A28" s="111">
        <v>19</v>
      </c>
      <c r="B28" s="123">
        <f t="shared" si="3"/>
        <v>51.708050000000014</v>
      </c>
      <c r="C28" s="61">
        <f t="shared" si="0"/>
        <v>11.776191277317453</v>
      </c>
      <c r="D28" s="61">
        <f t="shared" si="1"/>
        <v>10.371944827498325</v>
      </c>
      <c r="E28" s="111">
        <f t="shared" si="4"/>
        <v>84.448133011165382</v>
      </c>
      <c r="F28" s="61">
        <f t="shared" si="8"/>
        <v>97.895859531113615</v>
      </c>
      <c r="G28" s="111">
        <f>F28+G27</f>
        <v>969.64594999761482</v>
      </c>
      <c r="H28" s="62">
        <f t="shared" si="6"/>
        <v>97.895859531113615</v>
      </c>
      <c r="I28" s="62">
        <f t="shared" si="7"/>
        <v>969.64594999761482</v>
      </c>
      <c r="J28" s="61">
        <f t="shared" si="5"/>
        <v>3.1314948717567344</v>
      </c>
      <c r="K28" s="64">
        <f>I28*(1+KeyParameters!$B$37)*(1+KeyParameters!$B$34)</f>
        <v>1454.4689249964222</v>
      </c>
    </row>
    <row r="29" spans="1:11" x14ac:dyDescent="0.25">
      <c r="A29" s="111">
        <v>20</v>
      </c>
      <c r="B29" s="123">
        <f t="shared" si="3"/>
        <v>53.58101000000002</v>
      </c>
      <c r="C29" s="61">
        <f t="shared" si="0"/>
        <v>11.874470475835338</v>
      </c>
      <c r="D29" s="61">
        <f t="shared" si="1"/>
        <v>10.457508820852373</v>
      </c>
      <c r="E29" s="111">
        <f t="shared" si="4"/>
        <v>85.847200229491079</v>
      </c>
      <c r="F29" s="61">
        <f t="shared" si="8"/>
        <v>97.970872529245071</v>
      </c>
      <c r="G29" s="111">
        <f t="shared" si="9"/>
        <v>1067.6168225268598</v>
      </c>
      <c r="H29" s="62">
        <f t="shared" si="6"/>
        <v>97.970872529244957</v>
      </c>
      <c r="I29" s="62">
        <f t="shared" si="7"/>
        <v>1067.6168225268598</v>
      </c>
      <c r="J29" s="61">
        <f t="shared" si="5"/>
        <v>3.3917032069437512</v>
      </c>
      <c r="K29" s="64">
        <f>I29*(1+KeyParameters!$B$37)*(1+KeyParameters!$B$34)</f>
        <v>1601.4252337902894</v>
      </c>
    </row>
    <row r="30" spans="1:11" x14ac:dyDescent="0.25">
      <c r="A30" s="111">
        <v>21</v>
      </c>
      <c r="B30" s="123">
        <f t="shared" si="3"/>
        <v>54.915190000000024</v>
      </c>
      <c r="C30" s="61">
        <f t="shared" si="0"/>
        <v>11.933267729731419</v>
      </c>
      <c r="D30" s="61">
        <f t="shared" si="1"/>
        <v>10.508746170589053</v>
      </c>
      <c r="E30" s="111">
        <f t="shared" si="4"/>
        <v>86.690490671128018</v>
      </c>
      <c r="F30" s="61">
        <f t="shared" si="8"/>
        <v>97.997247641408592</v>
      </c>
      <c r="G30" s="111">
        <f t="shared" si="9"/>
        <v>1165.6140701682684</v>
      </c>
      <c r="H30" s="62">
        <f t="shared" si="6"/>
        <v>97.997247641408649</v>
      </c>
      <c r="I30" s="62">
        <f t="shared" si="7"/>
        <v>1165.6140701682684</v>
      </c>
      <c r="J30" s="61">
        <f t="shared" si="5"/>
        <v>3.6670082721702899</v>
      </c>
      <c r="K30" s="64">
        <f>I30*(1+KeyParameters!$B$37)*(1+KeyParameters!$B$34)</f>
        <v>1748.4211052524026</v>
      </c>
    </row>
    <row r="31" spans="1:11" x14ac:dyDescent="0.25">
      <c r="A31" s="111">
        <v>22</v>
      </c>
      <c r="B31" s="123">
        <f t="shared" si="3"/>
        <v>55.641770000000022</v>
      </c>
      <c r="C31" s="61">
        <f t="shared" si="0"/>
        <v>11.961365134019804</v>
      </c>
      <c r="D31" s="61">
        <f t="shared" si="1"/>
        <v>10.533250590276317</v>
      </c>
      <c r="E31" s="111">
        <f t="shared" si="4"/>
        <v>87.095253878081778</v>
      </c>
      <c r="F31" s="61">
        <f t="shared" si="8"/>
        <v>98.004960168738535</v>
      </c>
      <c r="G31" s="111">
        <f t="shared" si="9"/>
        <v>1263.619030337007</v>
      </c>
      <c r="H31" s="62">
        <f t="shared" si="6"/>
        <v>98.004960168738535</v>
      </c>
      <c r="I31" s="62">
        <f t="shared" si="7"/>
        <v>1263.619030337007</v>
      </c>
      <c r="J31" s="61">
        <f t="shared" si="5"/>
        <v>3.9568559314667784</v>
      </c>
      <c r="K31" s="64">
        <f>I31*(1+KeyParameters!$B$37)*(1+KeyParameters!$B$34)</f>
        <v>1895.4285455055103</v>
      </c>
    </row>
    <row r="32" spans="1:11" ht="12" customHeight="1" x14ac:dyDescent="0.25">
      <c r="A32" s="62">
        <v>23</v>
      </c>
      <c r="B32" s="123">
        <f t="shared" si="3"/>
        <v>55.691930000000013</v>
      </c>
      <c r="C32" s="66">
        <f t="shared" si="0"/>
        <v>11.963202781032763</v>
      </c>
      <c r="D32" s="66">
        <f t="shared" si="1"/>
        <v>10.534853829326476</v>
      </c>
      <c r="E32" s="62">
        <f xml:space="preserve">  3.14*(D32/2)^2</f>
        <v>87.121768986140651</v>
      </c>
      <c r="F32" s="66">
        <f t="shared" si="8"/>
        <v>98.005354381949985</v>
      </c>
      <c r="G32" s="111">
        <f t="shared" si="9"/>
        <v>1361.6243847189569</v>
      </c>
      <c r="H32" s="62">
        <f t="shared" si="6"/>
        <v>98.005354381949928</v>
      </c>
      <c r="I32" s="62">
        <f t="shared" si="7"/>
        <v>1361.6243847189569</v>
      </c>
      <c r="J32" s="61">
        <f t="shared" si="5"/>
        <v>4.2624490898758802</v>
      </c>
      <c r="K32" s="64">
        <f>I32*(1+KeyParameters!$B$37)*(1+KeyParameters!$B$34)</f>
        <v>2042.4365770784352</v>
      </c>
    </row>
    <row r="33" spans="1:11" x14ac:dyDescent="0.25">
      <c r="A33" s="62">
        <v>24</v>
      </c>
      <c r="B33" s="123">
        <f t="shared" si="3"/>
        <v>54.996850000000023</v>
      </c>
      <c r="C33" s="66">
        <f xml:space="preserve"> 1.80404 + 0.32833 * B33 -
0.00262 * B33^2</f>
        <v>11.936563564503052</v>
      </c>
      <c r="D33" s="66">
        <f xml:space="preserve"> 1.72053 + 0.28469 * B33 - 0.00227 * B33^2</f>
        <v>10.511619758975923</v>
      </c>
      <c r="E33" s="62">
        <f xml:space="preserve">  3.14*(D33/2)^2</f>
        <v>86.73790771647505</v>
      </c>
      <c r="F33" s="66">
        <f xml:space="preserve"> 48.145 * C33 - 2.0034 * C33^2 - 191.24</f>
        <v>97.998316085075771</v>
      </c>
      <c r="G33" s="111">
        <f t="shared" si="9"/>
        <v>1459.6227008040328</v>
      </c>
      <c r="H33" s="62">
        <f t="shared" si="6"/>
        <v>97.998316085075885</v>
      </c>
      <c r="I33" s="62">
        <f t="shared" si="7"/>
        <v>1459.6227008040328</v>
      </c>
      <c r="J33" s="61">
        <f t="shared" si="5"/>
        <v>4.5894457092776806</v>
      </c>
      <c r="K33" s="64">
        <f>I33*(1+KeyParameters!$B$37)*(1+KeyParameters!$B$34)</f>
        <v>2189.4340512060494</v>
      </c>
    </row>
    <row r="34" spans="1:11" s="12" customFormat="1" x14ac:dyDescent="0.25">
      <c r="A34" s="112">
        <v>25</v>
      </c>
      <c r="B34" s="124">
        <f t="shared" si="3"/>
        <v>53.487710000000021</v>
      </c>
      <c r="C34" s="67">
        <f t="shared" ref="C34:C48" si="10" xml:space="preserve"> 1.80404 + 0.32833 * B34 -
0.00262 * B34^2</f>
        <v>11.870009807164459</v>
      </c>
      <c r="D34" s="67">
        <f t="shared" ref="D34:D48" si="11" xml:space="preserve"> 1.72053 + 0.28469 * B34 - 0.00227 * B34^2</f>
        <v>10.453623435129895</v>
      </c>
      <c r="E34" s="112">
        <f t="shared" ref="E34:E48" si="12" xml:space="preserve">  3.14*(D34/2)^2</f>
        <v>85.783420694945107</v>
      </c>
      <c r="F34" s="67">
        <f xml:space="preserve"> 48.145 * C34 - 2.0034 * C34^2 - 191.24</f>
        <v>97.968306269976551</v>
      </c>
      <c r="G34" s="112">
        <f>F34+G33</f>
        <v>1557.5910070740092</v>
      </c>
      <c r="H34" s="112">
        <f>G34-G33</f>
        <v>97.968306269976438</v>
      </c>
      <c r="I34" s="112">
        <f t="shared" si="7"/>
        <v>1557.5910070740092</v>
      </c>
      <c r="J34" s="67">
        <f t="shared" si="5"/>
        <v>4.9519772462145761</v>
      </c>
      <c r="K34" s="64">
        <f>I34*(1+KeyParameters!$B$37)*(1+KeyParameters!$B$34)</f>
        <v>2336.3865106110138</v>
      </c>
    </row>
    <row r="35" spans="1:11" x14ac:dyDescent="0.25">
      <c r="A35" s="62">
        <v>26</v>
      </c>
      <c r="B35" s="125">
        <f t="shared" ref="B35:B48" si="13">B34</f>
        <v>53.487710000000021</v>
      </c>
      <c r="C35" s="66">
        <f t="shared" si="10"/>
        <v>11.870009807164459</v>
      </c>
      <c r="D35" s="66">
        <f t="shared" si="11"/>
        <v>10.453623435129895</v>
      </c>
      <c r="E35" s="62">
        <f t="shared" si="12"/>
        <v>85.783420694945107</v>
      </c>
      <c r="F35" s="126">
        <f>G35-G34</f>
        <v>52.450477219141931</v>
      </c>
      <c r="G35" s="117">
        <f>G34+(($B$34/100)^2*KeyParameters!$B$36*KeyParameters!$B$35*44/12)</f>
        <v>1610.0414842931511</v>
      </c>
      <c r="H35" s="117">
        <f>H34</f>
        <v>97.968306269976438</v>
      </c>
      <c r="I35" s="62">
        <f t="shared" si="7"/>
        <v>1655.5593133439857</v>
      </c>
      <c r="J35" s="61">
        <f t="shared" si="5"/>
        <v>5.2634433636329412</v>
      </c>
      <c r="K35" s="64">
        <f>I35*(1+KeyParameters!$B$37)*(1+KeyParameters!$B$34)</f>
        <v>2483.3389700159782</v>
      </c>
    </row>
    <row r="36" spans="1:11" x14ac:dyDescent="0.25">
      <c r="A36" s="62">
        <v>27</v>
      </c>
      <c r="B36" s="125">
        <f t="shared" si="13"/>
        <v>53.487710000000021</v>
      </c>
      <c r="C36" s="66">
        <f t="shared" si="10"/>
        <v>11.870009807164459</v>
      </c>
      <c r="D36" s="66">
        <f xml:space="preserve"> 1.72053 + 0.28469 * B36 - 0.00227 * B36^2</f>
        <v>10.453623435129895</v>
      </c>
      <c r="E36" s="62">
        <f t="shared" si="12"/>
        <v>85.783420694945107</v>
      </c>
      <c r="F36" s="126">
        <f t="shared" ref="F36:F89" si="14">G36-G35</f>
        <v>52.450477219141931</v>
      </c>
      <c r="G36" s="117">
        <f>G35+(($B$34/100)^2*KeyParameters!$B$36*KeyParameters!$B$35*44/12)</f>
        <v>1662.4919615122931</v>
      </c>
      <c r="H36" s="117">
        <v>95</v>
      </c>
      <c r="I36" s="62">
        <f t="shared" si="7"/>
        <v>1750.5593133439857</v>
      </c>
      <c r="J36" s="61">
        <f t="shared" si="5"/>
        <v>5.5654724818378023</v>
      </c>
      <c r="K36" s="64">
        <f>I36*(1+KeyParameters!$B$37)*(1+KeyParameters!$B$34)</f>
        <v>2625.8389700159782</v>
      </c>
    </row>
    <row r="37" spans="1:11" x14ac:dyDescent="0.25">
      <c r="A37" s="62">
        <v>28</v>
      </c>
      <c r="B37" s="125">
        <f t="shared" si="13"/>
        <v>53.487710000000021</v>
      </c>
      <c r="C37" s="66">
        <f t="shared" si="10"/>
        <v>11.870009807164459</v>
      </c>
      <c r="D37" s="66">
        <f t="shared" si="11"/>
        <v>10.453623435129895</v>
      </c>
      <c r="E37" s="62">
        <f t="shared" si="12"/>
        <v>85.783420694945107</v>
      </c>
      <c r="F37" s="126">
        <f t="shared" si="14"/>
        <v>52.450477219141931</v>
      </c>
      <c r="G37" s="117">
        <f>G36+(($B$34/100)^2*KeyParameters!$B$36*KeyParameters!$B$35*44/12)</f>
        <v>1714.942438731435</v>
      </c>
      <c r="H37" s="117">
        <f t="shared" ref="H37:H59" si="15">H36-$G$5</f>
        <v>93.177413140649833</v>
      </c>
      <c r="I37" s="62">
        <f t="shared" si="7"/>
        <v>1843.7367264846355</v>
      </c>
      <c r="J37" s="61">
        <f t="shared" si="5"/>
        <v>5.8617071337060187</v>
      </c>
      <c r="K37" s="64">
        <f>I37*(1+KeyParameters!$B$37)*(1+KeyParameters!$B$34)</f>
        <v>2765.6050897269529</v>
      </c>
    </row>
    <row r="38" spans="1:11" x14ac:dyDescent="0.25">
      <c r="A38" s="62">
        <v>29</v>
      </c>
      <c r="B38" s="125">
        <f t="shared" si="13"/>
        <v>53.487710000000021</v>
      </c>
      <c r="C38" s="66">
        <f t="shared" si="10"/>
        <v>11.870009807164459</v>
      </c>
      <c r="D38" s="66">
        <f t="shared" si="11"/>
        <v>10.453623435129895</v>
      </c>
      <c r="E38" s="62">
        <f t="shared" si="12"/>
        <v>85.783420694945107</v>
      </c>
      <c r="F38" s="126">
        <f t="shared" si="14"/>
        <v>52.450477219141931</v>
      </c>
      <c r="G38" s="117">
        <f>G37+(($B$34/100)^2*KeyParameters!$B$36*KeyParameters!$B$35*44/12)</f>
        <v>1767.3929159505769</v>
      </c>
      <c r="H38" s="117">
        <f t="shared" si="15"/>
        <v>91.354826281299665</v>
      </c>
      <c r="I38" s="62">
        <f t="shared" si="7"/>
        <v>1935.0915527659351</v>
      </c>
      <c r="J38" s="61">
        <f t="shared" si="5"/>
        <v>6.1521473192375886</v>
      </c>
      <c r="K38" s="64">
        <f>I38*(1+KeyParameters!$B$37)*(1+KeyParameters!$B$34)</f>
        <v>2902.6373291489026</v>
      </c>
    </row>
    <row r="39" spans="1:11" x14ac:dyDescent="0.25">
      <c r="A39" s="62">
        <v>30</v>
      </c>
      <c r="B39" s="125">
        <f t="shared" si="13"/>
        <v>53.487710000000021</v>
      </c>
      <c r="C39" s="66">
        <f t="shared" si="10"/>
        <v>11.870009807164459</v>
      </c>
      <c r="D39" s="66">
        <f t="shared" si="11"/>
        <v>10.453623435129895</v>
      </c>
      <c r="E39" s="62">
        <f t="shared" si="12"/>
        <v>85.783420694945107</v>
      </c>
      <c r="F39" s="126">
        <f t="shared" si="14"/>
        <v>52.450477219141931</v>
      </c>
      <c r="G39" s="117">
        <f>G38+(($B$34/100)^2*KeyParameters!$B$36*KeyParameters!$B$35*44/12)</f>
        <v>1819.8433931697189</v>
      </c>
      <c r="H39" s="117">
        <f t="shared" si="15"/>
        <v>89.532239421949498</v>
      </c>
      <c r="I39" s="62">
        <f t="shared" si="7"/>
        <v>2024.6237921878846</v>
      </c>
      <c r="J39" s="61">
        <f t="shared" si="5"/>
        <v>6.4367930384325147</v>
      </c>
      <c r="K39" s="64">
        <f>I39*(1+KeyParameters!$B$37)*(1+KeyParameters!$B$34)</f>
        <v>3036.935688281827</v>
      </c>
    </row>
    <row r="40" spans="1:11" x14ac:dyDescent="0.25">
      <c r="A40" s="62">
        <v>31</v>
      </c>
      <c r="B40" s="125">
        <f t="shared" si="13"/>
        <v>53.487710000000021</v>
      </c>
      <c r="C40" s="66">
        <f t="shared" si="10"/>
        <v>11.870009807164459</v>
      </c>
      <c r="D40" s="66">
        <f t="shared" si="11"/>
        <v>10.453623435129895</v>
      </c>
      <c r="E40" s="62">
        <f t="shared" si="12"/>
        <v>85.783420694945107</v>
      </c>
      <c r="F40" s="126">
        <f t="shared" si="14"/>
        <v>52.450477219141931</v>
      </c>
      <c r="G40" s="117">
        <f>G39+(($B$34/100)^2*KeyParameters!$B$36*KeyParameters!$B$35*44/12)</f>
        <v>1872.2938703888608</v>
      </c>
      <c r="H40" s="117">
        <f t="shared" si="15"/>
        <v>87.709652562599331</v>
      </c>
      <c r="I40" s="62">
        <f t="shared" si="7"/>
        <v>2112.333444750484</v>
      </c>
      <c r="J40" s="61">
        <f t="shared" si="5"/>
        <v>6.7156442912907943</v>
      </c>
      <c r="K40" s="64">
        <f>I40*(1+KeyParameters!$B$37)*(1+KeyParameters!$B$34)</f>
        <v>3168.500167125726</v>
      </c>
    </row>
    <row r="41" spans="1:11" x14ac:dyDescent="0.25">
      <c r="A41" s="62">
        <v>32</v>
      </c>
      <c r="B41" s="125">
        <f t="shared" si="13"/>
        <v>53.487710000000021</v>
      </c>
      <c r="C41" s="66">
        <f t="shared" si="10"/>
        <v>11.870009807164459</v>
      </c>
      <c r="D41" s="66">
        <f t="shared" si="11"/>
        <v>10.453623435129895</v>
      </c>
      <c r="E41" s="62">
        <f t="shared" si="12"/>
        <v>85.783420694945107</v>
      </c>
      <c r="F41" s="126">
        <f t="shared" si="14"/>
        <v>52.450477219141931</v>
      </c>
      <c r="G41" s="117">
        <f>G40+(($B$34/100)^2*KeyParameters!$B$36*KeyParameters!$B$35*44/12)</f>
        <v>1924.7443476080027</v>
      </c>
      <c r="H41" s="117">
        <f t="shared" si="15"/>
        <v>85.887065703249164</v>
      </c>
      <c r="I41" s="62">
        <f t="shared" si="7"/>
        <v>2198.2205104537334</v>
      </c>
      <c r="J41" s="61">
        <f t="shared" si="5"/>
        <v>6.988701077812431</v>
      </c>
      <c r="K41" s="64">
        <f>I41*(1+KeyParameters!$B$37)*(1+KeyParameters!$B$34)</f>
        <v>3297.3307656806001</v>
      </c>
    </row>
    <row r="42" spans="1:11" x14ac:dyDescent="0.25">
      <c r="A42" s="62">
        <v>33</v>
      </c>
      <c r="B42" s="125">
        <f t="shared" si="13"/>
        <v>53.487710000000021</v>
      </c>
      <c r="C42" s="66">
        <f t="shared" si="10"/>
        <v>11.870009807164459</v>
      </c>
      <c r="D42" s="66">
        <f t="shared" si="11"/>
        <v>10.453623435129895</v>
      </c>
      <c r="E42" s="62">
        <f t="shared" si="12"/>
        <v>85.783420694945107</v>
      </c>
      <c r="F42" s="126">
        <f t="shared" si="14"/>
        <v>52.450477219141931</v>
      </c>
      <c r="G42" s="117">
        <f>G41+(($B$34/100)^2*KeyParameters!$B$36*KeyParameters!$B$35*44/12)</f>
        <v>1977.1948248271447</v>
      </c>
      <c r="H42" s="117">
        <f t="shared" si="15"/>
        <v>84.064478843898996</v>
      </c>
      <c r="I42" s="62">
        <f t="shared" si="7"/>
        <v>2282.2849892976324</v>
      </c>
      <c r="J42" s="61">
        <f t="shared" si="5"/>
        <v>7.2559633979974203</v>
      </c>
      <c r="K42" s="64">
        <f>I42*(1+KeyParameters!$B$37)*(1+KeyParameters!$B$34)</f>
        <v>3423.4274839464483</v>
      </c>
    </row>
    <row r="43" spans="1:11" x14ac:dyDescent="0.25">
      <c r="A43" s="62">
        <v>34</v>
      </c>
      <c r="B43" s="125">
        <f t="shared" si="13"/>
        <v>53.487710000000021</v>
      </c>
      <c r="C43" s="66">
        <f t="shared" si="10"/>
        <v>11.870009807164459</v>
      </c>
      <c r="D43" s="66">
        <f t="shared" si="11"/>
        <v>10.453623435129895</v>
      </c>
      <c r="E43" s="62">
        <f t="shared" si="12"/>
        <v>85.783420694945107</v>
      </c>
      <c r="F43" s="126">
        <f t="shared" si="14"/>
        <v>52.450477219141931</v>
      </c>
      <c r="G43" s="117">
        <f>G42+(($B$34/100)^2*KeyParameters!$B$36*KeyParameters!$B$35*44/12)</f>
        <v>2029.6453020462866</v>
      </c>
      <c r="H43" s="117">
        <f t="shared" si="15"/>
        <v>82.241891984548829</v>
      </c>
      <c r="I43" s="62">
        <f t="shared" si="7"/>
        <v>2364.5268812821814</v>
      </c>
      <c r="J43" s="61">
        <f t="shared" si="5"/>
        <v>7.5174312518457649</v>
      </c>
      <c r="K43" s="64">
        <f>I43*(1+KeyParameters!$B$37)*(1+KeyParameters!$B$34)</f>
        <v>3546.7903219232721</v>
      </c>
    </row>
    <row r="44" spans="1:11" x14ac:dyDescent="0.25">
      <c r="A44" s="62">
        <v>35</v>
      </c>
      <c r="B44" s="125">
        <f t="shared" si="13"/>
        <v>53.487710000000021</v>
      </c>
      <c r="C44" s="66">
        <f t="shared" si="10"/>
        <v>11.870009807164459</v>
      </c>
      <c r="D44" s="66">
        <f t="shared" si="11"/>
        <v>10.453623435129895</v>
      </c>
      <c r="E44" s="62">
        <f t="shared" si="12"/>
        <v>85.783420694945107</v>
      </c>
      <c r="F44" s="126">
        <f t="shared" si="14"/>
        <v>52.450477219141931</v>
      </c>
      <c r="G44" s="117">
        <f>G43+(($B$34/100)^2*KeyParameters!$B$36*KeyParameters!$B$35*44/12)</f>
        <v>2082.0957792654285</v>
      </c>
      <c r="H44" s="117">
        <f t="shared" si="15"/>
        <v>80.419305125198662</v>
      </c>
      <c r="I44" s="62">
        <f t="shared" si="7"/>
        <v>2444.9461864073801</v>
      </c>
      <c r="J44" s="61">
        <f t="shared" si="5"/>
        <v>7.7731046393574639</v>
      </c>
      <c r="K44" s="64">
        <f>I44*(1+KeyParameters!$B$37)*(1+KeyParameters!$B$34)</f>
        <v>3667.4192796110701</v>
      </c>
    </row>
    <row r="45" spans="1:11" x14ac:dyDescent="0.25">
      <c r="A45" s="62">
        <v>36</v>
      </c>
      <c r="B45" s="125">
        <f t="shared" si="13"/>
        <v>53.487710000000021</v>
      </c>
      <c r="C45" s="66">
        <f t="shared" si="10"/>
        <v>11.870009807164459</v>
      </c>
      <c r="D45" s="66">
        <f t="shared" si="11"/>
        <v>10.453623435129895</v>
      </c>
      <c r="E45" s="62">
        <f t="shared" si="12"/>
        <v>85.783420694945107</v>
      </c>
      <c r="F45" s="126">
        <f t="shared" si="14"/>
        <v>52.450477219141703</v>
      </c>
      <c r="G45" s="117">
        <f>G44+(($B$34/100)^2*KeyParameters!$B$36*KeyParameters!$B$35*44/12)</f>
        <v>2134.5462564845702</v>
      </c>
      <c r="H45" s="117">
        <f t="shared" si="15"/>
        <v>78.596718265848494</v>
      </c>
      <c r="I45" s="62">
        <f t="shared" si="7"/>
        <v>2523.5429046732288</v>
      </c>
      <c r="J45" s="61">
        <f t="shared" si="5"/>
        <v>8.0229835605325199</v>
      </c>
      <c r="K45" s="64">
        <f>I45*(1+KeyParameters!$B$37)*(1+KeyParameters!$B$34)</f>
        <v>3785.3143570098428</v>
      </c>
    </row>
    <row r="46" spans="1:11" x14ac:dyDescent="0.25">
      <c r="A46" s="62">
        <v>37</v>
      </c>
      <c r="B46" s="125">
        <f t="shared" si="13"/>
        <v>53.487710000000021</v>
      </c>
      <c r="C46" s="66">
        <f t="shared" si="10"/>
        <v>11.870009807164459</v>
      </c>
      <c r="D46" s="66">
        <f t="shared" si="11"/>
        <v>10.453623435129895</v>
      </c>
      <c r="E46" s="62">
        <f t="shared" si="12"/>
        <v>85.783420694945107</v>
      </c>
      <c r="F46" s="126">
        <f t="shared" si="14"/>
        <v>52.450477219141703</v>
      </c>
      <c r="G46" s="117">
        <f>G45+(($B$34/100)^2*KeyParameters!$B$36*KeyParameters!$B$35*44/12)</f>
        <v>2186.9967337037119</v>
      </c>
      <c r="H46" s="117">
        <f t="shared" si="15"/>
        <v>76.774131406498327</v>
      </c>
      <c r="I46" s="62">
        <f t="shared" si="7"/>
        <v>2600.3170360797271</v>
      </c>
      <c r="J46" s="61">
        <f t="shared" si="5"/>
        <v>8.2670680153709277</v>
      </c>
      <c r="K46" s="64">
        <f>I46*(1+KeyParameters!$B$37)*(1+KeyParameters!$B$34)</f>
        <v>3900.4755541195905</v>
      </c>
    </row>
    <row r="47" spans="1:11" x14ac:dyDescent="0.25">
      <c r="A47" s="62">
        <v>38</v>
      </c>
      <c r="B47" s="125">
        <f t="shared" si="13"/>
        <v>53.487710000000021</v>
      </c>
      <c r="C47" s="66">
        <f t="shared" si="10"/>
        <v>11.870009807164459</v>
      </c>
      <c r="D47" s="66">
        <f t="shared" si="11"/>
        <v>10.453623435129895</v>
      </c>
      <c r="E47" s="62">
        <f t="shared" si="12"/>
        <v>85.783420694945107</v>
      </c>
      <c r="F47" s="126">
        <f t="shared" si="14"/>
        <v>52.450477219141703</v>
      </c>
      <c r="G47" s="117">
        <f>G46+(($B$34/100)^2*KeyParameters!$B$36*KeyParameters!$B$35*44/12)</f>
        <v>2239.4472109228536</v>
      </c>
      <c r="H47" s="117">
        <f t="shared" si="15"/>
        <v>74.95154454714816</v>
      </c>
      <c r="I47" s="62">
        <f t="shared" si="7"/>
        <v>2675.2685806268755</v>
      </c>
      <c r="J47" s="61">
        <f t="shared" si="5"/>
        <v>8.5053580038726917</v>
      </c>
      <c r="K47" s="64">
        <f>I47*(1+KeyParameters!$B$37)*(1+KeyParameters!$B$34)</f>
        <v>4012.9028709403128</v>
      </c>
    </row>
    <row r="48" spans="1:11" x14ac:dyDescent="0.25">
      <c r="A48" s="62">
        <v>39</v>
      </c>
      <c r="B48" s="125">
        <f t="shared" si="13"/>
        <v>53.487710000000021</v>
      </c>
      <c r="C48" s="66">
        <f t="shared" si="10"/>
        <v>11.870009807164459</v>
      </c>
      <c r="D48" s="66">
        <f t="shared" si="11"/>
        <v>10.453623435129895</v>
      </c>
      <c r="E48" s="62">
        <f t="shared" si="12"/>
        <v>85.783420694945107</v>
      </c>
      <c r="F48" s="126">
        <f t="shared" si="14"/>
        <v>52.450477219141703</v>
      </c>
      <c r="G48" s="117">
        <f>G47+(($B$34/100)^2*KeyParameters!$B$36*KeyParameters!$B$35*44/12)</f>
        <v>2291.8976881419953</v>
      </c>
      <c r="H48" s="117">
        <f t="shared" si="15"/>
        <v>73.128957687797993</v>
      </c>
      <c r="I48" s="62">
        <f t="shared" si="7"/>
        <v>2748.3975383146735</v>
      </c>
      <c r="J48" s="61">
        <f t="shared" si="5"/>
        <v>8.7378535260378101</v>
      </c>
      <c r="K48" s="64">
        <f>I48*(1+KeyParameters!$B$37)*(1+KeyParameters!$B$34)</f>
        <v>4122.5963074720103</v>
      </c>
    </row>
    <row r="49" spans="1:11" x14ac:dyDescent="0.25">
      <c r="A49" s="62">
        <v>40</v>
      </c>
      <c r="B49" s="125">
        <f t="shared" ref="B49:B89" si="16">B48</f>
        <v>53.487710000000021</v>
      </c>
      <c r="C49" s="66">
        <f t="shared" ref="C49:C59" si="17" xml:space="preserve"> 1.80404 + 0.32833 * B49 -
0.00262 * B49^2</f>
        <v>11.870009807164459</v>
      </c>
      <c r="D49" s="66">
        <f t="shared" ref="D49:D59" si="18" xml:space="preserve"> 1.72053 + 0.28469 * B49 - 0.00227 * B49^2</f>
        <v>10.453623435129895</v>
      </c>
      <c r="E49" s="62">
        <f t="shared" ref="E49:E59" si="19" xml:space="preserve">  3.14*(D49/2)^2</f>
        <v>85.783420694945107</v>
      </c>
      <c r="F49" s="126">
        <f t="shared" si="14"/>
        <v>52.450477219141703</v>
      </c>
      <c r="G49" s="117">
        <f>G48+(($B$34/100)^2*KeyParameters!$B$36*KeyParameters!$B$35*44/12)</f>
        <v>2344.348165361137</v>
      </c>
      <c r="H49" s="117">
        <f t="shared" si="15"/>
        <v>71.306370828447825</v>
      </c>
      <c r="I49" s="62">
        <f t="shared" si="7"/>
        <v>2819.7039091431216</v>
      </c>
      <c r="J49" s="61">
        <f t="shared" si="5"/>
        <v>8.9645545818662828</v>
      </c>
      <c r="K49" s="64">
        <f>I49*(1+KeyParameters!$B$37)*(1+KeyParameters!$B$34)</f>
        <v>4229.5558637146823</v>
      </c>
    </row>
    <row r="50" spans="1:11" x14ac:dyDescent="0.25">
      <c r="A50" s="62">
        <v>41</v>
      </c>
      <c r="B50" s="125">
        <f t="shared" si="16"/>
        <v>53.487710000000021</v>
      </c>
      <c r="C50" s="66">
        <f t="shared" si="17"/>
        <v>11.870009807164459</v>
      </c>
      <c r="D50" s="66">
        <f t="shared" si="18"/>
        <v>10.453623435129895</v>
      </c>
      <c r="E50" s="62">
        <f t="shared" si="19"/>
        <v>85.783420694945107</v>
      </c>
      <c r="F50" s="126">
        <f t="shared" si="14"/>
        <v>52.450477219141703</v>
      </c>
      <c r="G50" s="117">
        <f>G49+(($B$34/100)^2*KeyParameters!$B$36*KeyParameters!$B$35*44/12)</f>
        <v>2396.7986425802787</v>
      </c>
      <c r="H50" s="117">
        <f t="shared" si="15"/>
        <v>69.483783969097658</v>
      </c>
      <c r="I50" s="62">
        <f t="shared" si="7"/>
        <v>2889.1876931122192</v>
      </c>
      <c r="J50" s="61">
        <f t="shared" si="5"/>
        <v>9.1854611713581118</v>
      </c>
      <c r="K50" s="64">
        <f>I50*(1+KeyParameters!$B$37)*(1+KeyParameters!$B$34)</f>
        <v>4333.7815396683282</v>
      </c>
    </row>
    <row r="51" spans="1:11" x14ac:dyDescent="0.25">
      <c r="A51" s="62">
        <v>42</v>
      </c>
      <c r="B51" s="125">
        <f t="shared" si="16"/>
        <v>53.487710000000021</v>
      </c>
      <c r="C51" s="66">
        <f t="shared" si="17"/>
        <v>11.870009807164459</v>
      </c>
      <c r="D51" s="66">
        <f t="shared" si="18"/>
        <v>10.453623435129895</v>
      </c>
      <c r="E51" s="62">
        <f t="shared" si="19"/>
        <v>85.783420694945107</v>
      </c>
      <c r="F51" s="126">
        <f t="shared" si="14"/>
        <v>52.450477219141703</v>
      </c>
      <c r="G51" s="117">
        <f>G50+(($B$34/100)^2*KeyParameters!$B$36*KeyParameters!$B$35*44/12)</f>
        <v>2449.2491197994204</v>
      </c>
      <c r="H51" s="117">
        <f t="shared" si="15"/>
        <v>67.661197109747491</v>
      </c>
      <c r="I51" s="62">
        <f t="shared" si="7"/>
        <v>2956.8488902219669</v>
      </c>
      <c r="J51" s="61">
        <f t="shared" si="5"/>
        <v>9.4005732945132952</v>
      </c>
      <c r="K51" s="64">
        <f>I51*(1+KeyParameters!$B$37)*(1+KeyParameters!$B$34)</f>
        <v>4435.2733353329504</v>
      </c>
    </row>
    <row r="52" spans="1:11" x14ac:dyDescent="0.25">
      <c r="A52" s="62">
        <v>43</v>
      </c>
      <c r="B52" s="125">
        <f t="shared" si="16"/>
        <v>53.487710000000021</v>
      </c>
      <c r="C52" s="66">
        <f t="shared" si="17"/>
        <v>11.870009807164459</v>
      </c>
      <c r="D52" s="66">
        <f t="shared" si="18"/>
        <v>10.453623435129895</v>
      </c>
      <c r="E52" s="62">
        <f t="shared" si="19"/>
        <v>85.783420694945107</v>
      </c>
      <c r="F52" s="126">
        <f t="shared" si="14"/>
        <v>52.450477219141703</v>
      </c>
      <c r="G52" s="117">
        <f>G51+(($B$34/100)^2*KeyParameters!$B$36*KeyParameters!$B$35*44/12)</f>
        <v>2501.6995970185621</v>
      </c>
      <c r="H52" s="117">
        <f t="shared" si="15"/>
        <v>65.838610250397323</v>
      </c>
      <c r="I52" s="62">
        <f t="shared" si="7"/>
        <v>3022.6875004723643</v>
      </c>
      <c r="J52" s="61">
        <f t="shared" si="5"/>
        <v>9.6098909513318329</v>
      </c>
      <c r="K52" s="64">
        <f>I52*(1+KeyParameters!$B$37)*(1+KeyParameters!$B$34)</f>
        <v>4534.0312507085464</v>
      </c>
    </row>
    <row r="53" spans="1:11" x14ac:dyDescent="0.25">
      <c r="A53" s="62">
        <v>44</v>
      </c>
      <c r="B53" s="125">
        <f t="shared" si="16"/>
        <v>53.487710000000021</v>
      </c>
      <c r="C53" s="66">
        <f t="shared" si="17"/>
        <v>11.870009807164459</v>
      </c>
      <c r="D53" s="66">
        <f t="shared" si="18"/>
        <v>10.453623435129895</v>
      </c>
      <c r="E53" s="62">
        <f t="shared" si="19"/>
        <v>85.783420694945107</v>
      </c>
      <c r="F53" s="126">
        <f t="shared" si="14"/>
        <v>52.450477219141703</v>
      </c>
      <c r="G53" s="117">
        <f>G52+(($B$34/100)^2*KeyParameters!$B$36*KeyParameters!$B$35*44/12)</f>
        <v>2554.1500742377038</v>
      </c>
      <c r="H53" s="117">
        <f t="shared" si="15"/>
        <v>64.016023391047156</v>
      </c>
      <c r="I53" s="62">
        <f t="shared" si="7"/>
        <v>3086.7035238634116</v>
      </c>
      <c r="J53" s="61">
        <f t="shared" si="5"/>
        <v>9.8134141418137251</v>
      </c>
      <c r="K53" s="64">
        <f>I53*(1+KeyParameters!$B$37)*(1+KeyParameters!$B$34)</f>
        <v>4630.0552857951179</v>
      </c>
    </row>
    <row r="54" spans="1:11" x14ac:dyDescent="0.25">
      <c r="A54" s="62">
        <v>45</v>
      </c>
      <c r="B54" s="125">
        <f t="shared" si="16"/>
        <v>53.487710000000021</v>
      </c>
      <c r="C54" s="66">
        <f t="shared" si="17"/>
        <v>11.870009807164459</v>
      </c>
      <c r="D54" s="66">
        <f t="shared" si="18"/>
        <v>10.453623435129895</v>
      </c>
      <c r="E54" s="62">
        <f t="shared" si="19"/>
        <v>85.783420694945107</v>
      </c>
      <c r="F54" s="126">
        <f t="shared" si="14"/>
        <v>52.450477219141703</v>
      </c>
      <c r="G54" s="117">
        <f>G53+(($B$34/100)^2*KeyParameters!$B$36*KeyParameters!$B$35*44/12)</f>
        <v>2606.6005514568456</v>
      </c>
      <c r="H54" s="117">
        <f t="shared" si="15"/>
        <v>62.193436531696982</v>
      </c>
      <c r="I54" s="62">
        <f t="shared" si="7"/>
        <v>3148.8969603951086</v>
      </c>
      <c r="J54" s="61">
        <f t="shared" si="5"/>
        <v>10.011142865958972</v>
      </c>
      <c r="K54" s="64">
        <f>I54*(1+KeyParameters!$B$37)*(1+KeyParameters!$B$34)</f>
        <v>4723.3454405926623</v>
      </c>
    </row>
    <row r="55" spans="1:11" x14ac:dyDescent="0.25">
      <c r="A55" s="62">
        <v>46</v>
      </c>
      <c r="B55" s="125">
        <f t="shared" si="16"/>
        <v>53.487710000000021</v>
      </c>
      <c r="C55" s="66">
        <f t="shared" si="17"/>
        <v>11.870009807164459</v>
      </c>
      <c r="D55" s="66">
        <f t="shared" si="18"/>
        <v>10.453623435129895</v>
      </c>
      <c r="E55" s="62">
        <f t="shared" si="19"/>
        <v>85.783420694945107</v>
      </c>
      <c r="F55" s="126">
        <f t="shared" si="14"/>
        <v>52.450477219141703</v>
      </c>
      <c r="G55" s="117">
        <f>G54+(($B$34/100)^2*KeyParameters!$B$36*KeyParameters!$B$35*44/12)</f>
        <v>2659.0510286759873</v>
      </c>
      <c r="H55" s="117">
        <f t="shared" si="15"/>
        <v>60.370849672346807</v>
      </c>
      <c r="I55" s="62">
        <f t="shared" si="7"/>
        <v>3209.2678100674552</v>
      </c>
      <c r="J55" s="61">
        <f t="shared" si="5"/>
        <v>10.203077123767571</v>
      </c>
      <c r="K55" s="64">
        <f>I55*(1+KeyParameters!$B$37)*(1+KeyParameters!$B$34)</f>
        <v>4813.9017151011822</v>
      </c>
    </row>
    <row r="56" spans="1:11" x14ac:dyDescent="0.25">
      <c r="A56" s="62">
        <v>47</v>
      </c>
      <c r="B56" s="125">
        <f t="shared" si="16"/>
        <v>53.487710000000021</v>
      </c>
      <c r="C56" s="66">
        <f t="shared" si="17"/>
        <v>11.870009807164459</v>
      </c>
      <c r="D56" s="66">
        <f t="shared" si="18"/>
        <v>10.453623435129895</v>
      </c>
      <c r="E56" s="62">
        <f t="shared" si="19"/>
        <v>85.783420694945107</v>
      </c>
      <c r="F56" s="126">
        <f t="shared" si="14"/>
        <v>52.450477219141703</v>
      </c>
      <c r="G56" s="117">
        <f>G55+(($B$34/100)^2*KeyParameters!$B$36*KeyParameters!$B$35*44/12)</f>
        <v>2711.501505895129</v>
      </c>
      <c r="H56" s="117">
        <f t="shared" si="15"/>
        <v>58.548262812996633</v>
      </c>
      <c r="I56" s="62">
        <f t="shared" si="7"/>
        <v>3267.8160728804519</v>
      </c>
      <c r="J56" s="61">
        <f t="shared" si="5"/>
        <v>10.389216915239528</v>
      </c>
      <c r="K56" s="64">
        <f>I56*(1+KeyParameters!$B$37)*(1+KeyParameters!$B$34)</f>
        <v>4901.7241093206776</v>
      </c>
    </row>
    <row r="57" spans="1:11" x14ac:dyDescent="0.25">
      <c r="A57" s="62">
        <v>48</v>
      </c>
      <c r="B57" s="125">
        <f t="shared" si="16"/>
        <v>53.487710000000021</v>
      </c>
      <c r="C57" s="66">
        <f t="shared" si="17"/>
        <v>11.870009807164459</v>
      </c>
      <c r="D57" s="66">
        <f t="shared" si="18"/>
        <v>10.453623435129895</v>
      </c>
      <c r="E57" s="62">
        <f t="shared" si="19"/>
        <v>85.783420694945107</v>
      </c>
      <c r="F57" s="126">
        <f t="shared" si="14"/>
        <v>52.450477219141703</v>
      </c>
      <c r="G57" s="117">
        <f>G56+(($B$34/100)^2*KeyParameters!$B$36*KeyParameters!$B$35*44/12)</f>
        <v>2763.9519831142707</v>
      </c>
      <c r="H57" s="117">
        <f t="shared" si="15"/>
        <v>56.725675953646459</v>
      </c>
      <c r="I57" s="62">
        <f t="shared" si="7"/>
        <v>3324.5417488340981</v>
      </c>
      <c r="J57" s="61">
        <f t="shared" si="5"/>
        <v>10.569562240374838</v>
      </c>
      <c r="K57" s="64">
        <f>I57*(1+KeyParameters!$B$37)*(1+KeyParameters!$B$34)</f>
        <v>4986.8126232511468</v>
      </c>
    </row>
    <row r="58" spans="1:11" x14ac:dyDescent="0.25">
      <c r="A58" s="62">
        <v>49</v>
      </c>
      <c r="B58" s="125">
        <f t="shared" si="16"/>
        <v>53.487710000000021</v>
      </c>
      <c r="C58" s="66">
        <f t="shared" si="17"/>
        <v>11.870009807164459</v>
      </c>
      <c r="D58" s="66">
        <f t="shared" si="18"/>
        <v>10.453623435129895</v>
      </c>
      <c r="E58" s="62">
        <f t="shared" si="19"/>
        <v>85.783420694945107</v>
      </c>
      <c r="F58" s="126">
        <f t="shared" si="14"/>
        <v>52.450477219141703</v>
      </c>
      <c r="G58" s="117">
        <f>G57+(($B$34/100)^2*KeyParameters!$B$36*KeyParameters!$B$35*44/12)</f>
        <v>2816.4024603334124</v>
      </c>
      <c r="H58" s="117">
        <f t="shared" si="15"/>
        <v>54.903089094296284</v>
      </c>
      <c r="I58" s="62">
        <f t="shared" si="7"/>
        <v>3379.4448379283945</v>
      </c>
      <c r="J58" s="61">
        <f t="shared" si="5"/>
        <v>10.744113099173504</v>
      </c>
      <c r="K58" s="64">
        <f>I58*(1+KeyParameters!$B$37)*(1+KeyParameters!$B$34)</f>
        <v>5069.1672568925915</v>
      </c>
    </row>
    <row r="59" spans="1:11" x14ac:dyDescent="0.25">
      <c r="A59" s="62">
        <v>50</v>
      </c>
      <c r="B59" s="125">
        <f t="shared" si="16"/>
        <v>53.487710000000021</v>
      </c>
      <c r="C59" s="66">
        <f t="shared" si="17"/>
        <v>11.870009807164459</v>
      </c>
      <c r="D59" s="66">
        <f t="shared" si="18"/>
        <v>10.453623435129895</v>
      </c>
      <c r="E59" s="62">
        <f t="shared" si="19"/>
        <v>85.783420694945107</v>
      </c>
      <c r="F59" s="126">
        <f t="shared" si="14"/>
        <v>52.450477219141703</v>
      </c>
      <c r="G59" s="117">
        <f>G58+(($B$34/100)^2*KeyParameters!$B$36*KeyParameters!$B$35*44/12)</f>
        <v>2868.8529375525541</v>
      </c>
      <c r="H59" s="117">
        <f t="shared" si="15"/>
        <v>53.08050223494611</v>
      </c>
      <c r="I59" s="62">
        <f t="shared" si="7"/>
        <v>3432.5253401633404</v>
      </c>
      <c r="J59" s="61">
        <f t="shared" si="5"/>
        <v>10.912869491635524</v>
      </c>
      <c r="K59" s="64">
        <f>I59*(1+KeyParameters!$B$37)*(1+KeyParameters!$B$34)</f>
        <v>5148.7880102450099</v>
      </c>
    </row>
    <row r="60" spans="1:11" x14ac:dyDescent="0.25">
      <c r="A60" s="62">
        <v>51</v>
      </c>
      <c r="B60" s="125">
        <f t="shared" si="16"/>
        <v>53.487710000000021</v>
      </c>
      <c r="C60" s="66">
        <f t="shared" ref="C60:C89" si="20" xml:space="preserve"> 1.80404 + 0.32833 * B60 -
0.00262 * B60^2</f>
        <v>11.870009807164459</v>
      </c>
      <c r="D60" s="66">
        <f t="shared" ref="D60:D89" si="21" xml:space="preserve"> 1.72053 + 0.28469 * B60 - 0.00227 * B60^2</f>
        <v>10.453623435129895</v>
      </c>
      <c r="E60" s="62">
        <f t="shared" ref="E60:E89" si="22" xml:space="preserve">  3.14*(D60/2)^2</f>
        <v>85.783420694945107</v>
      </c>
      <c r="F60" s="126">
        <f t="shared" si="14"/>
        <v>52.450477219141703</v>
      </c>
      <c r="G60" s="117">
        <f>G59+(($B$34/100)^2*KeyParameters!$B$36*KeyParameters!$B$35*44/12)</f>
        <v>2921.3034147716958</v>
      </c>
      <c r="H60" s="117">
        <v>52.450477219141703</v>
      </c>
      <c r="I60" s="62">
        <f t="shared" si="7"/>
        <v>3484.9758173824821</v>
      </c>
      <c r="J60" s="61">
        <f t="shared" si="5"/>
        <v>11.079622874624173</v>
      </c>
      <c r="K60" s="64">
        <f>I60*(1+KeyParameters!$B$37)*(1+KeyParameters!$B$34)</f>
        <v>5227.4637260737227</v>
      </c>
    </row>
    <row r="61" spans="1:11" x14ac:dyDescent="0.25">
      <c r="A61" s="62">
        <v>52</v>
      </c>
      <c r="B61" s="125">
        <f t="shared" si="16"/>
        <v>53.487710000000021</v>
      </c>
      <c r="C61" s="66">
        <f t="shared" si="20"/>
        <v>11.870009807164459</v>
      </c>
      <c r="D61" s="66">
        <f t="shared" si="21"/>
        <v>10.453623435129895</v>
      </c>
      <c r="E61" s="62">
        <f t="shared" si="22"/>
        <v>85.783420694945107</v>
      </c>
      <c r="F61" s="126">
        <f t="shared" si="14"/>
        <v>52.450477219141703</v>
      </c>
      <c r="G61" s="117">
        <f>G60+(($B$34/100)^2*KeyParameters!$B$36*KeyParameters!$B$35*44/12)</f>
        <v>2973.7538919908375</v>
      </c>
      <c r="H61" s="120">
        <v>52.450477219141703</v>
      </c>
      <c r="I61" s="117">
        <f>I60+H61</f>
        <v>3537.4262946016238</v>
      </c>
      <c r="J61" s="61">
        <f t="shared" si="5"/>
        <v>11.24637625761282</v>
      </c>
      <c r="K61" s="64">
        <f>I61*(1+KeyParameters!$B$37)*(1+KeyParameters!$B$34)</f>
        <v>5306.1394419024355</v>
      </c>
    </row>
    <row r="62" spans="1:11" x14ac:dyDescent="0.25">
      <c r="A62" s="62">
        <v>53</v>
      </c>
      <c r="B62" s="125">
        <f t="shared" si="16"/>
        <v>53.487710000000021</v>
      </c>
      <c r="C62" s="66">
        <f t="shared" si="20"/>
        <v>11.870009807164459</v>
      </c>
      <c r="D62" s="66">
        <f t="shared" si="21"/>
        <v>10.453623435129895</v>
      </c>
      <c r="E62" s="62">
        <f t="shared" si="22"/>
        <v>85.783420694945107</v>
      </c>
      <c r="F62" s="126">
        <f t="shared" si="14"/>
        <v>52.450477219141703</v>
      </c>
      <c r="G62" s="117">
        <f>G61+(($B$34/100)^2*KeyParameters!$B$36*KeyParameters!$B$35*44/12)</f>
        <v>3026.2043692099792</v>
      </c>
      <c r="H62" s="120">
        <v>52.450477219141703</v>
      </c>
      <c r="I62" s="117">
        <f>I61+H62</f>
        <v>3589.8767718207655</v>
      </c>
      <c r="J62" s="61">
        <f t="shared" si="5"/>
        <v>11.413129640601467</v>
      </c>
      <c r="K62" s="64">
        <f>I62*(1+KeyParameters!$B$37)*(1+KeyParameters!$B$34)</f>
        <v>5384.8151577311482</v>
      </c>
    </row>
    <row r="63" spans="1:11" x14ac:dyDescent="0.25">
      <c r="A63" s="62">
        <v>54</v>
      </c>
      <c r="B63" s="125">
        <f t="shared" si="16"/>
        <v>53.487710000000021</v>
      </c>
      <c r="C63" s="66">
        <f t="shared" si="20"/>
        <v>11.870009807164459</v>
      </c>
      <c r="D63" s="66">
        <f t="shared" si="21"/>
        <v>10.453623435129895</v>
      </c>
      <c r="E63" s="62">
        <f t="shared" si="22"/>
        <v>85.783420694945107</v>
      </c>
      <c r="F63" s="126">
        <f t="shared" si="14"/>
        <v>52.450477219141703</v>
      </c>
      <c r="G63" s="117">
        <f>G62+(($B$34/100)^2*KeyParameters!$B$36*KeyParameters!$B$35*44/12)</f>
        <v>3078.6548464291209</v>
      </c>
      <c r="H63" s="120">
        <v>52.450477219141703</v>
      </c>
      <c r="I63" s="62">
        <f t="shared" si="7"/>
        <v>3642.3272490399072</v>
      </c>
      <c r="J63" s="61">
        <f t="shared" si="5"/>
        <v>11.579883023590115</v>
      </c>
      <c r="K63" s="64">
        <f>I63*(1+KeyParameters!$B$37)*(1+KeyParameters!$B$34)</f>
        <v>5463.490873559861</v>
      </c>
    </row>
    <row r="64" spans="1:11" x14ac:dyDescent="0.25">
      <c r="A64" s="62">
        <v>55</v>
      </c>
      <c r="B64" s="125">
        <f t="shared" si="16"/>
        <v>53.487710000000021</v>
      </c>
      <c r="C64" s="66">
        <f t="shared" si="20"/>
        <v>11.870009807164459</v>
      </c>
      <c r="D64" s="66">
        <f t="shared" si="21"/>
        <v>10.453623435129895</v>
      </c>
      <c r="E64" s="62">
        <f t="shared" si="22"/>
        <v>85.783420694945107</v>
      </c>
      <c r="F64" s="126">
        <f t="shared" si="14"/>
        <v>52.450477219141703</v>
      </c>
      <c r="G64" s="117">
        <f>G63+(($B$34/100)^2*KeyParameters!$B$36*KeyParameters!$B$35*44/12)</f>
        <v>3131.1053236482626</v>
      </c>
      <c r="H64" s="120">
        <v>52.450477219141703</v>
      </c>
      <c r="I64" s="62">
        <f t="shared" si="7"/>
        <v>3694.7777262590489</v>
      </c>
      <c r="J64" s="61">
        <f t="shared" si="5"/>
        <v>11.746636406578762</v>
      </c>
      <c r="K64" s="64">
        <f>I64*(1+KeyParameters!$B$37)*(1+KeyParameters!$B$34)</f>
        <v>5542.1665893885738</v>
      </c>
    </row>
    <row r="65" spans="1:11" x14ac:dyDescent="0.25">
      <c r="A65" s="62">
        <v>56</v>
      </c>
      <c r="B65" s="125">
        <f t="shared" si="16"/>
        <v>53.487710000000021</v>
      </c>
      <c r="C65" s="66">
        <f t="shared" si="20"/>
        <v>11.870009807164459</v>
      </c>
      <c r="D65" s="66">
        <f t="shared" si="21"/>
        <v>10.453623435129895</v>
      </c>
      <c r="E65" s="62">
        <f t="shared" si="22"/>
        <v>85.783420694945107</v>
      </c>
      <c r="F65" s="126">
        <f t="shared" si="14"/>
        <v>52.450477219141703</v>
      </c>
      <c r="G65" s="117">
        <f>G64+(($B$34/100)^2*KeyParameters!$B$36*KeyParameters!$B$35*44/12)</f>
        <v>3183.5558008674043</v>
      </c>
      <c r="H65" s="120">
        <v>52.450477219141703</v>
      </c>
      <c r="I65" s="62">
        <f t="shared" si="7"/>
        <v>3747.2282034781906</v>
      </c>
      <c r="J65" s="61">
        <f t="shared" si="5"/>
        <v>11.913389789567411</v>
      </c>
      <c r="K65" s="64">
        <f>I65*(1+KeyParameters!$B$37)*(1+KeyParameters!$B$34)</f>
        <v>5620.8423052172857</v>
      </c>
    </row>
    <row r="66" spans="1:11" x14ac:dyDescent="0.25">
      <c r="A66" s="62">
        <v>57</v>
      </c>
      <c r="B66" s="125">
        <f t="shared" si="16"/>
        <v>53.487710000000021</v>
      </c>
      <c r="C66" s="66">
        <f t="shared" si="20"/>
        <v>11.870009807164459</v>
      </c>
      <c r="D66" s="66">
        <f t="shared" si="21"/>
        <v>10.453623435129895</v>
      </c>
      <c r="E66" s="62">
        <f t="shared" si="22"/>
        <v>85.783420694945107</v>
      </c>
      <c r="F66" s="126">
        <f t="shared" si="14"/>
        <v>52.450477219141703</v>
      </c>
      <c r="G66" s="117">
        <f>G65+(($B$34/100)^2*KeyParameters!$B$36*KeyParameters!$B$35*44/12)</f>
        <v>3236.006278086546</v>
      </c>
      <c r="H66" s="120">
        <v>52.450477219141703</v>
      </c>
      <c r="I66" s="62">
        <f t="shared" si="7"/>
        <v>3799.6786806973323</v>
      </c>
      <c r="J66" s="61">
        <f t="shared" si="5"/>
        <v>12.080143172556058</v>
      </c>
      <c r="K66" s="64">
        <f>I66*(1+KeyParameters!$B$37)*(1+KeyParameters!$B$34)</f>
        <v>5699.5180210459985</v>
      </c>
    </row>
    <row r="67" spans="1:11" x14ac:dyDescent="0.25">
      <c r="A67" s="62">
        <v>58</v>
      </c>
      <c r="B67" s="125">
        <f t="shared" si="16"/>
        <v>53.487710000000021</v>
      </c>
      <c r="C67" s="66">
        <f t="shared" si="20"/>
        <v>11.870009807164459</v>
      </c>
      <c r="D67" s="66">
        <f t="shared" si="21"/>
        <v>10.453623435129895</v>
      </c>
      <c r="E67" s="62">
        <f t="shared" si="22"/>
        <v>85.783420694945107</v>
      </c>
      <c r="F67" s="126">
        <f t="shared" si="14"/>
        <v>52.450477219141703</v>
      </c>
      <c r="G67" s="117">
        <f>G66+(($B$34/100)^2*KeyParameters!$B$36*KeyParameters!$B$35*44/12)</f>
        <v>3288.4567553056877</v>
      </c>
      <c r="H67" s="120">
        <v>52.450477219141703</v>
      </c>
      <c r="I67" s="62">
        <f t="shared" si="7"/>
        <v>3852.129157916474</v>
      </c>
      <c r="J67" s="61">
        <f t="shared" si="5"/>
        <v>12.246896555544703</v>
      </c>
      <c r="K67" s="64">
        <f>I67*(1+KeyParameters!$B$37)*(1+KeyParameters!$B$34)</f>
        <v>5778.1937368747103</v>
      </c>
    </row>
    <row r="68" spans="1:11" x14ac:dyDescent="0.25">
      <c r="A68" s="62">
        <v>59</v>
      </c>
      <c r="B68" s="125">
        <f t="shared" si="16"/>
        <v>53.487710000000021</v>
      </c>
      <c r="C68" s="66">
        <f t="shared" si="20"/>
        <v>11.870009807164459</v>
      </c>
      <c r="D68" s="66">
        <f t="shared" si="21"/>
        <v>10.453623435129895</v>
      </c>
      <c r="E68" s="62">
        <f t="shared" si="22"/>
        <v>85.783420694945107</v>
      </c>
      <c r="F68" s="126">
        <f t="shared" si="14"/>
        <v>52.450477219141703</v>
      </c>
      <c r="G68" s="117">
        <f>G67+(($B$34/100)^2*KeyParameters!$B$36*KeyParameters!$B$35*44/12)</f>
        <v>3340.9072325248294</v>
      </c>
      <c r="H68" s="120">
        <v>52.450477219141703</v>
      </c>
      <c r="I68" s="62">
        <f t="shared" si="7"/>
        <v>3904.5796351356157</v>
      </c>
      <c r="J68" s="61">
        <f t="shared" si="5"/>
        <v>12.413649938533354</v>
      </c>
      <c r="K68" s="64">
        <f>I68*(1+KeyParameters!$B$37)*(1+KeyParameters!$B$34)</f>
        <v>5856.8694527034231</v>
      </c>
    </row>
    <row r="69" spans="1:11" x14ac:dyDescent="0.25">
      <c r="A69" s="62">
        <v>60</v>
      </c>
      <c r="B69" s="125">
        <f t="shared" si="16"/>
        <v>53.487710000000021</v>
      </c>
      <c r="C69" s="66">
        <f t="shared" si="20"/>
        <v>11.870009807164459</v>
      </c>
      <c r="D69" s="66">
        <f t="shared" si="21"/>
        <v>10.453623435129895</v>
      </c>
      <c r="E69" s="62">
        <f t="shared" si="22"/>
        <v>85.783420694945107</v>
      </c>
      <c r="F69" s="126">
        <f t="shared" si="14"/>
        <v>52.450477219141703</v>
      </c>
      <c r="G69" s="117">
        <f>G68+(($B$34/100)^2*KeyParameters!$B$36*KeyParameters!$B$35*44/12)</f>
        <v>3393.3577097439711</v>
      </c>
      <c r="H69" s="120">
        <v>52.450477219141703</v>
      </c>
      <c r="I69" s="62">
        <f t="shared" si="7"/>
        <v>3957.0301123547574</v>
      </c>
      <c r="J69" s="61">
        <f t="shared" si="5"/>
        <v>12.580403321522001</v>
      </c>
      <c r="K69" s="64">
        <f>I69*(1+KeyParameters!$B$37)*(1+KeyParameters!$B$34)</f>
        <v>5935.5451685321359</v>
      </c>
    </row>
    <row r="70" spans="1:11" x14ac:dyDescent="0.25">
      <c r="A70" s="62">
        <v>61</v>
      </c>
      <c r="B70" s="125">
        <f t="shared" si="16"/>
        <v>53.487710000000021</v>
      </c>
      <c r="C70" s="66">
        <f t="shared" si="20"/>
        <v>11.870009807164459</v>
      </c>
      <c r="D70" s="66">
        <f t="shared" si="21"/>
        <v>10.453623435129895</v>
      </c>
      <c r="E70" s="62">
        <f t="shared" si="22"/>
        <v>85.783420694945107</v>
      </c>
      <c r="F70" s="126">
        <f t="shared" si="14"/>
        <v>52.450477219141703</v>
      </c>
      <c r="G70" s="117">
        <f>G69+(($B$34/100)^2*KeyParameters!$B$36*KeyParameters!$B$35*44/12)</f>
        <v>3445.8081869631128</v>
      </c>
      <c r="H70" s="120">
        <v>52.450477219141703</v>
      </c>
      <c r="I70" s="62">
        <f t="shared" si="7"/>
        <v>4009.4805895738991</v>
      </c>
      <c r="J70" s="61">
        <f t="shared" si="5"/>
        <v>12.747156704510649</v>
      </c>
      <c r="K70" s="64">
        <f>I70*(1+KeyParameters!$B$37)*(1+KeyParameters!$B$34)</f>
        <v>6014.2208843608478</v>
      </c>
    </row>
    <row r="71" spans="1:11" x14ac:dyDescent="0.25">
      <c r="A71" s="62">
        <v>62</v>
      </c>
      <c r="B71" s="125">
        <f t="shared" si="16"/>
        <v>53.487710000000021</v>
      </c>
      <c r="C71" s="66">
        <f t="shared" si="20"/>
        <v>11.870009807164459</v>
      </c>
      <c r="D71" s="66">
        <f t="shared" si="21"/>
        <v>10.453623435129895</v>
      </c>
      <c r="E71" s="62">
        <f t="shared" si="22"/>
        <v>85.783420694945107</v>
      </c>
      <c r="F71" s="126">
        <f t="shared" si="14"/>
        <v>52.450477219141703</v>
      </c>
      <c r="G71" s="117">
        <f>G70+(($B$34/100)^2*KeyParameters!$B$36*KeyParameters!$B$35*44/12)</f>
        <v>3498.2586641822545</v>
      </c>
      <c r="H71" s="120">
        <v>52.450477219141703</v>
      </c>
      <c r="I71" s="62">
        <f t="shared" si="7"/>
        <v>4061.9310667930408</v>
      </c>
      <c r="J71" s="61">
        <f t="shared" si="5"/>
        <v>12.913910087499296</v>
      </c>
      <c r="K71" s="64">
        <f>I71*(1+KeyParameters!$B$37)*(1+KeyParameters!$B$34)</f>
        <v>6092.8966001895615</v>
      </c>
    </row>
    <row r="72" spans="1:11" x14ac:dyDescent="0.25">
      <c r="A72" s="62">
        <v>63</v>
      </c>
      <c r="B72" s="125">
        <f t="shared" si="16"/>
        <v>53.487710000000021</v>
      </c>
      <c r="C72" s="66">
        <f t="shared" si="20"/>
        <v>11.870009807164459</v>
      </c>
      <c r="D72" s="66">
        <f t="shared" si="21"/>
        <v>10.453623435129895</v>
      </c>
      <c r="E72" s="62">
        <f t="shared" si="22"/>
        <v>85.783420694945107</v>
      </c>
      <c r="F72" s="126">
        <f t="shared" si="14"/>
        <v>52.450477219141703</v>
      </c>
      <c r="G72" s="117">
        <f>G71+(($B$34/100)^2*KeyParameters!$B$36*KeyParameters!$B$35*44/12)</f>
        <v>3550.7091414013962</v>
      </c>
      <c r="H72" s="120">
        <v>52.450477219141703</v>
      </c>
      <c r="I72" s="62">
        <f t="shared" si="7"/>
        <v>4114.3815440121825</v>
      </c>
      <c r="J72" s="61">
        <f t="shared" si="5"/>
        <v>13.080663470487945</v>
      </c>
      <c r="K72" s="64">
        <f>I72*(1+KeyParameters!$B$37)*(1+KeyParameters!$B$34)</f>
        <v>6171.5723160182743</v>
      </c>
    </row>
    <row r="73" spans="1:11" x14ac:dyDescent="0.25">
      <c r="A73" s="62">
        <v>64</v>
      </c>
      <c r="B73" s="125">
        <f t="shared" si="16"/>
        <v>53.487710000000021</v>
      </c>
      <c r="C73" s="66">
        <f t="shared" si="20"/>
        <v>11.870009807164459</v>
      </c>
      <c r="D73" s="66">
        <f t="shared" si="21"/>
        <v>10.453623435129895</v>
      </c>
      <c r="E73" s="62">
        <f t="shared" si="22"/>
        <v>85.783420694945107</v>
      </c>
      <c r="F73" s="126">
        <f t="shared" si="14"/>
        <v>52.450477219141703</v>
      </c>
      <c r="G73" s="117">
        <f>G72+(($B$34/100)^2*KeyParameters!$B$36*KeyParameters!$B$35*44/12)</f>
        <v>3603.1596186205379</v>
      </c>
      <c r="H73" s="120">
        <v>52.450477219141703</v>
      </c>
      <c r="I73" s="62">
        <f t="shared" si="7"/>
        <v>4166.8320212313247</v>
      </c>
      <c r="J73" s="61">
        <f t="shared" si="5"/>
        <v>13.247416853476592</v>
      </c>
      <c r="K73" s="64">
        <f>I73*(1+KeyParameters!$B$37)*(1+KeyParameters!$B$34)</f>
        <v>6250.248031846987</v>
      </c>
    </row>
    <row r="74" spans="1:11" x14ac:dyDescent="0.25">
      <c r="A74" s="62">
        <v>65</v>
      </c>
      <c r="B74" s="125">
        <f t="shared" si="16"/>
        <v>53.487710000000021</v>
      </c>
      <c r="C74" s="66">
        <f t="shared" si="20"/>
        <v>11.870009807164459</v>
      </c>
      <c r="D74" s="66">
        <f t="shared" si="21"/>
        <v>10.453623435129895</v>
      </c>
      <c r="E74" s="62">
        <f t="shared" si="22"/>
        <v>85.783420694945107</v>
      </c>
      <c r="F74" s="126">
        <f t="shared" si="14"/>
        <v>52.450477219141703</v>
      </c>
      <c r="G74" s="117">
        <f>G73+(($B$34/100)^2*KeyParameters!$B$36*KeyParameters!$B$35*44/12)</f>
        <v>3655.6100958396796</v>
      </c>
      <c r="H74" s="120">
        <v>52.450477219141703</v>
      </c>
      <c r="I74" s="62">
        <f t="shared" si="7"/>
        <v>4219.2824984504659</v>
      </c>
      <c r="J74" s="61">
        <f t="shared" si="5"/>
        <v>13.414170236465237</v>
      </c>
      <c r="K74" s="64">
        <f>I74*(1+KeyParameters!$B$37)*(1+KeyParameters!$B$34)</f>
        <v>6328.9237476756989</v>
      </c>
    </row>
    <row r="75" spans="1:11" x14ac:dyDescent="0.25">
      <c r="A75" s="62">
        <v>66</v>
      </c>
      <c r="B75" s="125">
        <f t="shared" si="16"/>
        <v>53.487710000000021</v>
      </c>
      <c r="C75" s="66">
        <f t="shared" si="20"/>
        <v>11.870009807164459</v>
      </c>
      <c r="D75" s="66">
        <f t="shared" si="21"/>
        <v>10.453623435129895</v>
      </c>
      <c r="E75" s="62">
        <f t="shared" si="22"/>
        <v>85.783420694945107</v>
      </c>
      <c r="F75" s="126">
        <f t="shared" si="14"/>
        <v>52.450477219141703</v>
      </c>
      <c r="G75" s="117">
        <f>G74+(($B$34/100)^2*KeyParameters!$B$36*KeyParameters!$B$35*44/12)</f>
        <v>3708.0605730588213</v>
      </c>
      <c r="H75" s="120">
        <v>52.450477219141703</v>
      </c>
      <c r="I75" s="62">
        <f t="shared" si="7"/>
        <v>4271.7329756696072</v>
      </c>
      <c r="J75" s="61">
        <f t="shared" ref="J75:J89" si="23">(I75/E75)*12/44</f>
        <v>13.580923619453886</v>
      </c>
      <c r="K75" s="64">
        <f>I75*(1+KeyParameters!$B$37)*(1+KeyParameters!$B$34)</f>
        <v>6407.5994635044099</v>
      </c>
    </row>
    <row r="76" spans="1:11" x14ac:dyDescent="0.25">
      <c r="A76" s="62">
        <v>67</v>
      </c>
      <c r="B76" s="125">
        <f t="shared" si="16"/>
        <v>53.487710000000021</v>
      </c>
      <c r="C76" s="66">
        <f t="shared" si="20"/>
        <v>11.870009807164459</v>
      </c>
      <c r="D76" s="66">
        <f t="shared" si="21"/>
        <v>10.453623435129895</v>
      </c>
      <c r="E76" s="62">
        <f t="shared" si="22"/>
        <v>85.783420694945107</v>
      </c>
      <c r="F76" s="126">
        <f t="shared" si="14"/>
        <v>52.450477219141703</v>
      </c>
      <c r="G76" s="117">
        <f>G75+(($B$34/100)^2*KeyParameters!$B$36*KeyParameters!$B$35*44/12)</f>
        <v>3760.511050277963</v>
      </c>
      <c r="H76" s="120">
        <v>52.450477219141703</v>
      </c>
      <c r="I76" s="62">
        <f t="shared" ref="I76:I89" si="24">I75+H76</f>
        <v>4324.1834528887484</v>
      </c>
      <c r="J76" s="61">
        <f t="shared" si="23"/>
        <v>13.747677002442533</v>
      </c>
      <c r="K76" s="64">
        <f>I76*(1+KeyParameters!$B$37)*(1+KeyParameters!$B$34)</f>
        <v>6486.2751793331227</v>
      </c>
    </row>
    <row r="77" spans="1:11" x14ac:dyDescent="0.25">
      <c r="A77" s="62">
        <v>68</v>
      </c>
      <c r="B77" s="125">
        <f t="shared" si="16"/>
        <v>53.487710000000021</v>
      </c>
      <c r="C77" s="66">
        <f t="shared" si="20"/>
        <v>11.870009807164459</v>
      </c>
      <c r="D77" s="66">
        <f t="shared" si="21"/>
        <v>10.453623435129895</v>
      </c>
      <c r="E77" s="62">
        <f t="shared" si="22"/>
        <v>85.783420694945107</v>
      </c>
      <c r="F77" s="126">
        <f t="shared" si="14"/>
        <v>52.450477219141703</v>
      </c>
      <c r="G77" s="117">
        <f>G76+(($B$34/100)^2*KeyParameters!$B$36*KeyParameters!$B$35*44/12)</f>
        <v>3812.9615274971047</v>
      </c>
      <c r="H77" s="120">
        <v>52.450477219141703</v>
      </c>
      <c r="I77" s="62">
        <f t="shared" si="24"/>
        <v>4376.6339301078897</v>
      </c>
      <c r="J77" s="61">
        <f t="shared" si="23"/>
        <v>13.914430385431178</v>
      </c>
      <c r="K77" s="64">
        <f>I77*(1+KeyParameters!$B$37)*(1+KeyParameters!$B$34)</f>
        <v>6564.9508951618345</v>
      </c>
    </row>
    <row r="78" spans="1:11" x14ac:dyDescent="0.25">
      <c r="A78" s="62">
        <v>69</v>
      </c>
      <c r="B78" s="125">
        <f t="shared" si="16"/>
        <v>53.487710000000021</v>
      </c>
      <c r="C78" s="66">
        <f t="shared" si="20"/>
        <v>11.870009807164459</v>
      </c>
      <c r="D78" s="66">
        <f t="shared" si="21"/>
        <v>10.453623435129895</v>
      </c>
      <c r="E78" s="62">
        <f t="shared" si="22"/>
        <v>85.783420694945107</v>
      </c>
      <c r="F78" s="126">
        <f t="shared" si="14"/>
        <v>52.450477219141703</v>
      </c>
      <c r="G78" s="117">
        <f>G77+(($B$34/100)^2*KeyParameters!$B$36*KeyParameters!$B$35*44/12)</f>
        <v>3865.4120047162464</v>
      </c>
      <c r="H78" s="120">
        <v>52.450477219141703</v>
      </c>
      <c r="I78" s="62">
        <f t="shared" si="24"/>
        <v>4429.0844073270309</v>
      </c>
      <c r="J78" s="61">
        <f t="shared" si="23"/>
        <v>14.081183768419827</v>
      </c>
      <c r="K78" s="64">
        <f>I78*(1+KeyParameters!$B$37)*(1+KeyParameters!$B$34)</f>
        <v>6643.6266109905464</v>
      </c>
    </row>
    <row r="79" spans="1:11" x14ac:dyDescent="0.25">
      <c r="A79" s="62">
        <v>70</v>
      </c>
      <c r="B79" s="125">
        <f t="shared" si="16"/>
        <v>53.487710000000021</v>
      </c>
      <c r="C79" s="66">
        <f t="shared" si="20"/>
        <v>11.870009807164459</v>
      </c>
      <c r="D79" s="66">
        <f t="shared" si="21"/>
        <v>10.453623435129895</v>
      </c>
      <c r="E79" s="62">
        <f t="shared" si="22"/>
        <v>85.783420694945107</v>
      </c>
      <c r="F79" s="126">
        <f t="shared" si="14"/>
        <v>52.450477219141703</v>
      </c>
      <c r="G79" s="117">
        <f>G78+(($B$34/100)^2*KeyParameters!$B$36*KeyParameters!$B$35*44/12)</f>
        <v>3917.8624819353881</v>
      </c>
      <c r="H79" s="120">
        <v>52.450477219141703</v>
      </c>
      <c r="I79" s="62">
        <f t="shared" si="24"/>
        <v>4481.5348845461722</v>
      </c>
      <c r="J79" s="61">
        <f t="shared" si="23"/>
        <v>14.247937151408472</v>
      </c>
      <c r="K79" s="64">
        <f>I79*(1+KeyParameters!$B$37)*(1+KeyParameters!$B$34)</f>
        <v>6722.3023268192574</v>
      </c>
    </row>
    <row r="80" spans="1:11" x14ac:dyDescent="0.25">
      <c r="A80" s="62">
        <v>71</v>
      </c>
      <c r="B80" s="125">
        <f t="shared" si="16"/>
        <v>53.487710000000021</v>
      </c>
      <c r="C80" s="66">
        <f t="shared" si="20"/>
        <v>11.870009807164459</v>
      </c>
      <c r="D80" s="66">
        <f t="shared" si="21"/>
        <v>10.453623435129895</v>
      </c>
      <c r="E80" s="62">
        <f t="shared" si="22"/>
        <v>85.783420694945107</v>
      </c>
      <c r="F80" s="126">
        <f t="shared" si="14"/>
        <v>52.450477219141703</v>
      </c>
      <c r="G80" s="117">
        <f>G79+(($B$34/100)^2*KeyParameters!$B$36*KeyParameters!$B$35*44/12)</f>
        <v>3970.3129591545298</v>
      </c>
      <c r="H80" s="120">
        <v>52.450477219141703</v>
      </c>
      <c r="I80" s="62">
        <f t="shared" si="24"/>
        <v>4533.9853617653134</v>
      </c>
      <c r="J80" s="61">
        <f t="shared" si="23"/>
        <v>14.414690534397117</v>
      </c>
      <c r="K80" s="64">
        <f>I80*(1+KeyParameters!$B$37)*(1+KeyParameters!$B$34)</f>
        <v>6800.9780426479701</v>
      </c>
    </row>
    <row r="81" spans="1:11" x14ac:dyDescent="0.25">
      <c r="A81" s="62">
        <v>72</v>
      </c>
      <c r="B81" s="125">
        <f t="shared" si="16"/>
        <v>53.487710000000021</v>
      </c>
      <c r="C81" s="66">
        <f t="shared" si="20"/>
        <v>11.870009807164459</v>
      </c>
      <c r="D81" s="66">
        <f t="shared" si="21"/>
        <v>10.453623435129895</v>
      </c>
      <c r="E81" s="62">
        <f t="shared" si="22"/>
        <v>85.783420694945107</v>
      </c>
      <c r="F81" s="126">
        <f t="shared" si="14"/>
        <v>52.450477219141703</v>
      </c>
      <c r="G81" s="117">
        <f>G80+(($B$34/100)^2*KeyParameters!$B$36*KeyParameters!$B$35*44/12)</f>
        <v>4022.7634363736715</v>
      </c>
      <c r="H81" s="120">
        <v>52.450477219141703</v>
      </c>
      <c r="I81" s="62">
        <f t="shared" si="24"/>
        <v>4586.4358389844547</v>
      </c>
      <c r="J81" s="61">
        <f t="shared" si="23"/>
        <v>14.581443917385762</v>
      </c>
      <c r="K81" s="64">
        <f>I81*(1+KeyParameters!$B$37)*(1+KeyParameters!$B$34)</f>
        <v>6879.653758476682</v>
      </c>
    </row>
    <row r="82" spans="1:11" x14ac:dyDescent="0.25">
      <c r="A82" s="62">
        <v>73</v>
      </c>
      <c r="B82" s="125">
        <f t="shared" si="16"/>
        <v>53.487710000000021</v>
      </c>
      <c r="C82" s="66">
        <f t="shared" si="20"/>
        <v>11.870009807164459</v>
      </c>
      <c r="D82" s="66">
        <f t="shared" si="21"/>
        <v>10.453623435129895</v>
      </c>
      <c r="E82" s="62">
        <f t="shared" si="22"/>
        <v>85.783420694945107</v>
      </c>
      <c r="F82" s="126">
        <f t="shared" si="14"/>
        <v>52.450477219141703</v>
      </c>
      <c r="G82" s="117">
        <f>G81+(($B$34/100)^2*KeyParameters!$B$36*KeyParameters!$B$35*44/12)</f>
        <v>4075.2139135928132</v>
      </c>
      <c r="H82" s="120">
        <v>52.450477219141703</v>
      </c>
      <c r="I82" s="62">
        <f t="shared" si="24"/>
        <v>4638.8863162035959</v>
      </c>
      <c r="J82" s="61">
        <f t="shared" si="23"/>
        <v>14.748197300374409</v>
      </c>
      <c r="K82" s="64">
        <f>I82*(1+KeyParameters!$B$37)*(1+KeyParameters!$B$34)</f>
        <v>6958.3294743053939</v>
      </c>
    </row>
    <row r="83" spans="1:11" x14ac:dyDescent="0.25">
      <c r="A83" s="62">
        <v>74</v>
      </c>
      <c r="B83" s="125">
        <f t="shared" si="16"/>
        <v>53.487710000000021</v>
      </c>
      <c r="C83" s="66">
        <f t="shared" si="20"/>
        <v>11.870009807164459</v>
      </c>
      <c r="D83" s="66">
        <f t="shared" si="21"/>
        <v>10.453623435129895</v>
      </c>
      <c r="E83" s="62">
        <f t="shared" si="22"/>
        <v>85.783420694945107</v>
      </c>
      <c r="F83" s="126">
        <f t="shared" si="14"/>
        <v>52.450477219141703</v>
      </c>
      <c r="G83" s="117">
        <f>G82+(($B$34/100)^2*KeyParameters!$B$36*KeyParameters!$B$35*44/12)</f>
        <v>4127.6643908119549</v>
      </c>
      <c r="H83" s="120">
        <v>52.450477219141703</v>
      </c>
      <c r="I83" s="62">
        <f t="shared" si="24"/>
        <v>4691.3367934227372</v>
      </c>
      <c r="J83" s="61">
        <f t="shared" si="23"/>
        <v>14.914950683363054</v>
      </c>
      <c r="K83" s="64">
        <f>I83*(1+KeyParameters!$B$37)*(1+KeyParameters!$B$34)</f>
        <v>7037.0051901341049</v>
      </c>
    </row>
    <row r="84" spans="1:11" x14ac:dyDescent="0.25">
      <c r="A84" s="62">
        <v>75</v>
      </c>
      <c r="B84" s="125">
        <f t="shared" si="16"/>
        <v>53.487710000000021</v>
      </c>
      <c r="C84" s="66">
        <f t="shared" si="20"/>
        <v>11.870009807164459</v>
      </c>
      <c r="D84" s="66">
        <f t="shared" si="21"/>
        <v>10.453623435129895</v>
      </c>
      <c r="E84" s="62">
        <f t="shared" si="22"/>
        <v>85.783420694945107</v>
      </c>
      <c r="F84" s="126">
        <f t="shared" si="14"/>
        <v>52.450477219142158</v>
      </c>
      <c r="G84" s="117">
        <f>G83+(($B$34/100)^2*KeyParameters!$B$36*KeyParameters!$B$35*44/12)</f>
        <v>4180.1148680310971</v>
      </c>
      <c r="H84" s="120">
        <v>52.450477219141703</v>
      </c>
      <c r="I84" s="62">
        <f t="shared" si="24"/>
        <v>4743.7872706418784</v>
      </c>
      <c r="J84" s="61">
        <f t="shared" si="23"/>
        <v>15.081704066351703</v>
      </c>
      <c r="K84" s="64">
        <f>I84*(1+KeyParameters!$B$37)*(1+KeyParameters!$B$34)</f>
        <v>7115.6809059628176</v>
      </c>
    </row>
    <row r="85" spans="1:11" x14ac:dyDescent="0.25">
      <c r="A85" s="62">
        <v>76</v>
      </c>
      <c r="B85" s="125">
        <f t="shared" si="16"/>
        <v>53.487710000000021</v>
      </c>
      <c r="C85" s="66">
        <f t="shared" si="20"/>
        <v>11.870009807164459</v>
      </c>
      <c r="D85" s="66">
        <f t="shared" si="21"/>
        <v>10.453623435129895</v>
      </c>
      <c r="E85" s="62">
        <f t="shared" si="22"/>
        <v>85.783420694945107</v>
      </c>
      <c r="F85" s="126">
        <f t="shared" si="14"/>
        <v>52.450477219142158</v>
      </c>
      <c r="G85" s="117">
        <f>G84+(($B$34/100)^2*KeyParameters!$B$36*KeyParameters!$B$35*44/12)</f>
        <v>4232.5653452502393</v>
      </c>
      <c r="H85" s="120">
        <v>52.450477219141703</v>
      </c>
      <c r="I85" s="62">
        <f t="shared" si="24"/>
        <v>4796.2377478610197</v>
      </c>
      <c r="J85" s="61">
        <f t="shared" si="23"/>
        <v>15.248457449340348</v>
      </c>
      <c r="K85" s="64">
        <f>I85*(1+KeyParameters!$B$37)*(1+KeyParameters!$B$34)</f>
        <v>7194.3566217915295</v>
      </c>
    </row>
    <row r="86" spans="1:11" x14ac:dyDescent="0.25">
      <c r="A86" s="62">
        <v>77</v>
      </c>
      <c r="B86" s="125">
        <f t="shared" si="16"/>
        <v>53.487710000000021</v>
      </c>
      <c r="C86" s="66">
        <f t="shared" si="20"/>
        <v>11.870009807164459</v>
      </c>
      <c r="D86" s="66">
        <f t="shared" si="21"/>
        <v>10.453623435129895</v>
      </c>
      <c r="E86" s="62">
        <f t="shared" si="22"/>
        <v>85.783420694945107</v>
      </c>
      <c r="F86" s="126">
        <f t="shared" si="14"/>
        <v>52.450477219142158</v>
      </c>
      <c r="G86" s="117">
        <f>G85+(($B$34/100)^2*KeyParameters!$B$36*KeyParameters!$B$35*44/12)</f>
        <v>4285.0158224693814</v>
      </c>
      <c r="H86" s="120">
        <v>52.450477219141703</v>
      </c>
      <c r="I86" s="62">
        <f t="shared" si="24"/>
        <v>4848.6882250801609</v>
      </c>
      <c r="J86" s="61">
        <f t="shared" si="23"/>
        <v>15.415210832328993</v>
      </c>
      <c r="K86" s="64">
        <f>I86*(1+KeyParameters!$B$37)*(1+KeyParameters!$B$34)</f>
        <v>7273.0323376202414</v>
      </c>
    </row>
    <row r="87" spans="1:11" x14ac:dyDescent="0.25">
      <c r="A87" s="62">
        <v>78</v>
      </c>
      <c r="B87" s="125">
        <f t="shared" si="16"/>
        <v>53.487710000000021</v>
      </c>
      <c r="C87" s="66">
        <f t="shared" si="20"/>
        <v>11.870009807164459</v>
      </c>
      <c r="D87" s="66">
        <f t="shared" si="21"/>
        <v>10.453623435129895</v>
      </c>
      <c r="E87" s="62">
        <f t="shared" si="22"/>
        <v>85.783420694945107</v>
      </c>
      <c r="F87" s="126">
        <f t="shared" si="14"/>
        <v>52.450477219142158</v>
      </c>
      <c r="G87" s="117">
        <f>G86+(($B$34/100)^2*KeyParameters!$B$36*KeyParameters!$B$35*44/12)</f>
        <v>4337.4662996885236</v>
      </c>
      <c r="H87" s="120">
        <v>52.450477219141703</v>
      </c>
      <c r="I87" s="62">
        <f t="shared" si="24"/>
        <v>4901.1387022993022</v>
      </c>
      <c r="J87" s="61">
        <f t="shared" si="23"/>
        <v>15.581964215317639</v>
      </c>
      <c r="K87" s="64">
        <f>I87*(1+KeyParameters!$B$37)*(1+KeyParameters!$B$34)</f>
        <v>7351.7080534489523</v>
      </c>
    </row>
    <row r="88" spans="1:11" x14ac:dyDescent="0.25">
      <c r="A88" s="62">
        <v>79</v>
      </c>
      <c r="B88" s="125">
        <f t="shared" si="16"/>
        <v>53.487710000000021</v>
      </c>
      <c r="C88" s="66">
        <f t="shared" si="20"/>
        <v>11.870009807164459</v>
      </c>
      <c r="D88" s="66">
        <f t="shared" si="21"/>
        <v>10.453623435129895</v>
      </c>
      <c r="E88" s="62">
        <f t="shared" si="22"/>
        <v>85.783420694945107</v>
      </c>
      <c r="F88" s="126">
        <f t="shared" si="14"/>
        <v>52.450477219142158</v>
      </c>
      <c r="G88" s="117">
        <f>G87+(($B$34/100)^2*KeyParameters!$B$36*KeyParameters!$B$35*44/12)</f>
        <v>4389.9167769076657</v>
      </c>
      <c r="H88" s="120">
        <v>52.450477219141703</v>
      </c>
      <c r="I88" s="62">
        <f t="shared" si="24"/>
        <v>4953.5891795184434</v>
      </c>
      <c r="J88" s="61">
        <f t="shared" si="23"/>
        <v>15.748717598306285</v>
      </c>
      <c r="K88" s="64">
        <f>I88*(1+KeyParameters!$B$37)*(1+KeyParameters!$B$34)</f>
        <v>7430.3837692776651</v>
      </c>
    </row>
    <row r="89" spans="1:11" x14ac:dyDescent="0.25">
      <c r="A89" s="62">
        <v>80</v>
      </c>
      <c r="B89" s="125">
        <f t="shared" si="16"/>
        <v>53.487710000000021</v>
      </c>
      <c r="C89" s="66">
        <f t="shared" si="20"/>
        <v>11.870009807164459</v>
      </c>
      <c r="D89" s="66">
        <f t="shared" si="21"/>
        <v>10.453623435129895</v>
      </c>
      <c r="E89" s="62">
        <f t="shared" si="22"/>
        <v>85.783420694945107</v>
      </c>
      <c r="F89" s="126">
        <f t="shared" si="14"/>
        <v>52.450477219142158</v>
      </c>
      <c r="G89" s="117">
        <f>G88+(($B$34/100)^2*KeyParameters!$B$36*KeyParameters!$B$35*44/12)</f>
        <v>4442.3672541268079</v>
      </c>
      <c r="H89" s="120">
        <f>H88-$G$5</f>
        <v>50.627890359791529</v>
      </c>
      <c r="I89" s="62">
        <f t="shared" si="24"/>
        <v>5004.2170698782347</v>
      </c>
      <c r="J89" s="61">
        <f t="shared" si="23"/>
        <v>15.909676514958289</v>
      </c>
      <c r="K89" s="64">
        <f>I89*(1+KeyParameters!$B$37)*(1+KeyParameters!$B$34)</f>
        <v>7506.3256048173516</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F5467-B4EF-4B47-80C0-1438B72307DB}">
  <sheetPr codeName="Sheet12">
    <tabColor theme="9" tint="0.59999389629810485"/>
  </sheetPr>
  <dimension ref="A1:K91"/>
  <sheetViews>
    <sheetView zoomScale="80" zoomScaleNormal="80" workbookViewId="0">
      <selection activeCell="F19" sqref="F19"/>
    </sheetView>
  </sheetViews>
  <sheetFormatPr defaultRowHeight="15" x14ac:dyDescent="0.25"/>
  <cols>
    <col min="1" max="1" width="20.140625" customWidth="1"/>
    <col min="2" max="2" width="17" customWidth="1"/>
    <col min="3" max="3" width="24.85546875" customWidth="1"/>
    <col min="4" max="4" width="23.28515625" customWidth="1"/>
    <col min="5" max="5" width="24.85546875" customWidth="1"/>
    <col min="6" max="6" width="22.5703125" customWidth="1"/>
    <col min="7" max="9" width="24.140625" customWidth="1"/>
    <col min="10" max="10" width="25.7109375" customWidth="1"/>
    <col min="11" max="11" width="31" customWidth="1"/>
    <col min="13" max="13" width="9" customWidth="1"/>
  </cols>
  <sheetData>
    <row r="1" spans="1:11" x14ac:dyDescent="0.25">
      <c r="A1" s="21" t="s">
        <v>17</v>
      </c>
      <c r="B1" s="50" t="s">
        <v>23</v>
      </c>
      <c r="C1" s="50" t="s">
        <v>131</v>
      </c>
      <c r="E1" s="16"/>
    </row>
    <row r="2" spans="1:11" x14ac:dyDescent="0.25">
      <c r="A2" s="50" t="s">
        <v>130</v>
      </c>
      <c r="B2" s="9"/>
    </row>
    <row r="4" spans="1:11" x14ac:dyDescent="0.25">
      <c r="A4" s="8"/>
      <c r="D4" s="8" t="s">
        <v>97</v>
      </c>
      <c r="E4" s="59">
        <f>(F44 -F10)/(A44-A10)</f>
        <v>3.9138905640084252</v>
      </c>
    </row>
    <row r="5" spans="1:11" x14ac:dyDescent="0.25">
      <c r="D5" s="8" t="s">
        <v>98</v>
      </c>
      <c r="E5" s="36">
        <f>0.93*E4</f>
        <v>3.6399182245278356</v>
      </c>
    </row>
    <row r="6" spans="1:11" x14ac:dyDescent="0.25">
      <c r="A6" s="8"/>
    </row>
    <row r="7" spans="1:11" ht="15.75" thickBot="1" x14ac:dyDescent="0.3"/>
    <row r="8" spans="1:11" s="19" customFormat="1" ht="45" x14ac:dyDescent="0.25">
      <c r="A8" s="106" t="s">
        <v>13</v>
      </c>
      <c r="B8" s="107" t="s">
        <v>12</v>
      </c>
      <c r="C8" s="108" t="s">
        <v>11</v>
      </c>
      <c r="D8" s="108" t="s">
        <v>10</v>
      </c>
      <c r="E8" s="108" t="s">
        <v>9</v>
      </c>
      <c r="F8" s="108" t="s">
        <v>20</v>
      </c>
      <c r="G8" s="108" t="s">
        <v>19</v>
      </c>
      <c r="H8" s="108" t="s">
        <v>95</v>
      </c>
      <c r="I8" s="108" t="s">
        <v>96</v>
      </c>
      <c r="J8" s="108" t="s">
        <v>6</v>
      </c>
      <c r="K8" s="108" t="s">
        <v>230</v>
      </c>
    </row>
    <row r="9" spans="1:11" ht="17.25" x14ac:dyDescent="0.25">
      <c r="A9" s="109" t="s">
        <v>5</v>
      </c>
      <c r="B9" s="109" t="s">
        <v>4</v>
      </c>
      <c r="C9" s="110" t="s">
        <v>3</v>
      </c>
      <c r="D9" s="110" t="s">
        <v>3</v>
      </c>
      <c r="E9" s="110" t="s">
        <v>2</v>
      </c>
      <c r="F9" s="109" t="s">
        <v>1</v>
      </c>
      <c r="G9" s="109" t="s">
        <v>0</v>
      </c>
      <c r="H9" s="109" t="s">
        <v>1</v>
      </c>
      <c r="I9" s="109" t="s">
        <v>0</v>
      </c>
      <c r="J9" s="61"/>
      <c r="K9" s="109" t="s">
        <v>0</v>
      </c>
    </row>
    <row r="10" spans="1:11" x14ac:dyDescent="0.25">
      <c r="A10" s="111">
        <v>1</v>
      </c>
      <c r="B10" s="127">
        <f xml:space="preserve"> 2.52259+ 1.74138 * A10</f>
        <v>4.2639700000000005</v>
      </c>
      <c r="C10" s="127">
        <f xml:space="preserve"> EXP(-0.20326+2.03912 * LN(
(LN(B10 + 1)+(0.03286/2))))</f>
        <v>2.3428352564228163</v>
      </c>
      <c r="D10" s="63">
        <f xml:space="preserve"> 0.87202+0.22227 * B10</f>
        <v>1.8197726118999999</v>
      </c>
      <c r="E10" s="63">
        <f xml:space="preserve"> 3.14*(D10/2)^2</f>
        <v>2.5995843018317579</v>
      </c>
      <c r="F10" s="62">
        <f xml:space="preserve"> 0.3148 * C10^2 + 4.9417 * C10 - 4.0576</f>
        <v>9.2478874784592797</v>
      </c>
      <c r="G10" s="111">
        <f xml:space="preserve"> F10</f>
        <v>9.2478874784592797</v>
      </c>
      <c r="H10" s="111">
        <f>F10</f>
        <v>9.2478874784592797</v>
      </c>
      <c r="I10" s="111">
        <f>H10</f>
        <v>9.2478874784592797</v>
      </c>
      <c r="J10" s="63">
        <f>(I10/E10)*12/44</f>
        <v>0.97021324859966984</v>
      </c>
      <c r="K10" s="64">
        <f>I10*(1+KeyParameters!$B$37)*(1+KeyParameters!$B$34)</f>
        <v>13.871831217688918</v>
      </c>
    </row>
    <row r="11" spans="1:11" x14ac:dyDescent="0.25">
      <c r="A11" s="111">
        <v>2</v>
      </c>
      <c r="B11" s="127">
        <f t="shared" ref="B11:B29" si="0" xml:space="preserve"> 2.52259+ 1.74138 * A11</f>
        <v>6.00535</v>
      </c>
      <c r="C11" s="127">
        <f t="shared" ref="C11:C39" si="1" xml:space="preserve"> EXP(-0.20326+2.03912 * LN(
(LN(B11 + 1)+(0.03286/2))))</f>
        <v>3.229028856889435</v>
      </c>
      <c r="D11" s="63">
        <f t="shared" ref="D11:D28" si="2" xml:space="preserve"> 0.87202+0.22227 * B11</f>
        <v>2.2068291444999999</v>
      </c>
      <c r="E11" s="63">
        <f t="shared" ref="E11:E28" si="3" xml:space="preserve"> 3.14*(D11/2)^2</f>
        <v>3.8230244753164619</v>
      </c>
      <c r="F11" s="62">
        <f t="shared" ref="F11:F29" si="4" xml:space="preserve"> 0.3148 * C11^2 + 4.9417 * C11 - 4.0576</f>
        <v>15.181594194585571</v>
      </c>
      <c r="G11" s="111">
        <f>G10+F11</f>
        <v>24.429481673044851</v>
      </c>
      <c r="H11" s="111">
        <f>G11-G10</f>
        <v>15.181594194585571</v>
      </c>
      <c r="I11" s="111">
        <f>H11+I10</f>
        <v>24.429481673044851</v>
      </c>
      <c r="J11" s="63">
        <f t="shared" ref="J11:J74" si="5">(I11/E11)*12/44</f>
        <v>1.7427526174231198</v>
      </c>
      <c r="K11" s="64">
        <f>I11*(1+KeyParameters!$B$37)*(1+KeyParameters!$B$34)</f>
        <v>36.644222509567271</v>
      </c>
    </row>
    <row r="12" spans="1:11" x14ac:dyDescent="0.25">
      <c r="A12" s="111">
        <v>3</v>
      </c>
      <c r="B12" s="127">
        <f t="shared" si="0"/>
        <v>7.7467300000000003</v>
      </c>
      <c r="C12" s="127">
        <f t="shared" si="1"/>
        <v>4.0174647460010195</v>
      </c>
      <c r="D12" s="63">
        <f t="shared" si="2"/>
        <v>2.5938856771000003</v>
      </c>
      <c r="E12" s="63">
        <f t="shared" si="3"/>
        <v>5.2816706811036545</v>
      </c>
      <c r="F12" s="62">
        <f t="shared" si="4"/>
        <v>20.876384771104888</v>
      </c>
      <c r="G12" s="111">
        <f t="shared" ref="G12:G38" si="6">G11+F12</f>
        <v>45.305866444149743</v>
      </c>
      <c r="H12" s="111">
        <f>G12-G11</f>
        <v>20.876384771104892</v>
      </c>
      <c r="I12" s="111">
        <f t="shared" ref="I12:I75" si="7">H12+I11</f>
        <v>45.305866444149743</v>
      </c>
      <c r="J12" s="63">
        <f t="shared" si="5"/>
        <v>2.3394388139468569</v>
      </c>
      <c r="K12" s="64">
        <f>I12*(1+KeyParameters!$B$37)*(1+KeyParameters!$B$34)</f>
        <v>67.958799666224607</v>
      </c>
    </row>
    <row r="13" spans="1:11" x14ac:dyDescent="0.25">
      <c r="A13" s="111">
        <v>4</v>
      </c>
      <c r="B13" s="127">
        <f t="shared" si="0"/>
        <v>9.4881099999999989</v>
      </c>
      <c r="C13" s="127">
        <f t="shared" si="1"/>
        <v>4.7275683683629275</v>
      </c>
      <c r="D13" s="63">
        <f t="shared" si="2"/>
        <v>2.9809422096999998</v>
      </c>
      <c r="E13" s="63">
        <f t="shared" si="3"/>
        <v>6.9755229191933266</v>
      </c>
      <c r="F13" s="62">
        <f xml:space="preserve"> 0.3148 * C13^2 + 4.9417 * C13 - 4.0576</f>
        <v>26.34037396883047</v>
      </c>
      <c r="G13" s="111">
        <f t="shared" si="6"/>
        <v>71.646240412980205</v>
      </c>
      <c r="H13" s="111">
        <f t="shared" ref="H13:H43" si="8">G13-G12</f>
        <v>26.340373968830463</v>
      </c>
      <c r="I13" s="111">
        <f t="shared" si="7"/>
        <v>71.646240412980205</v>
      </c>
      <c r="J13" s="63">
        <f t="shared" si="5"/>
        <v>2.8012070170725298</v>
      </c>
      <c r="K13" s="64">
        <f>I13*(1+KeyParameters!$B$37)*(1+KeyParameters!$B$34)</f>
        <v>107.46936061947031</v>
      </c>
    </row>
    <row r="14" spans="1:11" x14ac:dyDescent="0.25">
      <c r="A14" s="111">
        <v>5</v>
      </c>
      <c r="B14" s="127">
        <f t="shared" si="0"/>
        <v>11.229489999999998</v>
      </c>
      <c r="C14" s="127">
        <f t="shared" si="1"/>
        <v>5.3743711311107738</v>
      </c>
      <c r="D14" s="63">
        <f t="shared" si="2"/>
        <v>3.3679987422999997</v>
      </c>
      <c r="E14" s="63">
        <f t="shared" si="3"/>
        <v>8.9045811895854889</v>
      </c>
      <c r="F14" s="62">
        <f t="shared" si="4"/>
        <v>31.593570537897953</v>
      </c>
      <c r="G14" s="111">
        <f t="shared" si="6"/>
        <v>103.23981095087817</v>
      </c>
      <c r="H14" s="111">
        <f t="shared" si="8"/>
        <v>31.593570537897961</v>
      </c>
      <c r="I14" s="111">
        <f t="shared" si="7"/>
        <v>103.23981095087817</v>
      </c>
      <c r="J14" s="63">
        <f t="shared" si="5"/>
        <v>3.1620029598295925</v>
      </c>
      <c r="K14" s="64">
        <f>I14*(1+KeyParameters!$B$37)*(1+KeyParameters!$B$34)</f>
        <v>154.85971642631722</v>
      </c>
    </row>
    <row r="15" spans="1:11" x14ac:dyDescent="0.25">
      <c r="A15" s="111">
        <v>6</v>
      </c>
      <c r="B15" s="127">
        <f t="shared" si="0"/>
        <v>12.970870000000001</v>
      </c>
      <c r="C15" s="127">
        <f t="shared" si="1"/>
        <v>5.9691349870844634</v>
      </c>
      <c r="D15" s="63">
        <f t="shared" si="2"/>
        <v>3.7550552749000001</v>
      </c>
      <c r="E15" s="63">
        <f t="shared" si="3"/>
        <v>11.068845492280138</v>
      </c>
      <c r="F15" s="62">
        <f t="shared" si="4"/>
        <v>36.656578586797778</v>
      </c>
      <c r="G15" s="111">
        <f t="shared" si="6"/>
        <v>139.89638953767593</v>
      </c>
      <c r="H15" s="111">
        <f t="shared" si="8"/>
        <v>36.656578586797764</v>
      </c>
      <c r="I15" s="111">
        <f t="shared" si="7"/>
        <v>139.89638953767593</v>
      </c>
      <c r="J15" s="63">
        <f t="shared" si="5"/>
        <v>3.4469322757836278</v>
      </c>
      <c r="K15" s="64">
        <f>I15*(1+KeyParameters!$B$37)*(1+KeyParameters!$B$34)</f>
        <v>209.84458430651389</v>
      </c>
    </row>
    <row r="16" spans="1:11" x14ac:dyDescent="0.25">
      <c r="A16" s="111">
        <v>7</v>
      </c>
      <c r="B16" s="127">
        <f t="shared" si="0"/>
        <v>14.712250000000001</v>
      </c>
      <c r="C16" s="127">
        <f t="shared" si="1"/>
        <v>6.5203808086797386</v>
      </c>
      <c r="D16" s="63">
        <f t="shared" si="2"/>
        <v>4.1421118075000001</v>
      </c>
      <c r="E16" s="63">
        <f t="shared" si="3"/>
        <v>13.468315827277269</v>
      </c>
      <c r="F16" s="62">
        <f t="shared" si="4"/>
        <v>41.548003024487322</v>
      </c>
      <c r="G16" s="111">
        <f t="shared" si="6"/>
        <v>181.44439256216324</v>
      </c>
      <c r="H16" s="111">
        <f t="shared" si="8"/>
        <v>41.548003024487315</v>
      </c>
      <c r="I16" s="111">
        <f t="shared" si="7"/>
        <v>181.44439256216324</v>
      </c>
      <c r="J16" s="63">
        <f t="shared" si="5"/>
        <v>3.6741664637024769</v>
      </c>
      <c r="K16" s="64">
        <f>I16*(1+KeyParameters!$B$37)*(1+KeyParameters!$B$34)</f>
        <v>272.16658884324482</v>
      </c>
    </row>
    <row r="17" spans="1:11" x14ac:dyDescent="0.25">
      <c r="A17" s="111">
        <v>8</v>
      </c>
      <c r="B17" s="127">
        <f t="shared" si="0"/>
        <v>16.45363</v>
      </c>
      <c r="C17" s="127">
        <f t="shared" si="1"/>
        <v>7.0346744827641965</v>
      </c>
      <c r="D17" s="63">
        <f t="shared" si="2"/>
        <v>4.5291683401</v>
      </c>
      <c r="E17" s="63">
        <f t="shared" si="3"/>
        <v>16.102992194576888</v>
      </c>
      <c r="F17" s="62">
        <f t="shared" si="4"/>
        <v>46.284046762173055</v>
      </c>
      <c r="G17" s="111">
        <f t="shared" si="6"/>
        <v>227.72843932433631</v>
      </c>
      <c r="H17" s="111">
        <f t="shared" si="8"/>
        <v>46.284046762173062</v>
      </c>
      <c r="I17" s="111">
        <f t="shared" si="7"/>
        <v>227.72843932433631</v>
      </c>
      <c r="J17" s="63">
        <f t="shared" si="5"/>
        <v>3.8569077988052984</v>
      </c>
      <c r="K17" s="64">
        <f>I17*(1+KeyParameters!$B$37)*(1+KeyParameters!$B$34)</f>
        <v>341.59265898650443</v>
      </c>
    </row>
    <row r="18" spans="1:11" x14ac:dyDescent="0.25">
      <c r="A18" s="111">
        <v>9</v>
      </c>
      <c r="B18" s="127">
        <f t="shared" si="0"/>
        <v>18.19501</v>
      </c>
      <c r="C18" s="127">
        <f t="shared" si="1"/>
        <v>7.5171723685952268</v>
      </c>
      <c r="D18" s="63">
        <f t="shared" si="2"/>
        <v>4.9162248727</v>
      </c>
      <c r="E18" s="63">
        <f t="shared" si="3"/>
        <v>18.972874594178993</v>
      </c>
      <c r="F18" s="62">
        <f t="shared" si="4"/>
        <v>50.878691449842243</v>
      </c>
      <c r="G18" s="111">
        <f t="shared" si="6"/>
        <v>278.60713077417853</v>
      </c>
      <c r="H18" s="111">
        <f t="shared" si="8"/>
        <v>50.878691449842222</v>
      </c>
      <c r="I18" s="111">
        <f t="shared" si="7"/>
        <v>278.60713077417853</v>
      </c>
      <c r="J18" s="63">
        <f t="shared" si="5"/>
        <v>4.0048629721995139</v>
      </c>
      <c r="K18" s="64">
        <f>I18*(1+KeyParameters!$B$37)*(1+KeyParameters!$B$34)</f>
        <v>417.91069616126782</v>
      </c>
    </row>
    <row r="19" spans="1:11" x14ac:dyDescent="0.25">
      <c r="A19" s="111">
        <v>10</v>
      </c>
      <c r="B19" s="127">
        <f t="shared" si="0"/>
        <v>19.936389999999999</v>
      </c>
      <c r="C19" s="127">
        <f t="shared" si="1"/>
        <v>7.9719958274648786</v>
      </c>
      <c r="D19" s="63">
        <f t="shared" si="2"/>
        <v>5.3032814052999999</v>
      </c>
      <c r="E19" s="63">
        <f t="shared" si="3"/>
        <v>22.077963026083584</v>
      </c>
      <c r="F19" s="62">
        <f t="shared" si="4"/>
        <v>55.344007241120558</v>
      </c>
      <c r="G19" s="111">
        <f t="shared" si="6"/>
        <v>333.95113801529908</v>
      </c>
      <c r="H19" s="111">
        <f t="shared" si="8"/>
        <v>55.344007241120551</v>
      </c>
      <c r="I19" s="111">
        <f t="shared" si="7"/>
        <v>333.95113801529908</v>
      </c>
      <c r="J19" s="63">
        <f t="shared" si="5"/>
        <v>4.1252711125333308</v>
      </c>
      <c r="K19" s="64">
        <f>I19*(1+KeyParameters!$B$37)*(1+KeyParameters!$B$34)</f>
        <v>500.92670702294856</v>
      </c>
    </row>
    <row r="20" spans="1:11" x14ac:dyDescent="0.25">
      <c r="A20" s="111">
        <v>11</v>
      </c>
      <c r="B20" s="127">
        <f t="shared" si="0"/>
        <v>21.677769999999999</v>
      </c>
      <c r="C20" s="127">
        <f t="shared" si="1"/>
        <v>8.4024914009784144</v>
      </c>
      <c r="D20" s="63">
        <f t="shared" si="2"/>
        <v>5.6903379378999999</v>
      </c>
      <c r="E20" s="63">
        <f t="shared" si="3"/>
        <v>25.41825749029066</v>
      </c>
      <c r="F20" s="62">
        <f t="shared" si="4"/>
        <v>59.690457833073928</v>
      </c>
      <c r="G20" s="111">
        <f t="shared" si="6"/>
        <v>393.64159584837302</v>
      </c>
      <c r="H20" s="111">
        <f t="shared" si="8"/>
        <v>59.690457833073935</v>
      </c>
      <c r="I20" s="111">
        <f t="shared" si="7"/>
        <v>393.64159584837302</v>
      </c>
      <c r="J20" s="63">
        <f t="shared" si="5"/>
        <v>4.2236096990026377</v>
      </c>
      <c r="K20" s="64">
        <f>I20*(1+KeyParameters!$B$37)*(1+KeyParameters!$B$34)</f>
        <v>590.46239377255949</v>
      </c>
    </row>
    <row r="21" spans="1:11" x14ac:dyDescent="0.25">
      <c r="A21" s="111">
        <v>12</v>
      </c>
      <c r="B21" s="127">
        <f t="shared" si="0"/>
        <v>23.419150000000002</v>
      </c>
      <c r="C21" s="127">
        <f t="shared" si="1"/>
        <v>8.8114148182753969</v>
      </c>
      <c r="D21" s="63">
        <f t="shared" si="2"/>
        <v>6.0773944705000007</v>
      </c>
      <c r="E21" s="63">
        <f t="shared" si="3"/>
        <v>28.99375798680023</v>
      </c>
      <c r="F21" s="62">
        <f t="shared" si="4"/>
        <v>63.927165197664415</v>
      </c>
      <c r="G21" s="111">
        <f t="shared" si="6"/>
        <v>457.56876104603742</v>
      </c>
      <c r="H21" s="111">
        <f t="shared" si="8"/>
        <v>63.927165197664408</v>
      </c>
      <c r="I21" s="111">
        <f t="shared" si="7"/>
        <v>457.56876104603742</v>
      </c>
      <c r="J21" s="63">
        <f t="shared" si="5"/>
        <v>4.3040809108669462</v>
      </c>
      <c r="K21" s="64">
        <f>I21*(1+KeyParameters!$B$37)*(1+KeyParameters!$B$34)</f>
        <v>686.35314156905611</v>
      </c>
    </row>
    <row r="22" spans="1:11" x14ac:dyDescent="0.25">
      <c r="A22" s="111">
        <v>13</v>
      </c>
      <c r="B22" s="127">
        <f t="shared" si="0"/>
        <v>25.160530000000001</v>
      </c>
      <c r="C22" s="127">
        <f t="shared" si="1"/>
        <v>9.2010636393693002</v>
      </c>
      <c r="D22" s="63">
        <f t="shared" si="2"/>
        <v>6.4644510031000006</v>
      </c>
      <c r="E22" s="63">
        <f t="shared" si="3"/>
        <v>32.804464515612274</v>
      </c>
      <c r="F22" s="62">
        <f t="shared" si="4"/>
        <v>68.06212948240514</v>
      </c>
      <c r="G22" s="111">
        <f t="shared" si="6"/>
        <v>525.63089052844259</v>
      </c>
      <c r="H22" s="111">
        <f t="shared" si="8"/>
        <v>68.062129482405169</v>
      </c>
      <c r="I22" s="111">
        <f t="shared" si="7"/>
        <v>525.63089052844259</v>
      </c>
      <c r="J22" s="63">
        <f t="shared" si="5"/>
        <v>4.3699502903577327</v>
      </c>
      <c r="K22" s="64">
        <f>I22*(1+KeyParameters!$B$37)*(1+KeyParameters!$B$34)</f>
        <v>788.44633579266394</v>
      </c>
    </row>
    <row r="23" spans="1:11" x14ac:dyDescent="0.25">
      <c r="A23" s="111">
        <v>14</v>
      </c>
      <c r="B23" s="127">
        <f t="shared" si="0"/>
        <v>26.901910000000001</v>
      </c>
      <c r="C23" s="127">
        <f t="shared" si="1"/>
        <v>9.5733746531490134</v>
      </c>
      <c r="D23" s="63">
        <f t="shared" si="2"/>
        <v>6.8515075356999997</v>
      </c>
      <c r="E23" s="63">
        <f t="shared" si="3"/>
        <v>36.850377076726794</v>
      </c>
      <c r="F23" s="62">
        <f t="shared" si="4"/>
        <v>72.102408831626704</v>
      </c>
      <c r="G23" s="111">
        <f t="shared" si="6"/>
        <v>597.73329936006928</v>
      </c>
      <c r="H23" s="111">
        <f t="shared" si="8"/>
        <v>72.10240883162669</v>
      </c>
      <c r="I23" s="111">
        <f t="shared" si="7"/>
        <v>597.73329936006928</v>
      </c>
      <c r="J23" s="63">
        <f t="shared" si="5"/>
        <v>4.4237857380217109</v>
      </c>
      <c r="K23" s="64">
        <f>I23*(1+KeyParameters!$B$37)*(1+KeyParameters!$B$34)</f>
        <v>896.59994904010398</v>
      </c>
    </row>
    <row r="24" spans="1:11" x14ac:dyDescent="0.25">
      <c r="A24" s="111">
        <v>15</v>
      </c>
      <c r="B24" s="127">
        <f t="shared" si="0"/>
        <v>28.64329</v>
      </c>
      <c r="C24" s="127">
        <f t="shared" si="1"/>
        <v>9.9299966365742005</v>
      </c>
      <c r="D24" s="63">
        <f t="shared" si="2"/>
        <v>7.2385640682999997</v>
      </c>
      <c r="E24" s="63">
        <f t="shared" si="3"/>
        <v>41.131495670143821</v>
      </c>
      <c r="F24" s="62">
        <f t="shared" si="4"/>
        <v>76.054265871066363</v>
      </c>
      <c r="G24" s="111">
        <f t="shared" si="6"/>
        <v>673.78756523113566</v>
      </c>
      <c r="H24" s="111">
        <f t="shared" si="8"/>
        <v>76.054265871066377</v>
      </c>
      <c r="I24" s="111">
        <f t="shared" si="7"/>
        <v>673.78756523113566</v>
      </c>
      <c r="J24" s="63">
        <f t="shared" si="5"/>
        <v>4.4676285670891209</v>
      </c>
      <c r="K24" s="64">
        <f>I24*(1+KeyParameters!$B$37)*(1+KeyParameters!$B$34)</f>
        <v>1010.6813478467035</v>
      </c>
    </row>
    <row r="25" spans="1:11" x14ac:dyDescent="0.25">
      <c r="A25" s="111">
        <v>16</v>
      </c>
      <c r="B25" s="127">
        <f t="shared" si="0"/>
        <v>30.38467</v>
      </c>
      <c r="C25" s="127">
        <f t="shared" si="1"/>
        <v>10.272345573857971</v>
      </c>
      <c r="D25" s="63">
        <f t="shared" si="2"/>
        <v>7.6256206008999996</v>
      </c>
      <c r="E25" s="63">
        <f t="shared" si="3"/>
        <v>45.647820295863319</v>
      </c>
      <c r="F25" s="62">
        <f t="shared" si="4"/>
        <v>79.92328723607541</v>
      </c>
      <c r="G25" s="111">
        <f t="shared" si="6"/>
        <v>753.71085246721111</v>
      </c>
      <c r="H25" s="111">
        <f t="shared" si="8"/>
        <v>79.923287236075453</v>
      </c>
      <c r="I25" s="111">
        <f t="shared" si="7"/>
        <v>753.71085246721111</v>
      </c>
      <c r="J25" s="63">
        <f t="shared" si="5"/>
        <v>4.5031176491237241</v>
      </c>
      <c r="K25" s="64">
        <f>I25*(1+KeyParameters!$B$37)*(1+KeyParameters!$B$34)</f>
        <v>1130.5662787008166</v>
      </c>
    </row>
    <row r="26" spans="1:11" x14ac:dyDescent="0.25">
      <c r="A26" s="111">
        <v>17</v>
      </c>
      <c r="B26" s="127">
        <f t="shared" si="0"/>
        <v>32.126049999999999</v>
      </c>
      <c r="C26" s="127">
        <f t="shared" si="1"/>
        <v>10.60164717312885</v>
      </c>
      <c r="D26" s="63">
        <f t="shared" si="2"/>
        <v>8.0126771334999987</v>
      </c>
      <c r="E26" s="63">
        <f t="shared" si="3"/>
        <v>50.399350953885303</v>
      </c>
      <c r="F26" s="62">
        <f t="shared" si="4"/>
        <v>83.714481527700087</v>
      </c>
      <c r="G26" s="111">
        <f t="shared" si="6"/>
        <v>837.42533399491117</v>
      </c>
      <c r="H26" s="111">
        <f t="shared" si="8"/>
        <v>83.714481527700059</v>
      </c>
      <c r="I26" s="111">
        <f t="shared" si="7"/>
        <v>837.42533399491117</v>
      </c>
      <c r="J26" s="63">
        <f t="shared" si="5"/>
        <v>4.5315807273417086</v>
      </c>
      <c r="K26" s="64">
        <f>I26*(1+KeyParameters!$B$37)*(1+KeyParameters!$B$34)</f>
        <v>1256.1380009923666</v>
      </c>
    </row>
    <row r="27" spans="1:11" x14ac:dyDescent="0.25">
      <c r="A27" s="111">
        <v>18</v>
      </c>
      <c r="B27" s="127">
        <f t="shared" si="0"/>
        <v>33.867429999999999</v>
      </c>
      <c r="C27" s="127">
        <f t="shared" si="1"/>
        <v>10.918970036077427</v>
      </c>
      <c r="D27" s="63">
        <f t="shared" si="2"/>
        <v>8.3997336660999995</v>
      </c>
      <c r="E27" s="63">
        <f t="shared" si="3"/>
        <v>55.386087644209788</v>
      </c>
      <c r="F27" s="62">
        <f t="shared" si="4"/>
        <v>87.432360040312446</v>
      </c>
      <c r="G27" s="111">
        <f t="shared" si="6"/>
        <v>924.85769403522363</v>
      </c>
      <c r="H27" s="111">
        <f t="shared" si="8"/>
        <v>87.43236004031246</v>
      </c>
      <c r="I27" s="111">
        <f t="shared" si="7"/>
        <v>924.85769403522363</v>
      </c>
      <c r="J27" s="63">
        <f t="shared" si="5"/>
        <v>4.5541024340871674</v>
      </c>
      <c r="K27" s="64">
        <f>I27*(1+KeyParameters!$B$37)*(1+KeyParameters!$B$34)</f>
        <v>1387.2865410528352</v>
      </c>
    </row>
    <row r="28" spans="1:11" x14ac:dyDescent="0.25">
      <c r="A28" s="111">
        <v>19</v>
      </c>
      <c r="B28" s="127">
        <f t="shared" si="0"/>
        <v>35.608809999999998</v>
      </c>
      <c r="C28" s="127">
        <f t="shared" si="1"/>
        <v>11.225251847773736</v>
      </c>
      <c r="D28" s="63">
        <f t="shared" si="2"/>
        <v>8.7867901987000003</v>
      </c>
      <c r="E28" s="63">
        <f t="shared" si="3"/>
        <v>60.608030366836758</v>
      </c>
      <c r="F28" s="62">
        <f t="shared" si="4"/>
        <v>91.081003699807795</v>
      </c>
      <c r="G28" s="111">
        <f t="shared" si="6"/>
        <v>1015.9386977350314</v>
      </c>
      <c r="H28" s="111">
        <f t="shared" si="8"/>
        <v>91.081003699807752</v>
      </c>
      <c r="I28" s="111">
        <f t="shared" si="7"/>
        <v>1015.9386977350314</v>
      </c>
      <c r="J28" s="63">
        <f t="shared" si="5"/>
        <v>4.5715755587889957</v>
      </c>
      <c r="K28" s="64">
        <f>I28*(1+KeyParameters!$B$37)*(1+KeyParameters!$B$34)</f>
        <v>1523.9080466025471</v>
      </c>
    </row>
    <row r="29" spans="1:11" x14ac:dyDescent="0.25">
      <c r="A29" s="111">
        <v>20</v>
      </c>
      <c r="B29" s="127">
        <f t="shared" si="0"/>
        <v>37.350189999999998</v>
      </c>
      <c r="C29" s="127">
        <f t="shared" si="1"/>
        <v>11.521320283287634</v>
      </c>
      <c r="D29" s="63">
        <f xml:space="preserve"> 0.87202+0.22227 * B29</f>
        <v>9.1738467312999994</v>
      </c>
      <c r="E29" s="63">
        <f xml:space="preserve"> 3.14*(D29/2)^2</f>
        <v>66.065179121766192</v>
      </c>
      <c r="F29" s="62">
        <f t="shared" si="4"/>
        <v>94.664118916788439</v>
      </c>
      <c r="G29" s="111">
        <f t="shared" si="6"/>
        <v>1110.6028166518199</v>
      </c>
      <c r="H29" s="111">
        <f t="shared" si="8"/>
        <v>94.664118916788539</v>
      </c>
      <c r="I29" s="111">
        <f t="shared" si="7"/>
        <v>1110.6028166518199</v>
      </c>
      <c r="J29" s="63">
        <f t="shared" si="5"/>
        <v>4.5847401202138851</v>
      </c>
      <c r="K29" s="64">
        <f>I29*(1+KeyParameters!$B$37)*(1+KeyParameters!$B$34)</f>
        <v>1665.9042249777299</v>
      </c>
    </row>
    <row r="30" spans="1:11" x14ac:dyDescent="0.25">
      <c r="A30" s="62">
        <v>21</v>
      </c>
      <c r="B30" s="128">
        <f t="shared" ref="B30:B35" si="9" xml:space="preserve"> 2.52259+ 1.74138 * A30</f>
        <v>39.091569999999997</v>
      </c>
      <c r="C30" s="127">
        <f t="shared" si="1"/>
        <v>11.807909865207552</v>
      </c>
      <c r="D30" s="64">
        <f t="shared" ref="D30:D35" si="10" xml:space="preserve"> 0.87202+0.22227 * B30</f>
        <v>9.5609032638999984</v>
      </c>
      <c r="E30" s="64">
        <f t="shared" ref="E30:E35" si="11" xml:space="preserve"> 3.14*(D30/2)^2</f>
        <v>71.757533908998113</v>
      </c>
      <c r="F30" s="62">
        <f t="shared" ref="F30:F35" si="12" xml:space="preserve"> 0.3148 * C30^2 + 4.9417 * C30 - 4.0576</f>
        <v>98.185084480051941</v>
      </c>
      <c r="G30" s="111">
        <f t="shared" si="6"/>
        <v>1208.7879011318719</v>
      </c>
      <c r="H30" s="111">
        <f t="shared" si="8"/>
        <v>98.185084480051955</v>
      </c>
      <c r="I30" s="111">
        <f t="shared" si="7"/>
        <v>1208.7879011318719</v>
      </c>
      <c r="J30" s="63">
        <f t="shared" si="5"/>
        <v>4.5942134522000382</v>
      </c>
      <c r="K30" s="64">
        <f>I30*(1+KeyParameters!$B$37)*(1+KeyParameters!$B$34)</f>
        <v>1813.1818516978078</v>
      </c>
    </row>
    <row r="31" spans="1:11" x14ac:dyDescent="0.25">
      <c r="A31" s="62">
        <v>22</v>
      </c>
      <c r="B31" s="128">
        <f xml:space="preserve"> 2.52259+ 1.74138 * A31</f>
        <v>40.832949999999997</v>
      </c>
      <c r="C31" s="127">
        <f t="shared" si="1"/>
        <v>12.085675682081613</v>
      </c>
      <c r="D31" s="64">
        <f t="shared" si="10"/>
        <v>9.9479597964999975</v>
      </c>
      <c r="E31" s="64">
        <f t="shared" si="11"/>
        <v>77.685094728532519</v>
      </c>
      <c r="F31" s="62">
        <f t="shared" si="12"/>
        <v>101.64699116492876</v>
      </c>
      <c r="G31" s="111">
        <f t="shared" si="6"/>
        <v>1310.4348922968006</v>
      </c>
      <c r="H31" s="111">
        <f t="shared" si="8"/>
        <v>101.64699116492875</v>
      </c>
      <c r="I31" s="111">
        <f t="shared" si="7"/>
        <v>1310.4348922968006</v>
      </c>
      <c r="J31" s="63">
        <f t="shared" si="5"/>
        <v>4.6005135928797367</v>
      </c>
      <c r="K31" s="64">
        <f>I31*(1+KeyParameters!$B$37)*(1+KeyParameters!$B$34)</f>
        <v>1965.6523384452007</v>
      </c>
    </row>
    <row r="32" spans="1:11" x14ac:dyDescent="0.25">
      <c r="A32" s="62">
        <v>23</v>
      </c>
      <c r="B32" s="128">
        <f t="shared" si="9"/>
        <v>42.574329999999996</v>
      </c>
      <c r="C32" s="127">
        <f t="shared" si="1"/>
        <v>12.355204647399129</v>
      </c>
      <c r="D32" s="64">
        <f t="shared" si="10"/>
        <v>10.3350163291</v>
      </c>
      <c r="E32" s="64">
        <f t="shared" si="11"/>
        <v>83.847861580369468</v>
      </c>
      <c r="F32" s="62">
        <f t="shared" si="12"/>
        <v>105.05267538159707</v>
      </c>
      <c r="G32" s="111">
        <f t="shared" si="6"/>
        <v>1415.4875676783977</v>
      </c>
      <c r="H32" s="111">
        <f t="shared" si="8"/>
        <v>105.05267538159706</v>
      </c>
      <c r="I32" s="111">
        <f t="shared" si="7"/>
        <v>1415.4875676783977</v>
      </c>
      <c r="J32" s="63">
        <f t="shared" si="5"/>
        <v>4.6040776310349081</v>
      </c>
      <c r="K32" s="64">
        <f>I32*(1+KeyParameters!$B$37)*(1+KeyParameters!$B$34)</f>
        <v>2123.2313515175965</v>
      </c>
    </row>
    <row r="33" spans="1:11" x14ac:dyDescent="0.25">
      <c r="A33" s="62">
        <v>24</v>
      </c>
      <c r="B33" s="128">
        <f t="shared" si="9"/>
        <v>44.315710000000003</v>
      </c>
      <c r="C33" s="127">
        <f t="shared" si="1"/>
        <v>12.617024812663587</v>
      </c>
      <c r="D33" s="64">
        <f t="shared" si="10"/>
        <v>10.722072861699999</v>
      </c>
      <c r="E33" s="64">
        <f t="shared" si="11"/>
        <v>90.245834464508832</v>
      </c>
      <c r="F33" s="62">
        <f t="shared" si="12"/>
        <v>108.4047479175761</v>
      </c>
      <c r="G33" s="111">
        <f t="shared" si="6"/>
        <v>1523.8923155959737</v>
      </c>
      <c r="H33" s="111">
        <f t="shared" si="8"/>
        <v>108.40474791757606</v>
      </c>
      <c r="I33" s="111">
        <f t="shared" si="7"/>
        <v>1523.8923155959737</v>
      </c>
      <c r="J33" s="63">
        <f t="shared" si="5"/>
        <v>4.605276217219588</v>
      </c>
      <c r="K33" s="64">
        <f>I33*(1+KeyParameters!$B$37)*(1+KeyParameters!$B$34)</f>
        <v>2285.8384733939606</v>
      </c>
    </row>
    <row r="34" spans="1:11" x14ac:dyDescent="0.25">
      <c r="A34" s="62">
        <v>25</v>
      </c>
      <c r="B34" s="128">
        <f t="shared" si="9"/>
        <v>46.057090000000002</v>
      </c>
      <c r="C34" s="127">
        <f t="shared" si="1"/>
        <v>12.871613126876866</v>
      </c>
      <c r="D34" s="64">
        <f t="shared" si="10"/>
        <v>11.109129394300002</v>
      </c>
      <c r="E34" s="64">
        <f t="shared" si="11"/>
        <v>96.879013380950752</v>
      </c>
      <c r="F34" s="62">
        <f t="shared" si="12"/>
        <v>111.70561861790631</v>
      </c>
      <c r="G34" s="111">
        <f t="shared" si="6"/>
        <v>1635.5979342138801</v>
      </c>
      <c r="H34" s="111">
        <f t="shared" si="8"/>
        <v>111.70561861790634</v>
      </c>
      <c r="I34" s="111">
        <f t="shared" si="7"/>
        <v>1635.5979342138801</v>
      </c>
      <c r="J34" s="63">
        <f t="shared" si="5"/>
        <v>4.6044251309873845</v>
      </c>
      <c r="K34" s="64">
        <f>I34*(1+KeyParameters!$B$37)*(1+KeyParameters!$B$34)</f>
        <v>2453.3969013208198</v>
      </c>
    </row>
    <row r="35" spans="1:11" x14ac:dyDescent="0.25">
      <c r="A35" s="62">
        <v>26</v>
      </c>
      <c r="B35" s="128">
        <f t="shared" si="9"/>
        <v>47.798470000000002</v>
      </c>
      <c r="C35" s="128">
        <f t="shared" si="1"/>
        <v>13.119401945196083</v>
      </c>
      <c r="D35" s="64">
        <f t="shared" si="10"/>
        <v>11.496185926900001</v>
      </c>
      <c r="E35" s="64">
        <f t="shared" si="11"/>
        <v>103.7473983296951</v>
      </c>
      <c r="F35" s="62">
        <f t="shared" si="12"/>
        <v>114.95751768197422</v>
      </c>
      <c r="G35" s="62">
        <f t="shared" si="6"/>
        <v>1750.5554518958543</v>
      </c>
      <c r="H35" s="111">
        <f t="shared" si="8"/>
        <v>114.9575176819742</v>
      </c>
      <c r="I35" s="111">
        <f t="shared" si="7"/>
        <v>1750.5554518958543</v>
      </c>
      <c r="J35" s="63">
        <f t="shared" si="5"/>
        <v>4.6017945687295763</v>
      </c>
      <c r="K35" s="64">
        <f>I35*(1+KeyParameters!$B$37)*(1+KeyParameters!$B$34)</f>
        <v>2625.8331778437814</v>
      </c>
    </row>
    <row r="36" spans="1:11" x14ac:dyDescent="0.25">
      <c r="A36" s="62">
        <v>27</v>
      </c>
      <c r="B36" s="128">
        <f xml:space="preserve"> 2.52259+ 1.74138 * A36</f>
        <v>49.539850000000001</v>
      </c>
      <c r="C36" s="128">
        <f t="shared" si="1"/>
        <v>13.360784522625073</v>
      </c>
      <c r="D36" s="64">
        <f t="shared" ref="D36:D49" si="13" xml:space="preserve"> 0.87202+0.22227 * B36</f>
        <v>11.8832424595</v>
      </c>
      <c r="E36" s="64">
        <f t="shared" ref="E36:E49" si="14" xml:space="preserve"> 3.14*(D36/2)^2</f>
        <v>110.85098931074194</v>
      </c>
      <c r="F36" s="62">
        <f xml:space="preserve"> 0.3148 * C36^2 + 4.9417 * C36 - 4.0576</f>
        <v>118.1625141267499</v>
      </c>
      <c r="G36" s="62">
        <f t="shared" si="6"/>
        <v>1868.7179660226043</v>
      </c>
      <c r="H36" s="111">
        <f t="shared" si="8"/>
        <v>118.16251412675001</v>
      </c>
      <c r="I36" s="111">
        <f t="shared" si="7"/>
        <v>1868.7179660226043</v>
      </c>
      <c r="J36" s="63">
        <f t="shared" si="5"/>
        <v>4.5976166522170479</v>
      </c>
      <c r="K36" s="64">
        <f>I36*(1+KeyParameters!$B$37)*(1+KeyParameters!$B$34)</f>
        <v>2803.0769490339067</v>
      </c>
    </row>
    <row r="37" spans="1:11" x14ac:dyDescent="0.25">
      <c r="A37" s="62">
        <v>28</v>
      </c>
      <c r="B37" s="128">
        <f xml:space="preserve"> 2.52259+ 1.74138 * A37</f>
        <v>51.281230000000001</v>
      </c>
      <c r="C37" s="128">
        <f t="shared" si="1"/>
        <v>13.596119678109741</v>
      </c>
      <c r="D37" s="64">
        <f t="shared" si="13"/>
        <v>12.270298992099999</v>
      </c>
      <c r="E37" s="64">
        <f t="shared" si="14"/>
        <v>118.18978632409126</v>
      </c>
      <c r="F37" s="62">
        <f xml:space="preserve"> 0.3148 * C37^2 + 4.9417 * C37 - 4.0576</f>
        <v>121.32253186422174</v>
      </c>
      <c r="G37" s="62">
        <f t="shared" si="6"/>
        <v>1990.040497886826</v>
      </c>
      <c r="H37" s="111">
        <f t="shared" si="8"/>
        <v>121.32253186422167</v>
      </c>
      <c r="I37" s="111">
        <f t="shared" si="7"/>
        <v>1990.040497886826</v>
      </c>
      <c r="J37" s="63">
        <f t="shared" si="5"/>
        <v>4.5920915375651949</v>
      </c>
      <c r="K37" s="64">
        <f>I37*(1+KeyParameters!$B$37)*(1+KeyParameters!$B$34)</f>
        <v>2985.0607468302392</v>
      </c>
    </row>
    <row r="38" spans="1:11" x14ac:dyDescent="0.25">
      <c r="A38" s="62">
        <v>29</v>
      </c>
      <c r="B38" s="128">
        <f xml:space="preserve"> 2.52259+ 1.74138 * A38</f>
        <v>53.02261</v>
      </c>
      <c r="C38" s="128">
        <f t="shared" si="1"/>
        <v>13.825735775925295</v>
      </c>
      <c r="D38" s="64">
        <f t="shared" si="13"/>
        <v>12.657355524700002</v>
      </c>
      <c r="E38" s="64">
        <f t="shared" si="14"/>
        <v>125.76378936974314</v>
      </c>
      <c r="F38" s="62">
        <f xml:space="preserve"> 0.3148 * C38^2 + 4.9417 * C38 - 4.0576</f>
        <v>124.43936375983661</v>
      </c>
      <c r="G38" s="62">
        <f t="shared" si="6"/>
        <v>2114.4798616466624</v>
      </c>
      <c r="H38" s="111">
        <f t="shared" si="8"/>
        <v>124.4393637598364</v>
      </c>
      <c r="I38" s="111">
        <f t="shared" si="7"/>
        <v>2114.4798616466624</v>
      </c>
      <c r="J38" s="63">
        <f t="shared" si="5"/>
        <v>4.5853924153654262</v>
      </c>
      <c r="K38" s="64">
        <f>I38*(1+KeyParameters!$B$37)*(1+KeyParameters!$B$34)</f>
        <v>3171.7197924699931</v>
      </c>
    </row>
    <row r="39" spans="1:11" x14ac:dyDescent="0.25">
      <c r="A39" s="62">
        <v>30</v>
      </c>
      <c r="B39" s="128">
        <f xml:space="preserve"> 2.52259+ 1.74138 * A39</f>
        <v>54.76399</v>
      </c>
      <c r="C39" s="128">
        <f t="shared" si="1"/>
        <v>14.049934141649103</v>
      </c>
      <c r="D39" s="64">
        <f t="shared" si="13"/>
        <v>13.044412057300001</v>
      </c>
      <c r="E39" s="64">
        <f xml:space="preserve"> 3.14*(D39/2)^2</f>
        <v>133.57299844769742</v>
      </c>
      <c r="F39" s="62">
        <f xml:space="preserve"> 0.3148 * C39^2 + 4.9417 * C39 - 4.0576</f>
        <v>127.51468397408375</v>
      </c>
      <c r="G39" s="62">
        <f>G38+F39</f>
        <v>2241.9945456207461</v>
      </c>
      <c r="H39" s="111">
        <f t="shared" si="8"/>
        <v>127.51468397408371</v>
      </c>
      <c r="I39" s="111">
        <f t="shared" si="7"/>
        <v>2241.9945456207461</v>
      </c>
      <c r="J39" s="63">
        <f t="shared" si="5"/>
        <v>4.5776696263653243</v>
      </c>
      <c r="K39" s="64">
        <f>I39*(1+KeyParameters!$B$37)*(1+KeyParameters!$B$34)</f>
        <v>3362.9918184311191</v>
      </c>
    </row>
    <row r="40" spans="1:11" x14ac:dyDescent="0.25">
      <c r="A40" s="62">
        <v>31</v>
      </c>
      <c r="B40" s="128">
        <f t="shared" ref="B40:B43" si="15" xml:space="preserve"> 2.52259+ 1.74138 * A40</f>
        <v>56.505369999999999</v>
      </c>
      <c r="C40" s="128">
        <f t="shared" ref="C40:C59" si="16" xml:space="preserve"> EXP(-0.20326+2.03912 * LN(
(LN(B40 + 1)+(0.03286/2))))</f>
        <v>14.268992007059193</v>
      </c>
      <c r="D40" s="64">
        <f t="shared" si="13"/>
        <v>13.4314685899</v>
      </c>
      <c r="E40" s="64">
        <f t="shared" si="14"/>
        <v>141.61741355795419</v>
      </c>
      <c r="F40" s="62">
        <f t="shared" ref="F40:F41" si="17" xml:space="preserve"> 0.3148 * C40^2 + 4.9417 * C40 - 4.0576</f>
        <v>130.55005883742345</v>
      </c>
      <c r="G40" s="62">
        <f t="shared" ref="G40:G43" si="18">G39+F40</f>
        <v>2372.5446044581695</v>
      </c>
      <c r="H40" s="111">
        <f t="shared" si="8"/>
        <v>130.55005883742342</v>
      </c>
      <c r="I40" s="111">
        <f t="shared" si="7"/>
        <v>2372.5446044581695</v>
      </c>
      <c r="J40" s="63">
        <f t="shared" si="5"/>
        <v>4.5690540671602271</v>
      </c>
      <c r="K40" s="64">
        <f>I40*(1+KeyParameters!$B$37)*(1+KeyParameters!$B$34)</f>
        <v>3558.8169066872542</v>
      </c>
    </row>
    <row r="41" spans="1:11" x14ac:dyDescent="0.25">
      <c r="A41" s="62">
        <v>32</v>
      </c>
      <c r="B41" s="128">
        <f t="shared" si="15"/>
        <v>58.246749999999999</v>
      </c>
      <c r="C41" s="128">
        <f t="shared" si="16"/>
        <v>14.483165060351711</v>
      </c>
      <c r="D41" s="64">
        <f t="shared" si="13"/>
        <v>13.818525122499999</v>
      </c>
      <c r="E41" s="64">
        <f t="shared" si="14"/>
        <v>149.89703470051344</v>
      </c>
      <c r="F41" s="62">
        <f t="shared" si="17"/>
        <v>133.54695646680563</v>
      </c>
      <c r="G41" s="62">
        <f t="shared" si="18"/>
        <v>2506.0915609249751</v>
      </c>
      <c r="H41" s="111">
        <f t="shared" si="8"/>
        <v>133.54695646680557</v>
      </c>
      <c r="I41" s="111">
        <f t="shared" si="7"/>
        <v>2506.0915609249751</v>
      </c>
      <c r="J41" s="63">
        <f t="shared" si="5"/>
        <v>4.5596600225045094</v>
      </c>
      <c r="K41" s="64">
        <f>I41*(1+KeyParameters!$B$37)*(1+KeyParameters!$B$34)</f>
        <v>3759.1373413874626</v>
      </c>
    </row>
    <row r="42" spans="1:11" x14ac:dyDescent="0.25">
      <c r="A42" s="62">
        <v>33</v>
      </c>
      <c r="B42" s="128">
        <f t="shared" si="15"/>
        <v>59.988129999999998</v>
      </c>
      <c r="C42" s="128">
        <f t="shared" si="16"/>
        <v>14.692689663934084</v>
      </c>
      <c r="D42" s="64">
        <f t="shared" si="13"/>
        <v>14.205581655099998</v>
      </c>
      <c r="E42" s="64">
        <f t="shared" si="14"/>
        <v>158.41186187537517</v>
      </c>
      <c r="F42" s="62">
        <f xml:space="preserve"> 0.3148 * C42^2 + 4.9417 * C42 - 4.0576</f>
        <v>136.50675529796368</v>
      </c>
      <c r="G42" s="62">
        <f>G41+F42</f>
        <v>2642.5983162229386</v>
      </c>
      <c r="H42" s="111">
        <f t="shared" si="8"/>
        <v>136.50675529796354</v>
      </c>
      <c r="I42" s="111">
        <f t="shared" si="7"/>
        <v>2642.5983162229386</v>
      </c>
      <c r="J42" s="63">
        <f t="shared" si="5"/>
        <v>4.5495875319245762</v>
      </c>
      <c r="K42" s="64">
        <f>I42*(1+KeyParameters!$B$37)*(1+KeyParameters!$B$34)</f>
        <v>3963.8974743344079</v>
      </c>
    </row>
    <row r="43" spans="1:11" x14ac:dyDescent="0.25">
      <c r="A43" s="62">
        <v>34</v>
      </c>
      <c r="B43" s="128">
        <f t="shared" si="15"/>
        <v>61.729509999999998</v>
      </c>
      <c r="C43" s="128">
        <f t="shared" si="16"/>
        <v>14.897784790834441</v>
      </c>
      <c r="D43" s="64">
        <f t="shared" si="13"/>
        <v>14.5926381877</v>
      </c>
      <c r="E43" s="64">
        <f t="shared" si="14"/>
        <v>167.1618950825395</v>
      </c>
      <c r="F43" s="62">
        <f xml:space="preserve"> 0.3148 * C43^2 + 4.9417 * C43 - 4.0576</f>
        <v>139.43075167984742</v>
      </c>
      <c r="G43" s="62">
        <f t="shared" si="18"/>
        <v>2782.0290679027862</v>
      </c>
      <c r="H43" s="111">
        <f t="shared" si="8"/>
        <v>139.43075167984762</v>
      </c>
      <c r="I43" s="111">
        <f t="shared" si="7"/>
        <v>2782.0290679027862</v>
      </c>
      <c r="J43" s="63">
        <f t="shared" si="5"/>
        <v>4.5389243760516287</v>
      </c>
      <c r="K43" s="64">
        <f>I43*(1+KeyParameters!$B$37)*(1+KeyParameters!$B$34)</f>
        <v>4173.0436018541786</v>
      </c>
    </row>
    <row r="44" spans="1:11" s="12" customFormat="1" x14ac:dyDescent="0.25">
      <c r="A44" s="112">
        <v>35</v>
      </c>
      <c r="B44" s="129">
        <f xml:space="preserve"> 2.52259+ 1.74138 * A44</f>
        <v>63.470889999999997</v>
      </c>
      <c r="C44" s="129">
        <f t="shared" si="16"/>
        <v>15.098653721811003</v>
      </c>
      <c r="D44" s="68">
        <f t="shared" si="13"/>
        <v>14.979694720299999</v>
      </c>
      <c r="E44" s="68">
        <f t="shared" si="14"/>
        <v>176.1471343220062</v>
      </c>
      <c r="F44" s="112">
        <f xml:space="preserve"> 0.3148 * C44^2 + 4.9417 * C44 - 4.0576</f>
        <v>142.32016665474575</v>
      </c>
      <c r="G44" s="112">
        <f>G43+F44</f>
        <v>2924.3492345575319</v>
      </c>
      <c r="H44" s="112">
        <f>G44-G43</f>
        <v>142.32016665474566</v>
      </c>
      <c r="I44" s="112">
        <f t="shared" si="7"/>
        <v>2924.3492345575319</v>
      </c>
      <c r="J44" s="63">
        <f t="shared" si="5"/>
        <v>4.5277477508376629</v>
      </c>
      <c r="K44" s="64">
        <f>I44*(1+KeyParameters!$B$37)*(1+KeyParameters!$B$34)</f>
        <v>4386.5238518362976</v>
      </c>
    </row>
    <row r="45" spans="1:11" s="19" customFormat="1" x14ac:dyDescent="0.25">
      <c r="A45" s="62">
        <v>36</v>
      </c>
      <c r="B45" s="128">
        <f xml:space="preserve"> B44</f>
        <v>63.470889999999997</v>
      </c>
      <c r="C45" s="128">
        <f t="shared" si="16"/>
        <v>15.098653721811003</v>
      </c>
      <c r="D45" s="64">
        <f t="shared" si="13"/>
        <v>14.979694720299999</v>
      </c>
      <c r="E45" s="64">
        <f t="shared" si="14"/>
        <v>176.1471343220062</v>
      </c>
      <c r="F45" s="117">
        <f xml:space="preserve"> G45-G44</f>
        <v>73.856821085521915</v>
      </c>
      <c r="G45" s="117">
        <f>G44+(($B$44/100)^2*KeyParameters!$B$36*KeyParameters!$B$35*44/12)</f>
        <v>2998.2060556430538</v>
      </c>
      <c r="H45" s="62">
        <f>H44</f>
        <v>142.32016665474566</v>
      </c>
      <c r="I45" s="111">
        <f t="shared" si="7"/>
        <v>3066.6694012122775</v>
      </c>
      <c r="J45" s="63">
        <f t="shared" si="5"/>
        <v>4.7481009859625933</v>
      </c>
      <c r="K45" s="64">
        <f>I45*(1+KeyParameters!$B$37)*(1+KeyParameters!$B$34)</f>
        <v>4600.0041018184156</v>
      </c>
    </row>
    <row r="46" spans="1:11" s="19" customFormat="1" x14ac:dyDescent="0.25">
      <c r="A46" s="62">
        <v>37</v>
      </c>
      <c r="B46" s="128">
        <f xml:space="preserve"> B45</f>
        <v>63.470889999999997</v>
      </c>
      <c r="C46" s="128">
        <f t="shared" si="16"/>
        <v>15.098653721811003</v>
      </c>
      <c r="D46" s="64">
        <f t="shared" si="13"/>
        <v>14.979694720299999</v>
      </c>
      <c r="E46" s="64">
        <f t="shared" si="14"/>
        <v>176.1471343220062</v>
      </c>
      <c r="F46" s="117">
        <f xml:space="preserve"> G46-G45</f>
        <v>54.983401013201728</v>
      </c>
      <c r="G46" s="117">
        <f>G45+(($B$39/100)^2*KeyParameters!$B$36*KeyParameters!$B$35*44/12)</f>
        <v>3053.1894566562555</v>
      </c>
      <c r="H46" s="62">
        <f>H45</f>
        <v>142.32016665474566</v>
      </c>
      <c r="I46" s="111">
        <f t="shared" si="7"/>
        <v>3208.9895678670232</v>
      </c>
      <c r="J46" s="63">
        <f t="shared" si="5"/>
        <v>4.9684542210875238</v>
      </c>
      <c r="K46" s="64">
        <f>I46*(1+KeyParameters!$B$37)*(1+KeyParameters!$B$34)</f>
        <v>4813.4843518005346</v>
      </c>
    </row>
    <row r="47" spans="1:11" s="19" customFormat="1" x14ac:dyDescent="0.25">
      <c r="A47" s="62">
        <v>38</v>
      </c>
      <c r="B47" s="128">
        <f t="shared" ref="B47:B89" si="19">B46</f>
        <v>63.470889999999997</v>
      </c>
      <c r="C47" s="128">
        <f t="shared" si="16"/>
        <v>15.098653721811003</v>
      </c>
      <c r="D47" s="64">
        <f t="shared" si="13"/>
        <v>14.979694720299999</v>
      </c>
      <c r="E47" s="64">
        <f t="shared" si="14"/>
        <v>176.1471343220062</v>
      </c>
      <c r="F47" s="117">
        <f t="shared" ref="F47:F89" si="20" xml:space="preserve"> G47-G46</f>
        <v>54.983401013201728</v>
      </c>
      <c r="G47" s="117">
        <f>G46+(($B$39/100)^2*KeyParameters!$B$36*KeyParameters!$B$35*44/12)</f>
        <v>3108.1728576694572</v>
      </c>
      <c r="H47" s="62">
        <f t="shared" ref="H47:H68" si="21">H46-$E$5</f>
        <v>138.68024843021783</v>
      </c>
      <c r="I47" s="111">
        <f t="shared" si="7"/>
        <v>3347.6698162972411</v>
      </c>
      <c r="J47" s="63">
        <f t="shared" si="5"/>
        <v>5.1831717984190613</v>
      </c>
      <c r="K47" s="64">
        <f>I47*(1+KeyParameters!$B$37)*(1+KeyParameters!$B$34)</f>
        <v>5021.504724445861</v>
      </c>
    </row>
    <row r="48" spans="1:11" s="19" customFormat="1" x14ac:dyDescent="0.25">
      <c r="A48" s="62">
        <v>39</v>
      </c>
      <c r="B48" s="128">
        <f t="shared" si="19"/>
        <v>63.470889999999997</v>
      </c>
      <c r="C48" s="128">
        <f t="shared" si="16"/>
        <v>15.098653721811003</v>
      </c>
      <c r="D48" s="64">
        <f t="shared" si="13"/>
        <v>14.979694720299999</v>
      </c>
      <c r="E48" s="64">
        <f t="shared" si="14"/>
        <v>176.1471343220062</v>
      </c>
      <c r="F48" s="117">
        <f t="shared" si="20"/>
        <v>54.983401013201728</v>
      </c>
      <c r="G48" s="117">
        <f>G47+(($B$39/100)^2*KeyParameters!$B$36*KeyParameters!$B$35*44/12)</f>
        <v>3163.156258682659</v>
      </c>
      <c r="H48" s="62">
        <f t="shared" si="21"/>
        <v>135.04033020569</v>
      </c>
      <c r="I48" s="111">
        <f t="shared" si="7"/>
        <v>3482.7101465029309</v>
      </c>
      <c r="J48" s="63">
        <f t="shared" si="5"/>
        <v>5.3922537179572032</v>
      </c>
      <c r="K48" s="64">
        <f>I48*(1+KeyParameters!$B$37)*(1+KeyParameters!$B$34)</f>
        <v>5224.0652197543959</v>
      </c>
    </row>
    <row r="49" spans="1:11" s="19" customFormat="1" x14ac:dyDescent="0.25">
      <c r="A49" s="62">
        <v>40</v>
      </c>
      <c r="B49" s="128">
        <f t="shared" si="19"/>
        <v>63.470889999999997</v>
      </c>
      <c r="C49" s="128">
        <f t="shared" si="16"/>
        <v>15.098653721811003</v>
      </c>
      <c r="D49" s="64">
        <f t="shared" si="13"/>
        <v>14.979694720299999</v>
      </c>
      <c r="E49" s="64">
        <f t="shared" si="14"/>
        <v>176.1471343220062</v>
      </c>
      <c r="F49" s="117">
        <f t="shared" si="20"/>
        <v>54.983401013201728</v>
      </c>
      <c r="G49" s="117">
        <f>G48+(($B$39/100)^2*KeyParameters!$B$36*KeyParameters!$B$35*44/12)</f>
        <v>3218.1396596958607</v>
      </c>
      <c r="H49" s="62">
        <f t="shared" si="21"/>
        <v>131.40041198116216</v>
      </c>
      <c r="I49" s="111">
        <f t="shared" si="7"/>
        <v>3614.110558484093</v>
      </c>
      <c r="J49" s="63">
        <f t="shared" si="5"/>
        <v>5.5956999797019522</v>
      </c>
      <c r="K49" s="64">
        <f>I49*(1+KeyParameters!$B$37)*(1+KeyParameters!$B$34)</f>
        <v>5421.1658377261392</v>
      </c>
    </row>
    <row r="50" spans="1:11" s="19" customFormat="1" x14ac:dyDescent="0.25">
      <c r="A50" s="62">
        <v>41</v>
      </c>
      <c r="B50" s="128">
        <f t="shared" si="19"/>
        <v>63.470889999999997</v>
      </c>
      <c r="C50" s="128">
        <f t="shared" si="16"/>
        <v>15.098653721811003</v>
      </c>
      <c r="D50" s="64">
        <f t="shared" ref="D50:D59" si="22" xml:space="preserve"> 0.87202+0.22227 * B50</f>
        <v>14.979694720299999</v>
      </c>
      <c r="E50" s="64">
        <f t="shared" ref="E50:E59" si="23" xml:space="preserve"> 3.14*(D50/2)^2</f>
        <v>176.1471343220062</v>
      </c>
      <c r="F50" s="117">
        <f t="shared" si="20"/>
        <v>54.983401013201728</v>
      </c>
      <c r="G50" s="117">
        <f>G49+(($B$39/100)^2*KeyParameters!$B$36*KeyParameters!$B$35*44/12)</f>
        <v>3273.1230607090624</v>
      </c>
      <c r="H50" s="62">
        <f t="shared" si="21"/>
        <v>127.76049375663433</v>
      </c>
      <c r="I50" s="111">
        <f t="shared" si="7"/>
        <v>3741.8710522407273</v>
      </c>
      <c r="J50" s="63">
        <f t="shared" si="5"/>
        <v>5.7935105836533074</v>
      </c>
      <c r="K50" s="64">
        <f>I50*(1+KeyParameters!$B$37)*(1+KeyParameters!$B$34)</f>
        <v>5612.8065783610909</v>
      </c>
    </row>
    <row r="51" spans="1:11" s="19" customFormat="1" x14ac:dyDescent="0.25">
      <c r="A51" s="62">
        <v>42</v>
      </c>
      <c r="B51" s="128">
        <f t="shared" si="19"/>
        <v>63.470889999999997</v>
      </c>
      <c r="C51" s="128">
        <f t="shared" si="16"/>
        <v>15.098653721811003</v>
      </c>
      <c r="D51" s="64">
        <f t="shared" si="22"/>
        <v>14.979694720299999</v>
      </c>
      <c r="E51" s="64">
        <f t="shared" si="23"/>
        <v>176.1471343220062</v>
      </c>
      <c r="F51" s="117">
        <f t="shared" si="20"/>
        <v>54.983401013201728</v>
      </c>
      <c r="G51" s="117">
        <f>G50+(($B$39/100)^2*KeyParameters!$B$36*KeyParameters!$B$35*44/12)</f>
        <v>3328.1064617222642</v>
      </c>
      <c r="H51" s="62">
        <f t="shared" si="21"/>
        <v>124.1205755321065</v>
      </c>
      <c r="I51" s="111">
        <f t="shared" si="7"/>
        <v>3865.9916277728339</v>
      </c>
      <c r="J51" s="63">
        <f t="shared" si="5"/>
        <v>5.9856855298112714</v>
      </c>
      <c r="K51" s="64">
        <f>I51*(1+KeyParameters!$B$37)*(1+KeyParameters!$B$34)</f>
        <v>5798.9874416592511</v>
      </c>
    </row>
    <row r="52" spans="1:11" s="19" customFormat="1" x14ac:dyDescent="0.25">
      <c r="A52" s="62">
        <v>43</v>
      </c>
      <c r="B52" s="128">
        <f t="shared" si="19"/>
        <v>63.470889999999997</v>
      </c>
      <c r="C52" s="128">
        <f t="shared" si="16"/>
        <v>15.098653721811003</v>
      </c>
      <c r="D52" s="64">
        <f t="shared" si="22"/>
        <v>14.979694720299999</v>
      </c>
      <c r="E52" s="64">
        <f t="shared" si="23"/>
        <v>176.1471343220062</v>
      </c>
      <c r="F52" s="117">
        <f t="shared" si="20"/>
        <v>54.983401013201728</v>
      </c>
      <c r="G52" s="117">
        <f>G51+(($B$39/100)^2*KeyParameters!$B$36*KeyParameters!$B$35*44/12)</f>
        <v>3383.0898627354659</v>
      </c>
      <c r="H52" s="62">
        <f t="shared" si="21"/>
        <v>120.48065730757867</v>
      </c>
      <c r="I52" s="111">
        <f t="shared" si="7"/>
        <v>3986.4722850804128</v>
      </c>
      <c r="J52" s="63">
        <f t="shared" si="5"/>
        <v>6.1722248181758399</v>
      </c>
      <c r="K52" s="64">
        <f>I52*(1+KeyParameters!$B$37)*(1+KeyParameters!$B$34)</f>
        <v>5979.7084276206197</v>
      </c>
    </row>
    <row r="53" spans="1:11" s="19" customFormat="1" x14ac:dyDescent="0.25">
      <c r="A53" s="62">
        <v>44</v>
      </c>
      <c r="B53" s="128">
        <f t="shared" si="19"/>
        <v>63.470889999999997</v>
      </c>
      <c r="C53" s="128">
        <f t="shared" si="16"/>
        <v>15.098653721811003</v>
      </c>
      <c r="D53" s="64">
        <f t="shared" si="22"/>
        <v>14.979694720299999</v>
      </c>
      <c r="E53" s="64">
        <f t="shared" si="23"/>
        <v>176.1471343220062</v>
      </c>
      <c r="F53" s="117">
        <f t="shared" si="20"/>
        <v>54.983401013201728</v>
      </c>
      <c r="G53" s="117">
        <f>G52+(($B$39/100)^2*KeyParameters!$B$36*KeyParameters!$B$35*44/12)</f>
        <v>3438.0732637486676</v>
      </c>
      <c r="H53" s="62">
        <f t="shared" si="21"/>
        <v>116.84073908305083</v>
      </c>
      <c r="I53" s="111">
        <f t="shared" si="7"/>
        <v>4103.3130241634635</v>
      </c>
      <c r="J53" s="63">
        <f t="shared" si="5"/>
        <v>6.3531284487470145</v>
      </c>
      <c r="K53" s="64">
        <f>I53*(1+KeyParameters!$B$37)*(1+KeyParameters!$B$34)</f>
        <v>6154.9695362451957</v>
      </c>
    </row>
    <row r="54" spans="1:11" s="19" customFormat="1" x14ac:dyDescent="0.25">
      <c r="A54" s="62">
        <v>45</v>
      </c>
      <c r="B54" s="128">
        <f t="shared" si="19"/>
        <v>63.470889999999997</v>
      </c>
      <c r="C54" s="128">
        <f t="shared" si="16"/>
        <v>15.098653721811003</v>
      </c>
      <c r="D54" s="64">
        <f t="shared" si="22"/>
        <v>14.979694720299999</v>
      </c>
      <c r="E54" s="64">
        <f t="shared" si="23"/>
        <v>176.1471343220062</v>
      </c>
      <c r="F54" s="117">
        <f t="shared" si="20"/>
        <v>54.983401013201728</v>
      </c>
      <c r="G54" s="117">
        <f>G53+(($B$39/100)^2*KeyParameters!$B$36*KeyParameters!$B$35*44/12)</f>
        <v>3493.0566647618693</v>
      </c>
      <c r="H54" s="62">
        <f t="shared" si="21"/>
        <v>113.200820858523</v>
      </c>
      <c r="I54" s="111">
        <f t="shared" si="7"/>
        <v>4216.5138450219865</v>
      </c>
      <c r="J54" s="63">
        <f t="shared" si="5"/>
        <v>6.5283964215247954</v>
      </c>
      <c r="K54" s="64">
        <f>I54*(1+KeyParameters!$B$37)*(1+KeyParameters!$B$34)</f>
        <v>6324.7707675329793</v>
      </c>
    </row>
    <row r="55" spans="1:11" s="19" customFormat="1" x14ac:dyDescent="0.25">
      <c r="A55" s="62">
        <v>46</v>
      </c>
      <c r="B55" s="128">
        <f t="shared" si="19"/>
        <v>63.470889999999997</v>
      </c>
      <c r="C55" s="128">
        <f t="shared" si="16"/>
        <v>15.098653721811003</v>
      </c>
      <c r="D55" s="64">
        <f t="shared" si="22"/>
        <v>14.979694720299999</v>
      </c>
      <c r="E55" s="64">
        <f t="shared" si="23"/>
        <v>176.1471343220062</v>
      </c>
      <c r="F55" s="117">
        <f t="shared" si="20"/>
        <v>54.983401013201728</v>
      </c>
      <c r="G55" s="117">
        <f>G54+(($B$39/100)^2*KeyParameters!$B$36*KeyParameters!$B$35*44/12)</f>
        <v>3548.0400657750711</v>
      </c>
      <c r="H55" s="62">
        <f t="shared" si="21"/>
        <v>109.56090263399517</v>
      </c>
      <c r="I55" s="111">
        <f t="shared" si="7"/>
        <v>4326.0747476559818</v>
      </c>
      <c r="J55" s="63">
        <f t="shared" si="5"/>
        <v>6.6980287365091833</v>
      </c>
      <c r="K55" s="64">
        <f>I55*(1+KeyParameters!$B$37)*(1+KeyParameters!$B$34)</f>
        <v>6489.1121214839723</v>
      </c>
    </row>
    <row r="56" spans="1:11" s="19" customFormat="1" x14ac:dyDescent="0.25">
      <c r="A56" s="62">
        <v>47</v>
      </c>
      <c r="B56" s="128">
        <f t="shared" si="19"/>
        <v>63.470889999999997</v>
      </c>
      <c r="C56" s="128">
        <f t="shared" si="16"/>
        <v>15.098653721811003</v>
      </c>
      <c r="D56" s="64">
        <f t="shared" si="22"/>
        <v>14.979694720299999</v>
      </c>
      <c r="E56" s="64">
        <f t="shared" si="23"/>
        <v>176.1471343220062</v>
      </c>
      <c r="F56" s="117">
        <f t="shared" si="20"/>
        <v>54.983401013201728</v>
      </c>
      <c r="G56" s="117">
        <f>G55+(($B$39/100)^2*KeyParameters!$B$36*KeyParameters!$B$35*44/12)</f>
        <v>3603.0234667882728</v>
      </c>
      <c r="H56" s="62">
        <f t="shared" si="21"/>
        <v>105.92098440946734</v>
      </c>
      <c r="I56" s="111">
        <f t="shared" si="7"/>
        <v>4431.9957320654494</v>
      </c>
      <c r="J56" s="63">
        <f t="shared" si="5"/>
        <v>6.8620253937001783</v>
      </c>
      <c r="K56" s="64">
        <f>I56*(1+KeyParameters!$B$37)*(1+KeyParameters!$B$34)</f>
        <v>6647.9935980981745</v>
      </c>
    </row>
    <row r="57" spans="1:11" s="19" customFormat="1" x14ac:dyDescent="0.25">
      <c r="A57" s="62">
        <v>48</v>
      </c>
      <c r="B57" s="128">
        <f t="shared" si="19"/>
        <v>63.470889999999997</v>
      </c>
      <c r="C57" s="128">
        <f t="shared" si="16"/>
        <v>15.098653721811003</v>
      </c>
      <c r="D57" s="64">
        <f t="shared" si="22"/>
        <v>14.979694720299999</v>
      </c>
      <c r="E57" s="64">
        <f t="shared" si="23"/>
        <v>176.1471343220062</v>
      </c>
      <c r="F57" s="117">
        <f t="shared" si="20"/>
        <v>54.983401013201728</v>
      </c>
      <c r="G57" s="117">
        <f>G56+(($B$39/100)^2*KeyParameters!$B$36*KeyParameters!$B$35*44/12)</f>
        <v>3658.0068678014745</v>
      </c>
      <c r="H57" s="62">
        <f t="shared" si="21"/>
        <v>102.2810661849395</v>
      </c>
      <c r="I57" s="111">
        <f t="shared" si="7"/>
        <v>4534.2767982503892</v>
      </c>
      <c r="J57" s="63">
        <f t="shared" si="5"/>
        <v>7.0203863930977777</v>
      </c>
      <c r="K57" s="64">
        <f>I57*(1+KeyParameters!$B$37)*(1+KeyParameters!$B$34)</f>
        <v>6801.4151973755843</v>
      </c>
    </row>
    <row r="58" spans="1:11" s="19" customFormat="1" x14ac:dyDescent="0.25">
      <c r="A58" s="62">
        <v>49</v>
      </c>
      <c r="B58" s="128">
        <f t="shared" si="19"/>
        <v>63.470889999999997</v>
      </c>
      <c r="C58" s="128">
        <f t="shared" si="16"/>
        <v>15.098653721811003</v>
      </c>
      <c r="D58" s="64">
        <f t="shared" si="22"/>
        <v>14.979694720299999</v>
      </c>
      <c r="E58" s="64">
        <f t="shared" si="23"/>
        <v>176.1471343220062</v>
      </c>
      <c r="F58" s="117">
        <f t="shared" si="20"/>
        <v>54.983401013201728</v>
      </c>
      <c r="G58" s="117">
        <f>G57+(($B$39/100)^2*KeyParameters!$B$36*KeyParameters!$B$35*44/12)</f>
        <v>3712.9902688146763</v>
      </c>
      <c r="H58" s="62">
        <f t="shared" si="21"/>
        <v>98.641147960411672</v>
      </c>
      <c r="I58" s="111">
        <f t="shared" si="7"/>
        <v>4632.9179462108004</v>
      </c>
      <c r="J58" s="63">
        <f t="shared" si="5"/>
        <v>7.1731117347019842</v>
      </c>
      <c r="K58" s="64">
        <f>I58*(1+KeyParameters!$B$37)*(1+KeyParameters!$B$34)</f>
        <v>6949.3769193162007</v>
      </c>
    </row>
    <row r="59" spans="1:11" s="19" customFormat="1" x14ac:dyDescent="0.25">
      <c r="A59" s="62">
        <v>50</v>
      </c>
      <c r="B59" s="128">
        <f t="shared" si="19"/>
        <v>63.470889999999997</v>
      </c>
      <c r="C59" s="128">
        <f t="shared" si="16"/>
        <v>15.098653721811003</v>
      </c>
      <c r="D59" s="64">
        <f t="shared" si="22"/>
        <v>14.979694720299999</v>
      </c>
      <c r="E59" s="64">
        <f t="shared" si="23"/>
        <v>176.1471343220062</v>
      </c>
      <c r="F59" s="117">
        <f t="shared" si="20"/>
        <v>54.983401013201728</v>
      </c>
      <c r="G59" s="117">
        <f>G58+(($B$39/100)^2*KeyParameters!$B$36*KeyParameters!$B$35*44/12)</f>
        <v>3767.973669827878</v>
      </c>
      <c r="H59" s="62">
        <f t="shared" si="21"/>
        <v>95.00122973588384</v>
      </c>
      <c r="I59" s="111">
        <f t="shared" si="7"/>
        <v>4727.9191759466839</v>
      </c>
      <c r="J59" s="63">
        <f t="shared" si="5"/>
        <v>7.3202014185127959</v>
      </c>
      <c r="K59" s="64">
        <f>I59*(1+KeyParameters!$B$37)*(1+KeyParameters!$B$34)</f>
        <v>7091.8787639200264</v>
      </c>
    </row>
    <row r="60" spans="1:11" s="19" customFormat="1" x14ac:dyDescent="0.25">
      <c r="A60" s="62">
        <v>51</v>
      </c>
      <c r="B60" s="128">
        <f t="shared" si="19"/>
        <v>63.470889999999997</v>
      </c>
      <c r="C60" s="128">
        <f t="shared" ref="C60:C81" si="24" xml:space="preserve"> EXP(-0.20326+2.03912 * LN(
(LN(B60 + 1)+(0.03286/2))))</f>
        <v>15.098653721811003</v>
      </c>
      <c r="D60" s="64">
        <f t="shared" ref="D60:D81" si="25" xml:space="preserve"> 0.87202+0.22227 * B60</f>
        <v>14.979694720299999</v>
      </c>
      <c r="E60" s="64">
        <f t="shared" ref="E60:E81" si="26" xml:space="preserve"> 3.14*(D60/2)^2</f>
        <v>176.1471343220062</v>
      </c>
      <c r="F60" s="117">
        <f t="shared" si="20"/>
        <v>54.983401013201728</v>
      </c>
      <c r="G60" s="117">
        <f>G59+(($B$39/100)^2*KeyParameters!$B$36*KeyParameters!$B$35*44/12)</f>
        <v>3822.9570708410797</v>
      </c>
      <c r="H60" s="62">
        <f t="shared" si="21"/>
        <v>91.361311511356007</v>
      </c>
      <c r="I60" s="111">
        <f t="shared" si="7"/>
        <v>4819.2804874580397</v>
      </c>
      <c r="J60" s="63">
        <f t="shared" si="5"/>
        <v>7.4616554445302148</v>
      </c>
      <c r="K60" s="64">
        <f>I60*(1+KeyParameters!$B$37)*(1+KeyParameters!$B$34)</f>
        <v>7228.9207311870596</v>
      </c>
    </row>
    <row r="61" spans="1:11" s="19" customFormat="1" x14ac:dyDescent="0.25">
      <c r="A61" s="62">
        <v>52</v>
      </c>
      <c r="B61" s="128">
        <f t="shared" si="19"/>
        <v>63.470889999999997</v>
      </c>
      <c r="C61" s="128">
        <f t="shared" si="24"/>
        <v>15.098653721811003</v>
      </c>
      <c r="D61" s="64">
        <f t="shared" si="25"/>
        <v>14.979694720299999</v>
      </c>
      <c r="E61" s="64">
        <f t="shared" si="26"/>
        <v>176.1471343220062</v>
      </c>
      <c r="F61" s="117">
        <f t="shared" si="20"/>
        <v>54.983401013201728</v>
      </c>
      <c r="G61" s="117">
        <f>G60+(($B$39/100)^2*KeyParameters!$B$36*KeyParameters!$B$35*44/12)</f>
        <v>3877.9404718542814</v>
      </c>
      <c r="H61" s="62">
        <f t="shared" si="21"/>
        <v>87.721393286828174</v>
      </c>
      <c r="I61" s="111">
        <f t="shared" si="7"/>
        <v>4907.0018807448678</v>
      </c>
      <c r="J61" s="63">
        <f t="shared" si="5"/>
        <v>7.5974738127542416</v>
      </c>
      <c r="K61" s="64">
        <f>I61*(1+KeyParameters!$B$37)*(1+KeyParameters!$B$34)</f>
        <v>7360.5028211173021</v>
      </c>
    </row>
    <row r="62" spans="1:11" s="19" customFormat="1" x14ac:dyDescent="0.25">
      <c r="A62" s="62">
        <v>53</v>
      </c>
      <c r="B62" s="128">
        <f t="shared" si="19"/>
        <v>63.470889999999997</v>
      </c>
      <c r="C62" s="128">
        <f t="shared" si="24"/>
        <v>15.098653721811003</v>
      </c>
      <c r="D62" s="64">
        <f t="shared" si="25"/>
        <v>14.979694720299999</v>
      </c>
      <c r="E62" s="64">
        <f t="shared" si="26"/>
        <v>176.1471343220062</v>
      </c>
      <c r="F62" s="117">
        <f t="shared" si="20"/>
        <v>54.983401013201728</v>
      </c>
      <c r="G62" s="117">
        <f>G61+(($B$39/100)^2*KeyParameters!$B$36*KeyParameters!$B$35*44/12)</f>
        <v>3932.9238728674832</v>
      </c>
      <c r="H62" s="62">
        <f t="shared" si="21"/>
        <v>84.081475062300342</v>
      </c>
      <c r="I62" s="111">
        <f t="shared" si="7"/>
        <v>4991.0833558071681</v>
      </c>
      <c r="J62" s="63">
        <f t="shared" si="5"/>
        <v>7.7276565231848728</v>
      </c>
      <c r="K62" s="64">
        <f>I62*(1+KeyParameters!$B$37)*(1+KeyParameters!$B$34)</f>
        <v>7486.6250337107522</v>
      </c>
    </row>
    <row r="63" spans="1:11" s="19" customFormat="1" x14ac:dyDescent="0.25">
      <c r="A63" s="62">
        <v>54</v>
      </c>
      <c r="B63" s="128">
        <f t="shared" si="19"/>
        <v>63.470889999999997</v>
      </c>
      <c r="C63" s="128">
        <f t="shared" si="24"/>
        <v>15.098653721811003</v>
      </c>
      <c r="D63" s="64">
        <f t="shared" si="25"/>
        <v>14.979694720299999</v>
      </c>
      <c r="E63" s="64">
        <f t="shared" si="26"/>
        <v>176.1471343220062</v>
      </c>
      <c r="F63" s="117">
        <f t="shared" si="20"/>
        <v>54.983401013201728</v>
      </c>
      <c r="G63" s="117">
        <f>G62+(($B$39/100)^2*KeyParameters!$B$36*KeyParameters!$B$35*44/12)</f>
        <v>3987.9072738806849</v>
      </c>
      <c r="H63" s="62">
        <f t="shared" si="21"/>
        <v>80.441556837772509</v>
      </c>
      <c r="I63" s="111">
        <f t="shared" si="7"/>
        <v>5071.5249126449407</v>
      </c>
      <c r="J63" s="63">
        <f t="shared" si="5"/>
        <v>7.8522035758221111</v>
      </c>
      <c r="K63" s="64">
        <f>I63*(1+KeyParameters!$B$37)*(1+KeyParameters!$B$34)</f>
        <v>7607.2873689674107</v>
      </c>
    </row>
    <row r="64" spans="1:11" s="19" customFormat="1" x14ac:dyDescent="0.25">
      <c r="A64" s="62">
        <v>55</v>
      </c>
      <c r="B64" s="128">
        <f t="shared" si="19"/>
        <v>63.470889999999997</v>
      </c>
      <c r="C64" s="128">
        <f t="shared" si="24"/>
        <v>15.098653721811003</v>
      </c>
      <c r="D64" s="64">
        <f t="shared" si="25"/>
        <v>14.979694720299999</v>
      </c>
      <c r="E64" s="64">
        <f t="shared" si="26"/>
        <v>176.1471343220062</v>
      </c>
      <c r="F64" s="117">
        <f t="shared" si="20"/>
        <v>54.983401013201728</v>
      </c>
      <c r="G64" s="117">
        <f>G63+(($B$39/100)^2*KeyParameters!$B$36*KeyParameters!$B$35*44/12)</f>
        <v>4042.8906748938866</v>
      </c>
      <c r="H64" s="62">
        <f t="shared" si="21"/>
        <v>76.801638613244677</v>
      </c>
      <c r="I64" s="111">
        <f t="shared" si="7"/>
        <v>5148.3265512581856</v>
      </c>
      <c r="J64" s="63">
        <f t="shared" si="5"/>
        <v>7.9711149706659565</v>
      </c>
      <c r="K64" s="64">
        <f>I64*(1+KeyParameters!$B$37)*(1+KeyParameters!$B$34)</f>
        <v>7722.4898268872785</v>
      </c>
    </row>
    <row r="65" spans="1:11" s="19" customFormat="1" x14ac:dyDescent="0.25">
      <c r="A65" s="62">
        <v>56</v>
      </c>
      <c r="B65" s="128">
        <f t="shared" si="19"/>
        <v>63.470889999999997</v>
      </c>
      <c r="C65" s="128">
        <f t="shared" si="24"/>
        <v>15.098653721811003</v>
      </c>
      <c r="D65" s="64">
        <f t="shared" si="25"/>
        <v>14.979694720299999</v>
      </c>
      <c r="E65" s="64">
        <f t="shared" si="26"/>
        <v>176.1471343220062</v>
      </c>
      <c r="F65" s="117">
        <f t="shared" si="20"/>
        <v>54.983401013202183</v>
      </c>
      <c r="G65" s="117">
        <f>G64+(($B$39/100)^2*KeyParameters!$B$36*KeyParameters!$B$35*44/12)</f>
        <v>4097.8740759070888</v>
      </c>
      <c r="H65" s="62">
        <f t="shared" si="21"/>
        <v>73.161720388716844</v>
      </c>
      <c r="I65" s="111">
        <f t="shared" si="7"/>
        <v>5221.4882716469028</v>
      </c>
      <c r="J65" s="63">
        <f t="shared" si="5"/>
        <v>8.0843907077164072</v>
      </c>
      <c r="K65" s="64">
        <f>I65*(1+KeyParameters!$B$37)*(1+KeyParameters!$B$34)</f>
        <v>7832.2324074703538</v>
      </c>
    </row>
    <row r="66" spans="1:11" s="19" customFormat="1" x14ac:dyDescent="0.25">
      <c r="A66" s="62">
        <v>57</v>
      </c>
      <c r="B66" s="128">
        <f t="shared" si="19"/>
        <v>63.470889999999997</v>
      </c>
      <c r="C66" s="128">
        <f t="shared" si="24"/>
        <v>15.098653721811003</v>
      </c>
      <c r="D66" s="64">
        <f t="shared" si="25"/>
        <v>14.979694720299999</v>
      </c>
      <c r="E66" s="64">
        <f t="shared" si="26"/>
        <v>176.1471343220062</v>
      </c>
      <c r="F66" s="117">
        <f t="shared" si="20"/>
        <v>54.983401013201728</v>
      </c>
      <c r="G66" s="117">
        <f>G65+(($B$39/100)^2*KeyParameters!$B$36*KeyParameters!$B$35*44/12)</f>
        <v>4152.8574769202905</v>
      </c>
      <c r="H66" s="62">
        <f t="shared" si="21"/>
        <v>69.521802164189012</v>
      </c>
      <c r="I66" s="111">
        <f t="shared" si="7"/>
        <v>5291.0100738110923</v>
      </c>
      <c r="J66" s="63">
        <f t="shared" si="5"/>
        <v>8.192030786973465</v>
      </c>
      <c r="K66" s="64">
        <f>I66*(1+KeyParameters!$B$37)*(1+KeyParameters!$B$34)</f>
        <v>7936.5151107166384</v>
      </c>
    </row>
    <row r="67" spans="1:11" s="19" customFormat="1" x14ac:dyDescent="0.25">
      <c r="A67" s="62">
        <v>58</v>
      </c>
      <c r="B67" s="128">
        <f t="shared" si="19"/>
        <v>63.470889999999997</v>
      </c>
      <c r="C67" s="128">
        <f t="shared" si="24"/>
        <v>15.098653721811003</v>
      </c>
      <c r="D67" s="64">
        <f t="shared" si="25"/>
        <v>14.979694720299999</v>
      </c>
      <c r="E67" s="64">
        <f t="shared" si="26"/>
        <v>176.1471343220062</v>
      </c>
      <c r="F67" s="117">
        <f t="shared" si="20"/>
        <v>54.983401013201728</v>
      </c>
      <c r="G67" s="117">
        <f>G66+(($B$39/100)^2*KeyParameters!$B$36*KeyParameters!$B$35*44/12)</f>
        <v>4207.8408779334923</v>
      </c>
      <c r="H67" s="62">
        <f t="shared" si="21"/>
        <v>65.881883939661179</v>
      </c>
      <c r="I67" s="111">
        <f t="shared" si="7"/>
        <v>5356.8919577507531</v>
      </c>
      <c r="J67" s="63">
        <f t="shared" si="5"/>
        <v>8.2940352084371298</v>
      </c>
      <c r="K67" s="64">
        <f>I67*(1+KeyParameters!$B$37)*(1+KeyParameters!$B$34)</f>
        <v>8035.3379366261297</v>
      </c>
    </row>
    <row r="68" spans="1:11" s="19" customFormat="1" x14ac:dyDescent="0.25">
      <c r="A68" s="62">
        <v>59</v>
      </c>
      <c r="B68" s="128">
        <f t="shared" si="19"/>
        <v>63.470889999999997</v>
      </c>
      <c r="C68" s="128">
        <f t="shared" si="24"/>
        <v>15.098653721811003</v>
      </c>
      <c r="D68" s="64">
        <f t="shared" si="25"/>
        <v>14.979694720299999</v>
      </c>
      <c r="E68" s="64">
        <f t="shared" si="26"/>
        <v>176.1471343220062</v>
      </c>
      <c r="F68" s="117">
        <f t="shared" si="20"/>
        <v>54.983401013201728</v>
      </c>
      <c r="G68" s="117">
        <f>G67+(($B$39/100)^2*KeyParameters!$B$36*KeyParameters!$B$35*44/12)</f>
        <v>4262.824278946694</v>
      </c>
      <c r="H68" s="62">
        <f t="shared" si="21"/>
        <v>62.241965715133347</v>
      </c>
      <c r="I68" s="111">
        <f t="shared" si="7"/>
        <v>5419.1339234658863</v>
      </c>
      <c r="J68" s="63">
        <f t="shared" si="5"/>
        <v>8.3904039721074</v>
      </c>
      <c r="K68" s="64">
        <f>I68*(1+KeyParameters!$B$37)*(1+KeyParameters!$B$34)</f>
        <v>8128.7008851988294</v>
      </c>
    </row>
    <row r="69" spans="1:11" s="19" customFormat="1" x14ac:dyDescent="0.25">
      <c r="A69" s="62">
        <v>60</v>
      </c>
      <c r="B69" s="128">
        <f t="shared" si="19"/>
        <v>63.470889999999997</v>
      </c>
      <c r="C69" s="128">
        <f t="shared" si="24"/>
        <v>15.098653721811003</v>
      </c>
      <c r="D69" s="64">
        <f t="shared" si="25"/>
        <v>14.979694720299999</v>
      </c>
      <c r="E69" s="64">
        <f t="shared" si="26"/>
        <v>176.1471343220062</v>
      </c>
      <c r="F69" s="117">
        <f t="shared" si="20"/>
        <v>54.983401013201728</v>
      </c>
      <c r="G69" s="117">
        <f>G68+(($B$39/100)^2*KeyParameters!$B$36*KeyParameters!$B$35*44/12)</f>
        <v>4317.8076799598957</v>
      </c>
      <c r="H69" s="112">
        <v>54.983401013201728</v>
      </c>
      <c r="I69" s="111">
        <f t="shared" si="7"/>
        <v>5474.117324479088</v>
      </c>
      <c r="J69" s="63">
        <f t="shared" si="5"/>
        <v>8.4755343550756965</v>
      </c>
      <c r="K69" s="64">
        <f>I69*(1+KeyParameters!$B$37)*(1+KeyParameters!$B$34)</f>
        <v>8211.175986718632</v>
      </c>
    </row>
    <row r="70" spans="1:11" s="19" customFormat="1" x14ac:dyDescent="0.25">
      <c r="A70" s="62">
        <v>61</v>
      </c>
      <c r="B70" s="128">
        <f t="shared" si="19"/>
        <v>63.470889999999997</v>
      </c>
      <c r="C70" s="128">
        <f t="shared" si="24"/>
        <v>15.098653721811003</v>
      </c>
      <c r="D70" s="64">
        <f t="shared" si="25"/>
        <v>14.979694720299999</v>
      </c>
      <c r="E70" s="64">
        <f t="shared" si="26"/>
        <v>176.1471343220062</v>
      </c>
      <c r="F70" s="117">
        <f t="shared" si="20"/>
        <v>54.983401013201728</v>
      </c>
      <c r="G70" s="117">
        <f>G69+(($B$39/100)^2*KeyParameters!$B$36*KeyParameters!$B$35*44/12)</f>
        <v>4372.7910809730975</v>
      </c>
      <c r="H70" s="112">
        <v>54.983401013201728</v>
      </c>
      <c r="I70" s="111">
        <f t="shared" si="7"/>
        <v>5529.1007254922897</v>
      </c>
      <c r="J70" s="63">
        <f t="shared" si="5"/>
        <v>8.5606647380439931</v>
      </c>
      <c r="K70" s="64">
        <f>I70*(1+KeyParameters!$B$37)*(1+KeyParameters!$B$34)</f>
        <v>8293.6510882384337</v>
      </c>
    </row>
    <row r="71" spans="1:11" s="19" customFormat="1" x14ac:dyDescent="0.25">
      <c r="A71" s="62">
        <v>62</v>
      </c>
      <c r="B71" s="128">
        <f t="shared" si="19"/>
        <v>63.470889999999997</v>
      </c>
      <c r="C71" s="128">
        <f t="shared" si="24"/>
        <v>15.098653721811003</v>
      </c>
      <c r="D71" s="64">
        <f t="shared" si="25"/>
        <v>14.979694720299999</v>
      </c>
      <c r="E71" s="64">
        <f t="shared" si="26"/>
        <v>176.1471343220062</v>
      </c>
      <c r="F71" s="117">
        <f t="shared" si="20"/>
        <v>54.983401013201728</v>
      </c>
      <c r="G71" s="117">
        <f>G70+(($B$39/100)^2*KeyParameters!$B$36*KeyParameters!$B$35*44/12)</f>
        <v>4427.7744819862992</v>
      </c>
      <c r="H71" s="112">
        <v>54.983401013201728</v>
      </c>
      <c r="I71" s="111">
        <f t="shared" si="7"/>
        <v>5584.0841265054914</v>
      </c>
      <c r="J71" s="63">
        <f t="shared" si="5"/>
        <v>8.6457951210122896</v>
      </c>
      <c r="K71" s="64">
        <f>I71*(1+KeyParameters!$B$37)*(1+KeyParameters!$B$34)</f>
        <v>8376.1261897582372</v>
      </c>
    </row>
    <row r="72" spans="1:11" s="19" customFormat="1" x14ac:dyDescent="0.25">
      <c r="A72" s="62">
        <v>63</v>
      </c>
      <c r="B72" s="128">
        <f t="shared" si="19"/>
        <v>63.470889999999997</v>
      </c>
      <c r="C72" s="128">
        <f t="shared" si="24"/>
        <v>15.098653721811003</v>
      </c>
      <c r="D72" s="64">
        <f t="shared" si="25"/>
        <v>14.979694720299999</v>
      </c>
      <c r="E72" s="64">
        <f t="shared" si="26"/>
        <v>176.1471343220062</v>
      </c>
      <c r="F72" s="117">
        <f t="shared" si="20"/>
        <v>54.983401013201728</v>
      </c>
      <c r="G72" s="117">
        <f>G71+(($B$39/100)^2*KeyParameters!$B$36*KeyParameters!$B$35*44/12)</f>
        <v>4482.7578829995009</v>
      </c>
      <c r="H72" s="112">
        <v>54.983401013201728</v>
      </c>
      <c r="I72" s="111">
        <f t="shared" si="7"/>
        <v>5639.0675275186932</v>
      </c>
      <c r="J72" s="63">
        <f t="shared" si="5"/>
        <v>8.7309255039805862</v>
      </c>
      <c r="K72" s="64">
        <f>I72*(1+KeyParameters!$B$37)*(1+KeyParameters!$B$34)</f>
        <v>8458.6012912780407</v>
      </c>
    </row>
    <row r="73" spans="1:11" s="19" customFormat="1" x14ac:dyDescent="0.25">
      <c r="A73" s="62">
        <v>64</v>
      </c>
      <c r="B73" s="128">
        <f t="shared" si="19"/>
        <v>63.470889999999997</v>
      </c>
      <c r="C73" s="128">
        <f t="shared" si="24"/>
        <v>15.098653721811003</v>
      </c>
      <c r="D73" s="64">
        <f t="shared" si="25"/>
        <v>14.979694720299999</v>
      </c>
      <c r="E73" s="64">
        <f t="shared" si="26"/>
        <v>176.1471343220062</v>
      </c>
      <c r="F73" s="117">
        <f t="shared" si="20"/>
        <v>54.983401013201728</v>
      </c>
      <c r="G73" s="117">
        <f>G72+(($B$39/100)^2*KeyParameters!$B$36*KeyParameters!$B$35*44/12)</f>
        <v>4537.7412840127026</v>
      </c>
      <c r="H73" s="112">
        <v>54.983401013201728</v>
      </c>
      <c r="I73" s="111">
        <f t="shared" si="7"/>
        <v>5694.0509285318949</v>
      </c>
      <c r="J73" s="63">
        <f t="shared" si="5"/>
        <v>8.8160558869488845</v>
      </c>
      <c r="K73" s="64">
        <f>I73*(1+KeyParameters!$B$37)*(1+KeyParameters!$B$34)</f>
        <v>8541.0763927978423</v>
      </c>
    </row>
    <row r="74" spans="1:11" s="19" customFormat="1" x14ac:dyDescent="0.25">
      <c r="A74" s="62">
        <v>65</v>
      </c>
      <c r="B74" s="128">
        <f t="shared" si="19"/>
        <v>63.470889999999997</v>
      </c>
      <c r="C74" s="128">
        <f t="shared" si="24"/>
        <v>15.098653721811003</v>
      </c>
      <c r="D74" s="64">
        <f t="shared" si="25"/>
        <v>14.979694720299999</v>
      </c>
      <c r="E74" s="64">
        <f t="shared" si="26"/>
        <v>176.1471343220062</v>
      </c>
      <c r="F74" s="117">
        <f t="shared" si="20"/>
        <v>54.983401013201728</v>
      </c>
      <c r="G74" s="117">
        <f>G73+(($B$39/100)^2*KeyParameters!$B$36*KeyParameters!$B$35*44/12)</f>
        <v>4592.7246850259044</v>
      </c>
      <c r="H74" s="112">
        <v>54.983401013201728</v>
      </c>
      <c r="I74" s="111">
        <f t="shared" si="7"/>
        <v>5749.0343295450966</v>
      </c>
      <c r="J74" s="63">
        <f t="shared" si="5"/>
        <v>8.9011862699171811</v>
      </c>
      <c r="K74" s="64">
        <f>I74*(1+KeyParameters!$B$37)*(1+KeyParameters!$B$34)</f>
        <v>8623.551494317644</v>
      </c>
    </row>
    <row r="75" spans="1:11" s="19" customFormat="1" x14ac:dyDescent="0.25">
      <c r="A75" s="62">
        <v>66</v>
      </c>
      <c r="B75" s="128">
        <f t="shared" si="19"/>
        <v>63.470889999999997</v>
      </c>
      <c r="C75" s="128">
        <f t="shared" si="24"/>
        <v>15.098653721811003</v>
      </c>
      <c r="D75" s="64">
        <f t="shared" si="25"/>
        <v>14.979694720299999</v>
      </c>
      <c r="E75" s="64">
        <f t="shared" si="26"/>
        <v>176.1471343220062</v>
      </c>
      <c r="F75" s="117">
        <f t="shared" si="20"/>
        <v>54.983401013201728</v>
      </c>
      <c r="G75" s="117">
        <f>G74+(($B$39/100)^2*KeyParameters!$B$36*KeyParameters!$B$35*44/12)</f>
        <v>4647.7080860391061</v>
      </c>
      <c r="H75" s="112">
        <v>54.983401013201728</v>
      </c>
      <c r="I75" s="111">
        <f t="shared" si="7"/>
        <v>5804.0177305582984</v>
      </c>
      <c r="J75" s="63">
        <f t="shared" ref="J75:J89" si="27">(I75/E75)*12/44</f>
        <v>8.9863166528854794</v>
      </c>
      <c r="K75" s="64">
        <f>I75*(1+KeyParameters!$B$37)*(1+KeyParameters!$B$34)</f>
        <v>8706.0265958374475</v>
      </c>
    </row>
    <row r="76" spans="1:11" s="19" customFormat="1" x14ac:dyDescent="0.25">
      <c r="A76" s="62">
        <v>67</v>
      </c>
      <c r="B76" s="128">
        <f t="shared" si="19"/>
        <v>63.470889999999997</v>
      </c>
      <c r="C76" s="128">
        <f t="shared" si="24"/>
        <v>15.098653721811003</v>
      </c>
      <c r="D76" s="64">
        <f t="shared" si="25"/>
        <v>14.979694720299999</v>
      </c>
      <c r="E76" s="64">
        <f t="shared" si="26"/>
        <v>176.1471343220062</v>
      </c>
      <c r="F76" s="117">
        <f t="shared" si="20"/>
        <v>54.983401013201728</v>
      </c>
      <c r="G76" s="117">
        <f>G75+(($B$39/100)^2*KeyParameters!$B$36*KeyParameters!$B$35*44/12)</f>
        <v>4702.6914870523078</v>
      </c>
      <c r="H76" s="112">
        <v>54.983401013201728</v>
      </c>
      <c r="I76" s="111">
        <f t="shared" ref="I76:I89" si="28">H76+I75</f>
        <v>5859.0011315715001</v>
      </c>
      <c r="J76" s="63">
        <f t="shared" si="27"/>
        <v>9.071447035853776</v>
      </c>
      <c r="K76" s="64">
        <f>I76*(1+KeyParameters!$B$37)*(1+KeyParameters!$B$34)</f>
        <v>8788.501697357251</v>
      </c>
    </row>
    <row r="77" spans="1:11" s="19" customFormat="1" x14ac:dyDescent="0.25">
      <c r="A77" s="62">
        <v>68</v>
      </c>
      <c r="B77" s="128">
        <f t="shared" si="19"/>
        <v>63.470889999999997</v>
      </c>
      <c r="C77" s="128">
        <f t="shared" si="24"/>
        <v>15.098653721811003</v>
      </c>
      <c r="D77" s="64">
        <f t="shared" si="25"/>
        <v>14.979694720299999</v>
      </c>
      <c r="E77" s="64">
        <f t="shared" si="26"/>
        <v>176.1471343220062</v>
      </c>
      <c r="F77" s="117">
        <f t="shared" si="20"/>
        <v>54.983401013201728</v>
      </c>
      <c r="G77" s="117">
        <f>G76+(($B$39/100)^2*KeyParameters!$B$36*KeyParameters!$B$35*44/12)</f>
        <v>4757.6748880655095</v>
      </c>
      <c r="H77" s="112">
        <v>54.983401013201728</v>
      </c>
      <c r="I77" s="111">
        <f t="shared" si="28"/>
        <v>5913.9845325847018</v>
      </c>
      <c r="J77" s="63">
        <f t="shared" si="27"/>
        <v>9.1565774188220743</v>
      </c>
      <c r="K77" s="64">
        <f>I77*(1+KeyParameters!$B$37)*(1+KeyParameters!$B$34)</f>
        <v>8870.9767988770527</v>
      </c>
    </row>
    <row r="78" spans="1:11" s="19" customFormat="1" x14ac:dyDescent="0.25">
      <c r="A78" s="62">
        <v>69</v>
      </c>
      <c r="B78" s="128">
        <f t="shared" si="19"/>
        <v>63.470889999999997</v>
      </c>
      <c r="C78" s="128">
        <f t="shared" si="24"/>
        <v>15.098653721811003</v>
      </c>
      <c r="D78" s="64">
        <f t="shared" si="25"/>
        <v>14.979694720299999</v>
      </c>
      <c r="E78" s="64">
        <f t="shared" si="26"/>
        <v>176.1471343220062</v>
      </c>
      <c r="F78" s="117">
        <f t="shared" si="20"/>
        <v>54.983401013201728</v>
      </c>
      <c r="G78" s="117">
        <f>G77+(($B$39/100)^2*KeyParameters!$B$36*KeyParameters!$B$35*44/12)</f>
        <v>4812.6582890787113</v>
      </c>
      <c r="H78" s="112">
        <v>54.983401013201728</v>
      </c>
      <c r="I78" s="111">
        <f t="shared" si="28"/>
        <v>5968.9679335979035</v>
      </c>
      <c r="J78" s="63">
        <f t="shared" si="27"/>
        <v>9.2417078017903709</v>
      </c>
      <c r="K78" s="64">
        <f>I78*(1+KeyParameters!$B$37)*(1+KeyParameters!$B$34)</f>
        <v>8953.4519003968544</v>
      </c>
    </row>
    <row r="79" spans="1:11" s="19" customFormat="1" x14ac:dyDescent="0.25">
      <c r="A79" s="62">
        <v>70</v>
      </c>
      <c r="B79" s="128">
        <f t="shared" si="19"/>
        <v>63.470889999999997</v>
      </c>
      <c r="C79" s="128">
        <f t="shared" si="24"/>
        <v>15.098653721811003</v>
      </c>
      <c r="D79" s="64">
        <f t="shared" si="25"/>
        <v>14.979694720299999</v>
      </c>
      <c r="E79" s="64">
        <f t="shared" si="26"/>
        <v>176.1471343220062</v>
      </c>
      <c r="F79" s="117">
        <f t="shared" si="20"/>
        <v>54.983401013201728</v>
      </c>
      <c r="G79" s="117">
        <f>G78+(($B$39/100)^2*KeyParameters!$B$36*KeyParameters!$B$35*44/12)</f>
        <v>4867.641690091913</v>
      </c>
      <c r="H79" s="112">
        <v>54.983401013201728</v>
      </c>
      <c r="I79" s="111">
        <f t="shared" si="28"/>
        <v>6023.9513346111053</v>
      </c>
      <c r="J79" s="63">
        <f t="shared" si="27"/>
        <v>9.3268381847586674</v>
      </c>
      <c r="K79" s="64">
        <f>I79*(1+KeyParameters!$B$37)*(1+KeyParameters!$B$34)</f>
        <v>9035.9270019166579</v>
      </c>
    </row>
    <row r="80" spans="1:11" s="19" customFormat="1" x14ac:dyDescent="0.25">
      <c r="A80" s="62">
        <v>71</v>
      </c>
      <c r="B80" s="128">
        <f t="shared" si="19"/>
        <v>63.470889999999997</v>
      </c>
      <c r="C80" s="128">
        <f t="shared" si="24"/>
        <v>15.098653721811003</v>
      </c>
      <c r="D80" s="64">
        <f t="shared" si="25"/>
        <v>14.979694720299999</v>
      </c>
      <c r="E80" s="64">
        <f t="shared" si="26"/>
        <v>176.1471343220062</v>
      </c>
      <c r="F80" s="117">
        <f t="shared" si="20"/>
        <v>54.983401013201728</v>
      </c>
      <c r="G80" s="117">
        <f>G79+(($B$39/100)^2*KeyParameters!$B$36*KeyParameters!$B$35*44/12)</f>
        <v>4922.6250911051147</v>
      </c>
      <c r="H80" s="112">
        <v>54.983401013201728</v>
      </c>
      <c r="I80" s="111">
        <f t="shared" si="28"/>
        <v>6078.934735624307</v>
      </c>
      <c r="J80" s="63">
        <f t="shared" si="27"/>
        <v>9.4119685677269658</v>
      </c>
      <c r="K80" s="64">
        <f>I80*(1+KeyParameters!$B$37)*(1+KeyParameters!$B$34)</f>
        <v>9118.4021034364614</v>
      </c>
    </row>
    <row r="81" spans="1:11" s="19" customFormat="1" x14ac:dyDescent="0.25">
      <c r="A81" s="62">
        <v>72</v>
      </c>
      <c r="B81" s="128">
        <f t="shared" si="19"/>
        <v>63.470889999999997</v>
      </c>
      <c r="C81" s="128">
        <f t="shared" si="24"/>
        <v>15.098653721811003</v>
      </c>
      <c r="D81" s="64">
        <f t="shared" si="25"/>
        <v>14.979694720299999</v>
      </c>
      <c r="E81" s="64">
        <f t="shared" si="26"/>
        <v>176.1471343220062</v>
      </c>
      <c r="F81" s="117">
        <f t="shared" si="20"/>
        <v>54.983401013201728</v>
      </c>
      <c r="G81" s="117">
        <f>G80+(($B$39/100)^2*KeyParameters!$B$36*KeyParameters!$B$35*44/12)</f>
        <v>4977.6084921183165</v>
      </c>
      <c r="H81" s="112">
        <v>54.983401013201728</v>
      </c>
      <c r="I81" s="111">
        <f t="shared" si="28"/>
        <v>6133.9181366375087</v>
      </c>
      <c r="J81" s="63">
        <f t="shared" si="27"/>
        <v>9.4970989506952606</v>
      </c>
      <c r="K81" s="64">
        <f>I81*(1+KeyParameters!$B$37)*(1+KeyParameters!$B$34)</f>
        <v>9200.8772049562631</v>
      </c>
    </row>
    <row r="82" spans="1:11" s="19" customFormat="1" x14ac:dyDescent="0.25">
      <c r="A82" s="62">
        <v>73</v>
      </c>
      <c r="B82" s="128">
        <f t="shared" si="19"/>
        <v>63.470889999999997</v>
      </c>
      <c r="C82" s="128">
        <f t="shared" ref="C82:C89" si="29" xml:space="preserve"> EXP(-0.20326+2.03912 * LN(
(LN(B82 + 1)+(0.03286/2))))</f>
        <v>15.098653721811003</v>
      </c>
      <c r="D82" s="64">
        <f t="shared" ref="D82:D89" si="30" xml:space="preserve"> 0.87202+0.22227 * B82</f>
        <v>14.979694720299999</v>
      </c>
      <c r="E82" s="64">
        <f t="shared" ref="E82:E89" si="31" xml:space="preserve"> 3.14*(D82/2)^2</f>
        <v>176.1471343220062</v>
      </c>
      <c r="F82" s="117">
        <f t="shared" si="20"/>
        <v>54.983401013201728</v>
      </c>
      <c r="G82" s="117">
        <f>G81+(($B$39/100)^2*KeyParameters!$B$36*KeyParameters!$B$35*44/12)</f>
        <v>5032.5918931315182</v>
      </c>
      <c r="H82" s="112">
        <v>54.983401013201728</v>
      </c>
      <c r="I82" s="111">
        <f t="shared" si="28"/>
        <v>6188.9015376507105</v>
      </c>
      <c r="J82" s="63">
        <f t="shared" si="27"/>
        <v>9.5822293336635589</v>
      </c>
      <c r="K82" s="64">
        <f>I82*(1+KeyParameters!$B$37)*(1+KeyParameters!$B$34)</f>
        <v>9283.3523064760648</v>
      </c>
    </row>
    <row r="83" spans="1:11" s="19" customFormat="1" x14ac:dyDescent="0.25">
      <c r="A83" s="62">
        <v>74</v>
      </c>
      <c r="B83" s="128">
        <f t="shared" si="19"/>
        <v>63.470889999999997</v>
      </c>
      <c r="C83" s="128">
        <f t="shared" si="29"/>
        <v>15.098653721811003</v>
      </c>
      <c r="D83" s="64">
        <f t="shared" si="30"/>
        <v>14.979694720299999</v>
      </c>
      <c r="E83" s="64">
        <f t="shared" si="31"/>
        <v>176.1471343220062</v>
      </c>
      <c r="F83" s="117">
        <f t="shared" si="20"/>
        <v>54.983401013201728</v>
      </c>
      <c r="G83" s="117">
        <f>G82+(($B$39/100)^2*KeyParameters!$B$36*KeyParameters!$B$35*44/12)</f>
        <v>5087.5752941447199</v>
      </c>
      <c r="H83" s="112">
        <v>54.983401013201728</v>
      </c>
      <c r="I83" s="111">
        <f t="shared" si="28"/>
        <v>6243.8849386639122</v>
      </c>
      <c r="J83" s="63">
        <f t="shared" si="27"/>
        <v>9.6673597166318554</v>
      </c>
      <c r="K83" s="64">
        <f>I83*(1+KeyParameters!$B$37)*(1+KeyParameters!$B$34)</f>
        <v>9365.8274079958683</v>
      </c>
    </row>
    <row r="84" spans="1:11" s="19" customFormat="1" x14ac:dyDescent="0.25">
      <c r="A84" s="62">
        <v>75</v>
      </c>
      <c r="B84" s="128">
        <f t="shared" si="19"/>
        <v>63.470889999999997</v>
      </c>
      <c r="C84" s="128">
        <f t="shared" si="29"/>
        <v>15.098653721811003</v>
      </c>
      <c r="D84" s="64">
        <f t="shared" si="30"/>
        <v>14.979694720299999</v>
      </c>
      <c r="E84" s="64">
        <f t="shared" si="31"/>
        <v>176.1471343220062</v>
      </c>
      <c r="F84" s="117">
        <f t="shared" si="20"/>
        <v>54.983401013201728</v>
      </c>
      <c r="G84" s="117">
        <f>G83+(($B$39/100)^2*KeyParameters!$B$36*KeyParameters!$B$35*44/12)</f>
        <v>5142.5586951579216</v>
      </c>
      <c r="H84" s="112">
        <v>54.983401013201728</v>
      </c>
      <c r="I84" s="111">
        <f t="shared" si="28"/>
        <v>6298.8683396771139</v>
      </c>
      <c r="J84" s="63">
        <f t="shared" si="27"/>
        <v>9.7524900996001538</v>
      </c>
      <c r="K84" s="64">
        <f>I84*(1+KeyParameters!$B$37)*(1+KeyParameters!$B$34)</f>
        <v>9448.3025095156718</v>
      </c>
    </row>
    <row r="85" spans="1:11" s="19" customFormat="1" x14ac:dyDescent="0.25">
      <c r="A85" s="62">
        <v>76</v>
      </c>
      <c r="B85" s="128">
        <f t="shared" si="19"/>
        <v>63.470889999999997</v>
      </c>
      <c r="C85" s="128">
        <f t="shared" si="29"/>
        <v>15.098653721811003</v>
      </c>
      <c r="D85" s="64">
        <f t="shared" si="30"/>
        <v>14.979694720299999</v>
      </c>
      <c r="E85" s="64">
        <f t="shared" si="31"/>
        <v>176.1471343220062</v>
      </c>
      <c r="F85" s="117">
        <f t="shared" si="20"/>
        <v>54.983401013201728</v>
      </c>
      <c r="G85" s="117">
        <f>G84+(($B$39/100)^2*KeyParameters!$B$36*KeyParameters!$B$35*44/12)</f>
        <v>5197.5420961711234</v>
      </c>
      <c r="H85" s="112">
        <v>54.983401013201728</v>
      </c>
      <c r="I85" s="111">
        <f t="shared" si="28"/>
        <v>6353.8517406903156</v>
      </c>
      <c r="J85" s="63">
        <f t="shared" si="27"/>
        <v>9.8376204825684521</v>
      </c>
      <c r="K85" s="64">
        <f>I85*(1+KeyParameters!$B$37)*(1+KeyParameters!$B$34)</f>
        <v>9530.7776110354735</v>
      </c>
    </row>
    <row r="86" spans="1:11" s="19" customFormat="1" x14ac:dyDescent="0.25">
      <c r="A86" s="62">
        <v>77</v>
      </c>
      <c r="B86" s="128">
        <f t="shared" si="19"/>
        <v>63.470889999999997</v>
      </c>
      <c r="C86" s="128">
        <f t="shared" si="29"/>
        <v>15.098653721811003</v>
      </c>
      <c r="D86" s="64">
        <f t="shared" si="30"/>
        <v>14.979694720299999</v>
      </c>
      <c r="E86" s="64">
        <f t="shared" si="31"/>
        <v>176.1471343220062</v>
      </c>
      <c r="F86" s="117">
        <f t="shared" si="20"/>
        <v>54.983401013201728</v>
      </c>
      <c r="G86" s="117">
        <f>G85+(($B$39/100)^2*KeyParameters!$B$36*KeyParameters!$B$35*44/12)</f>
        <v>5252.5254971843251</v>
      </c>
      <c r="H86" s="112">
        <v>54.983401013201728</v>
      </c>
      <c r="I86" s="111">
        <f t="shared" si="28"/>
        <v>6408.8351417035174</v>
      </c>
      <c r="J86" s="63">
        <f t="shared" si="27"/>
        <v>9.9227508655367487</v>
      </c>
      <c r="K86" s="64">
        <f>I86*(1+KeyParameters!$B$37)*(1+KeyParameters!$B$34)</f>
        <v>9613.2527125552751</v>
      </c>
    </row>
    <row r="87" spans="1:11" s="19" customFormat="1" x14ac:dyDescent="0.25">
      <c r="A87" s="62">
        <v>78</v>
      </c>
      <c r="B87" s="128">
        <f t="shared" si="19"/>
        <v>63.470889999999997</v>
      </c>
      <c r="C87" s="128">
        <f t="shared" si="29"/>
        <v>15.098653721811003</v>
      </c>
      <c r="D87" s="64">
        <f t="shared" si="30"/>
        <v>14.979694720299999</v>
      </c>
      <c r="E87" s="64">
        <f t="shared" si="31"/>
        <v>176.1471343220062</v>
      </c>
      <c r="F87" s="117">
        <f t="shared" si="20"/>
        <v>54.983401013201728</v>
      </c>
      <c r="G87" s="117">
        <f>G86+(($B$39/100)^2*KeyParameters!$B$36*KeyParameters!$B$35*44/12)</f>
        <v>5307.5088981975268</v>
      </c>
      <c r="H87" s="112">
        <v>54.983401013201728</v>
      </c>
      <c r="I87" s="111">
        <f t="shared" si="28"/>
        <v>6463.8185427167191</v>
      </c>
      <c r="J87" s="63">
        <f t="shared" si="27"/>
        <v>10.007881248505045</v>
      </c>
      <c r="K87" s="64">
        <f>I87*(1+KeyParameters!$B$37)*(1+KeyParameters!$B$34)</f>
        <v>9695.7278140750786</v>
      </c>
    </row>
    <row r="88" spans="1:11" s="19" customFormat="1" x14ac:dyDescent="0.25">
      <c r="A88" s="62">
        <v>79</v>
      </c>
      <c r="B88" s="128">
        <f t="shared" si="19"/>
        <v>63.470889999999997</v>
      </c>
      <c r="C88" s="128">
        <f t="shared" si="29"/>
        <v>15.098653721811003</v>
      </c>
      <c r="D88" s="64">
        <f t="shared" si="30"/>
        <v>14.979694720299999</v>
      </c>
      <c r="E88" s="64">
        <f t="shared" si="31"/>
        <v>176.1471343220062</v>
      </c>
      <c r="F88" s="117">
        <f t="shared" si="20"/>
        <v>54.983401013201728</v>
      </c>
      <c r="G88" s="117">
        <f>G87+(($B$39/100)^2*KeyParameters!$B$36*KeyParameters!$B$35*44/12)</f>
        <v>5362.4922992107286</v>
      </c>
      <c r="H88" s="112">
        <v>54.983401013201728</v>
      </c>
      <c r="I88" s="111">
        <f t="shared" si="28"/>
        <v>6518.8019437299208</v>
      </c>
      <c r="J88" s="63">
        <f t="shared" si="27"/>
        <v>10.093011631473342</v>
      </c>
      <c r="K88" s="64">
        <f>I88*(1+KeyParameters!$B$37)*(1+KeyParameters!$B$34)</f>
        <v>9778.2029155948821</v>
      </c>
    </row>
    <row r="89" spans="1:11" s="19" customFormat="1" x14ac:dyDescent="0.25">
      <c r="A89" s="62">
        <v>80</v>
      </c>
      <c r="B89" s="128">
        <f t="shared" si="19"/>
        <v>63.470889999999997</v>
      </c>
      <c r="C89" s="128">
        <f t="shared" si="29"/>
        <v>15.098653721811003</v>
      </c>
      <c r="D89" s="64">
        <f t="shared" si="30"/>
        <v>14.979694720299999</v>
      </c>
      <c r="E89" s="64">
        <f t="shared" si="31"/>
        <v>176.1471343220062</v>
      </c>
      <c r="F89" s="117">
        <f t="shared" si="20"/>
        <v>54.983401013201728</v>
      </c>
      <c r="G89" s="117">
        <f>G88+(($B$39/100)^2*KeyParameters!$B$36*KeyParameters!$B$35*44/12)</f>
        <v>5417.4757002239303</v>
      </c>
      <c r="H89" s="112">
        <v>54.983401013201728</v>
      </c>
      <c r="I89" s="111">
        <f t="shared" si="28"/>
        <v>6573.7853447431226</v>
      </c>
      <c r="J89" s="63">
        <f t="shared" si="27"/>
        <v>10.17814201444164</v>
      </c>
      <c r="K89" s="64">
        <f>I89*(1+KeyParameters!$B$37)*(1+KeyParameters!$B$34)</f>
        <v>9860.6780171146838</v>
      </c>
    </row>
    <row r="90" spans="1:11" x14ac:dyDescent="0.25">
      <c r="J90" s="2"/>
    </row>
    <row r="91" spans="1:11" x14ac:dyDescent="0.25">
      <c r="J91" s="2"/>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B9304-382C-4643-8A62-2FEA1EC20326}">
  <sheetPr codeName="Sheet13"/>
  <dimension ref="A1:T107"/>
  <sheetViews>
    <sheetView topLeftCell="B1" zoomScale="80" zoomScaleNormal="80" workbookViewId="0">
      <selection activeCell="F52" sqref="F52"/>
    </sheetView>
  </sheetViews>
  <sheetFormatPr defaultRowHeight="15" x14ac:dyDescent="0.25"/>
  <cols>
    <col min="1" max="1" width="26.7109375" customWidth="1"/>
    <col min="2" max="3" width="24.140625" bestFit="1" customWidth="1"/>
    <col min="4" max="4" width="12" bestFit="1" customWidth="1"/>
    <col min="5" max="5" width="12.140625" bestFit="1" customWidth="1"/>
    <col min="6" max="6" width="25" bestFit="1" customWidth="1"/>
    <col min="7" max="9" width="35" customWidth="1"/>
    <col min="10" max="10" width="26" style="36" customWidth="1"/>
    <col min="11" max="11" width="23.140625" customWidth="1"/>
  </cols>
  <sheetData>
    <row r="1" spans="1:20" x14ac:dyDescent="0.25">
      <c r="A1" s="21" t="s">
        <v>15</v>
      </c>
      <c r="B1" s="21" t="s">
        <v>29</v>
      </c>
      <c r="C1" s="50" t="s">
        <v>133</v>
      </c>
    </row>
    <row r="2" spans="1:20" x14ac:dyDescent="0.25">
      <c r="A2" s="8"/>
    </row>
    <row r="3" spans="1:20" ht="15.75" thickBot="1" x14ac:dyDescent="0.3">
      <c r="A3" s="8"/>
      <c r="B3" s="8"/>
      <c r="C3" s="8"/>
    </row>
    <row r="4" spans="1:20" s="19" customFormat="1" ht="60" x14ac:dyDescent="0.25">
      <c r="A4" s="106" t="s">
        <v>13</v>
      </c>
      <c r="B4" s="107" t="s">
        <v>12</v>
      </c>
      <c r="C4" s="108" t="s">
        <v>11</v>
      </c>
      <c r="D4" s="108" t="s">
        <v>10</v>
      </c>
      <c r="E4" s="108" t="s">
        <v>9</v>
      </c>
      <c r="F4" s="107" t="s">
        <v>8</v>
      </c>
      <c r="G4" s="107" t="s">
        <v>7</v>
      </c>
      <c r="H4" s="107" t="s">
        <v>84</v>
      </c>
      <c r="I4" s="107" t="s">
        <v>83</v>
      </c>
      <c r="J4" s="108" t="s">
        <v>6</v>
      </c>
      <c r="K4" s="108" t="s">
        <v>230</v>
      </c>
    </row>
    <row r="5" spans="1:20" ht="17.25" x14ac:dyDescent="0.25">
      <c r="A5" s="109" t="s">
        <v>5</v>
      </c>
      <c r="B5" s="109" t="s">
        <v>4</v>
      </c>
      <c r="C5" s="110" t="s">
        <v>3</v>
      </c>
      <c r="D5" s="110" t="s">
        <v>3</v>
      </c>
      <c r="E5" s="110" t="s">
        <v>2</v>
      </c>
      <c r="F5" s="109" t="s">
        <v>1</v>
      </c>
      <c r="G5" s="109" t="s">
        <v>0</v>
      </c>
      <c r="H5" s="109" t="s">
        <v>1</v>
      </c>
      <c r="I5" s="109" t="s">
        <v>0</v>
      </c>
      <c r="J5" s="111"/>
      <c r="K5" s="109" t="s">
        <v>0</v>
      </c>
      <c r="M5" s="19"/>
      <c r="N5" s="19"/>
      <c r="O5" s="19"/>
      <c r="P5" s="19"/>
      <c r="Q5" s="19"/>
      <c r="R5" s="19"/>
      <c r="S5" s="19"/>
      <c r="T5" s="19"/>
    </row>
    <row r="6" spans="1:20" x14ac:dyDescent="0.25">
      <c r="A6" s="61">
        <v>1</v>
      </c>
      <c r="B6" s="111">
        <f>(2.44092 + 0.99003 * A6)</f>
        <v>3.4309500000000002</v>
      </c>
      <c r="C6" s="111">
        <f>2.26166 + 0.36074 * B6 -
0.00147 * B6^2</f>
        <v>3.4820369186833253</v>
      </c>
      <c r="D6" s="111">
        <f xml:space="preserve"> 1.60609 + 0.15719 * B6 - 0.00044 * B6^2</f>
        <v>2.1402216066228998</v>
      </c>
      <c r="E6" s="111">
        <f t="shared" ref="E6:E69" si="0" xml:space="preserve">  3.14*(D6/2)^2</f>
        <v>3.5957305924825733</v>
      </c>
      <c r="F6" s="112">
        <f>0.8842 * C6^2 - 5.447 * C6 + 12.941</f>
        <v>4.6948995152696629</v>
      </c>
      <c r="G6" s="111">
        <f>F6</f>
        <v>4.6948995152696629</v>
      </c>
      <c r="H6" s="111">
        <f>F6</f>
        <v>4.6948995152696629</v>
      </c>
      <c r="I6" s="111">
        <f>G6</f>
        <v>4.6948995152696629</v>
      </c>
      <c r="J6" s="63">
        <f>(I6/E6)*12/44</f>
        <v>0.35609651713201745</v>
      </c>
      <c r="K6" s="64">
        <f>I6*(1+KeyParameters!$B$37)*(1+KeyParameters!$B$34)</f>
        <v>7.0423492729044934</v>
      </c>
    </row>
    <row r="7" spans="1:20" x14ac:dyDescent="0.25">
      <c r="A7" s="61">
        <v>2</v>
      </c>
      <c r="B7" s="111">
        <f t="shared" ref="B7:B73" si="1">(2.44092 + 0.99003 * A7)</f>
        <v>4.4209800000000001</v>
      </c>
      <c r="C7" s="111">
        <f t="shared" ref="C7:C73" si="2">2.26166 + 0.36074 * B7 -
0.00147 * B7^2</f>
        <v>3.8277530808842122</v>
      </c>
      <c r="D7" s="111">
        <f t="shared" ref="D7:D70" si="3" xml:space="preserve"> 1.60609 + 0.15719 * B7 - 0.00044 * B7^2</f>
        <v>2.2924240179694242</v>
      </c>
      <c r="E7" s="111">
        <f t="shared" si="0"/>
        <v>4.125338184358017</v>
      </c>
      <c r="F7" s="62">
        <f>0.8842 * C7^2 - 5.447 * C7 + 12.941</f>
        <v>5.0462564921785642</v>
      </c>
      <c r="G7" s="111">
        <f>G6+F7</f>
        <v>9.7411560074482271</v>
      </c>
      <c r="H7" s="111">
        <f t="shared" ref="H7:H70" si="4">F7</f>
        <v>5.0462564921785642</v>
      </c>
      <c r="I7" s="111">
        <f t="shared" ref="I7:I70" si="5">G7</f>
        <v>9.7411560074482271</v>
      </c>
      <c r="J7" s="63">
        <f t="shared" ref="J7:J70" si="6">(I7/E7)*12/44</f>
        <v>0.64399057541404325</v>
      </c>
      <c r="K7" s="64">
        <f>I7*(1+KeyParameters!$B$37)*(1+KeyParameters!$B$34)</f>
        <v>14.61173401117234</v>
      </c>
    </row>
    <row r="8" spans="1:20" x14ac:dyDescent="0.25">
      <c r="A8" s="61">
        <v>3</v>
      </c>
      <c r="B8" s="111">
        <f t="shared" si="1"/>
        <v>5.4110100000000001</v>
      </c>
      <c r="C8" s="111">
        <f t="shared" si="2"/>
        <v>4.1705875744464533</v>
      </c>
      <c r="D8" s="111">
        <f t="shared" si="3"/>
        <v>2.4437638890431557</v>
      </c>
      <c r="E8" s="111">
        <f t="shared" si="0"/>
        <v>4.6880058271321934</v>
      </c>
      <c r="F8" s="62">
        <f t="shared" ref="F8:F70" si="7">0.8842 * C8^2 - 5.447 * C8 + 12.941</f>
        <v>5.6034080751897939</v>
      </c>
      <c r="G8" s="111">
        <f>G7+F8</f>
        <v>15.344564082638021</v>
      </c>
      <c r="H8" s="111">
        <f t="shared" si="4"/>
        <v>5.6034080751897939</v>
      </c>
      <c r="I8" s="111">
        <f t="shared" si="5"/>
        <v>15.344564082638021</v>
      </c>
      <c r="J8" s="63">
        <f t="shared" si="6"/>
        <v>0.89267830880806764</v>
      </c>
      <c r="K8" s="64">
        <f>I8*(1+KeyParameters!$B$37)*(1+KeyParameters!$B$34)</f>
        <v>23.016846123957031</v>
      </c>
    </row>
    <row r="9" spans="1:20" x14ac:dyDescent="0.25">
      <c r="A9" s="61">
        <v>4</v>
      </c>
      <c r="B9" s="111">
        <f t="shared" si="1"/>
        <v>6.4010400000000001</v>
      </c>
      <c r="C9" s="111">
        <f t="shared" si="2"/>
        <v>4.5105403993700488</v>
      </c>
      <c r="D9" s="111">
        <f t="shared" si="3"/>
        <v>2.5942412198440961</v>
      </c>
      <c r="E9" s="111">
        <f t="shared" si="0"/>
        <v>5.2831186927894738</v>
      </c>
      <c r="F9" s="62">
        <f t="shared" si="7"/>
        <v>6.3611130693750102</v>
      </c>
      <c r="G9" s="111">
        <f t="shared" ref="G9:G71" si="8">G8+F9</f>
        <v>21.705677152013031</v>
      </c>
      <c r="H9" s="111">
        <f t="shared" si="4"/>
        <v>6.3611130693750102</v>
      </c>
      <c r="I9" s="111">
        <f t="shared" si="5"/>
        <v>21.705677152013031</v>
      </c>
      <c r="J9" s="63">
        <f t="shared" si="6"/>
        <v>1.120499174180315</v>
      </c>
      <c r="K9" s="64">
        <f>I9*(1+KeyParameters!$B$37)*(1+KeyParameters!$B$34)</f>
        <v>32.55851572801955</v>
      </c>
    </row>
    <row r="10" spans="1:20" x14ac:dyDescent="0.25">
      <c r="A10" s="61">
        <v>5</v>
      </c>
      <c r="B10" s="111">
        <f t="shared" si="1"/>
        <v>7.39107</v>
      </c>
      <c r="C10" s="111">
        <f t="shared" si="2"/>
        <v>4.8476115556549972</v>
      </c>
      <c r="D10" s="111">
        <f t="shared" si="3"/>
        <v>2.743856010372244</v>
      </c>
      <c r="E10" s="111">
        <f t="shared" si="0"/>
        <v>5.910065457439873</v>
      </c>
      <c r="F10" s="62">
        <f t="shared" si="7"/>
        <v>7.3141743342616952</v>
      </c>
      <c r="G10" s="111">
        <f t="shared" si="8"/>
        <v>29.019851486274725</v>
      </c>
      <c r="H10" s="111">
        <f t="shared" si="4"/>
        <v>7.3141743342616952</v>
      </c>
      <c r="I10" s="111">
        <f t="shared" si="5"/>
        <v>29.019851486274725</v>
      </c>
      <c r="J10" s="63">
        <f t="shared" si="6"/>
        <v>1.3391569023722132</v>
      </c>
      <c r="K10" s="64">
        <f>I10*(1+KeyParameters!$B$37)*(1+KeyParameters!$B$34)</f>
        <v>43.529777229412083</v>
      </c>
    </row>
    <row r="11" spans="1:20" x14ac:dyDescent="0.25">
      <c r="A11" s="61">
        <v>6</v>
      </c>
      <c r="B11" s="111">
        <f t="shared" si="1"/>
        <v>8.3811</v>
      </c>
      <c r="C11" s="111">
        <f t="shared" si="2"/>
        <v>5.1818010433013004</v>
      </c>
      <c r="D11" s="111">
        <f t="shared" si="3"/>
        <v>2.8926082606276</v>
      </c>
      <c r="E11" s="111">
        <f t="shared" si="0"/>
        <v>6.5682383013190586</v>
      </c>
      <c r="F11" s="62">
        <f t="shared" si="7"/>
        <v>8.4574387838331564</v>
      </c>
      <c r="G11" s="111">
        <f t="shared" si="8"/>
        <v>37.477290270107879</v>
      </c>
      <c r="H11" s="111">
        <f t="shared" si="4"/>
        <v>8.4574387838331564</v>
      </c>
      <c r="I11" s="111">
        <f t="shared" si="5"/>
        <v>37.477290270107879</v>
      </c>
      <c r="J11" s="63">
        <f t="shared" si="6"/>
        <v>1.5561370790280618</v>
      </c>
      <c r="K11" s="64">
        <f>I11*(1+KeyParameters!$B$37)*(1+KeyParameters!$B$34)</f>
        <v>56.215935405161822</v>
      </c>
    </row>
    <row r="12" spans="1:20" x14ac:dyDescent="0.25">
      <c r="A12" s="61">
        <v>7</v>
      </c>
      <c r="B12" s="111">
        <f t="shared" si="1"/>
        <v>9.3711300000000008</v>
      </c>
      <c r="C12" s="111">
        <f t="shared" si="2"/>
        <v>5.5131088623089575</v>
      </c>
      <c r="D12" s="111">
        <f t="shared" si="3"/>
        <v>3.0404979706101645</v>
      </c>
      <c r="E12" s="111">
        <f t="shared" si="0"/>
        <v>7.2570329087883545</v>
      </c>
      <c r="F12" s="62">
        <f t="shared" si="7"/>
        <v>9.7857973865285413</v>
      </c>
      <c r="G12" s="111">
        <f t="shared" si="8"/>
        <v>47.263087656636422</v>
      </c>
      <c r="H12" s="111">
        <f t="shared" si="4"/>
        <v>9.7857973865285413</v>
      </c>
      <c r="I12" s="111">
        <f t="shared" si="5"/>
        <v>47.263087656636422</v>
      </c>
      <c r="J12" s="63">
        <f t="shared" si="6"/>
        <v>1.7761987797595096</v>
      </c>
      <c r="K12" s="64">
        <f>I12*(1+KeyParameters!$B$37)*(1+KeyParameters!$B$34)</f>
        <v>70.89463148495463</v>
      </c>
    </row>
    <row r="13" spans="1:20" x14ac:dyDescent="0.25">
      <c r="A13" s="61">
        <v>8</v>
      </c>
      <c r="B13" s="111">
        <f t="shared" si="1"/>
        <v>10.36116</v>
      </c>
      <c r="C13" s="111">
        <f t="shared" si="2"/>
        <v>5.8415350126779684</v>
      </c>
      <c r="D13" s="111">
        <f t="shared" si="3"/>
        <v>3.1875251403199361</v>
      </c>
      <c r="E13" s="111">
        <f t="shared" si="0"/>
        <v>7.9758484683347284</v>
      </c>
      <c r="F13" s="62">
        <f t="shared" si="7"/>
        <v>11.294185165242824</v>
      </c>
      <c r="G13" s="111">
        <f t="shared" si="8"/>
        <v>58.557272821879245</v>
      </c>
      <c r="H13" s="111">
        <f t="shared" si="4"/>
        <v>11.294185165242824</v>
      </c>
      <c r="I13" s="111">
        <f t="shared" si="5"/>
        <v>58.557272821879245</v>
      </c>
      <c r="J13" s="63">
        <f t="shared" si="6"/>
        <v>2.0023155377715414</v>
      </c>
      <c r="K13" s="64">
        <f>I13*(1+KeyParameters!$B$37)*(1+KeyParameters!$B$34)</f>
        <v>87.835909232818864</v>
      </c>
    </row>
    <row r="14" spans="1:20" x14ac:dyDescent="0.25">
      <c r="A14" s="61">
        <v>9</v>
      </c>
      <c r="B14" s="111">
        <f t="shared" si="1"/>
        <v>11.351190000000001</v>
      </c>
      <c r="C14" s="111">
        <f t="shared" si="2"/>
        <v>6.167079494408334</v>
      </c>
      <c r="D14" s="111">
        <f t="shared" si="3"/>
        <v>3.3336897697569161</v>
      </c>
      <c r="E14" s="111">
        <f t="shared" si="0"/>
        <v>8.724087672570807</v>
      </c>
      <c r="F14" s="62">
        <f t="shared" si="7"/>
        <v>12.977581197326819</v>
      </c>
      <c r="G14" s="111">
        <f t="shared" si="8"/>
        <v>71.534854019206065</v>
      </c>
      <c r="H14" s="111">
        <f t="shared" si="4"/>
        <v>12.977581197326819</v>
      </c>
      <c r="I14" s="111">
        <f t="shared" si="5"/>
        <v>71.534854019206065</v>
      </c>
      <c r="J14" s="63">
        <f t="shared" si="6"/>
        <v>2.2362803279638075</v>
      </c>
      <c r="K14" s="64">
        <f>I14*(1+KeyParameters!$B$37)*(1+KeyParameters!$B$34)</f>
        <v>107.30228102880911</v>
      </c>
    </row>
    <row r="15" spans="1:20" x14ac:dyDescent="0.25">
      <c r="A15" s="61">
        <v>10</v>
      </c>
      <c r="B15" s="111">
        <f t="shared" si="1"/>
        <v>12.34122</v>
      </c>
      <c r="C15" s="111">
        <f t="shared" si="2"/>
        <v>6.4897423075000518</v>
      </c>
      <c r="D15" s="111">
        <f t="shared" si="3"/>
        <v>3.4789918589211037</v>
      </c>
      <c r="E15" s="111">
        <f t="shared" si="0"/>
        <v>9.5011567182348635</v>
      </c>
      <c r="F15" s="62">
        <f t="shared" si="7"/>
        <v>14.831008614587153</v>
      </c>
      <c r="G15" s="111">
        <f t="shared" si="8"/>
        <v>86.365862633793213</v>
      </c>
      <c r="H15" s="111">
        <f t="shared" si="4"/>
        <v>14.831008614587153</v>
      </c>
      <c r="I15" s="111">
        <f t="shared" si="5"/>
        <v>86.365862633793213</v>
      </c>
      <c r="J15" s="63">
        <f t="shared" si="6"/>
        <v>2.4791009001721473</v>
      </c>
      <c r="K15" s="64">
        <f>I15*(1+KeyParameters!$B$37)*(1+KeyParameters!$B$34)</f>
        <v>129.5487939506898</v>
      </c>
    </row>
    <row r="16" spans="1:20" x14ac:dyDescent="0.25">
      <c r="A16" s="61">
        <v>11</v>
      </c>
      <c r="B16" s="111">
        <f t="shared" si="1"/>
        <v>13.331249999999999</v>
      </c>
      <c r="C16" s="111">
        <f t="shared" si="2"/>
        <v>6.8095234519531251</v>
      </c>
      <c r="D16" s="111">
        <f t="shared" si="3"/>
        <v>3.6234314078124994</v>
      </c>
      <c r="E16" s="111">
        <f t="shared" si="0"/>
        <v>10.306465306190827</v>
      </c>
      <c r="F16" s="62">
        <f t="shared" si="7"/>
        <v>16.849534603286322</v>
      </c>
      <c r="G16" s="111">
        <f t="shared" si="8"/>
        <v>103.21539723707954</v>
      </c>
      <c r="H16" s="111">
        <f t="shared" si="4"/>
        <v>16.849534603286322</v>
      </c>
      <c r="I16" s="111">
        <f t="shared" si="5"/>
        <v>103.21539723707954</v>
      </c>
      <c r="J16" s="63">
        <f t="shared" si="6"/>
        <v>2.7312616843547728</v>
      </c>
      <c r="K16" s="64">
        <f>I16*(1+KeyParameters!$B$37)*(1+KeyParameters!$B$34)</f>
        <v>154.8230958556193</v>
      </c>
    </row>
    <row r="17" spans="1:11" x14ac:dyDescent="0.25">
      <c r="A17" s="61">
        <v>12</v>
      </c>
      <c r="B17" s="111">
        <f t="shared" si="1"/>
        <v>14.32128</v>
      </c>
      <c r="C17" s="111">
        <f t="shared" si="2"/>
        <v>7.1264229277675524</v>
      </c>
      <c r="D17" s="111">
        <f t="shared" si="3"/>
        <v>3.7670084164311035</v>
      </c>
      <c r="E17" s="111">
        <f t="shared" si="0"/>
        <v>11.139426641428274</v>
      </c>
      <c r="F17" s="62">
        <f t="shared" si="7"/>
        <v>19.028270404142603</v>
      </c>
      <c r="G17" s="111">
        <f t="shared" si="8"/>
        <v>122.24366764122215</v>
      </c>
      <c r="H17" s="111">
        <f t="shared" si="4"/>
        <v>19.028270404142603</v>
      </c>
      <c r="I17" s="111">
        <f t="shared" si="5"/>
        <v>122.24366764122215</v>
      </c>
      <c r="J17" s="63">
        <f t="shared" si="6"/>
        <v>2.9928992898053677</v>
      </c>
      <c r="K17" s="64">
        <f>I17*(1+KeyParameters!$B$37)*(1+KeyParameters!$B$34)</f>
        <v>183.36550146183322</v>
      </c>
    </row>
    <row r="18" spans="1:11" x14ac:dyDescent="0.25">
      <c r="A18" s="61">
        <v>13</v>
      </c>
      <c r="B18" s="111">
        <f t="shared" si="1"/>
        <v>15.311310000000001</v>
      </c>
      <c r="C18" s="111">
        <f t="shared" si="2"/>
        <v>7.4404407349433335</v>
      </c>
      <c r="D18" s="111">
        <f t="shared" si="3"/>
        <v>3.9097228847769161</v>
      </c>
      <c r="E18" s="111">
        <f t="shared" si="0"/>
        <v>11.999457433062441</v>
      </c>
      <c r="F18" s="62">
        <f t="shared" si="7"/>
        <v>21.362371312330119</v>
      </c>
      <c r="G18" s="111">
        <f t="shared" si="8"/>
        <v>143.60603895355226</v>
      </c>
      <c r="H18" s="111">
        <f t="shared" si="4"/>
        <v>21.362371312330119</v>
      </c>
      <c r="I18" s="111">
        <f t="shared" si="5"/>
        <v>143.60603895355226</v>
      </c>
      <c r="J18" s="63">
        <f t="shared" si="6"/>
        <v>3.2639211872243155</v>
      </c>
      <c r="K18" s="64">
        <f>I18*(1+KeyParameters!$B$37)*(1+KeyParameters!$B$34)</f>
        <v>215.40905843032837</v>
      </c>
    </row>
    <row r="19" spans="1:11" x14ac:dyDescent="0.25">
      <c r="A19" s="61">
        <v>14</v>
      </c>
      <c r="B19" s="111">
        <f t="shared" si="1"/>
        <v>16.30134</v>
      </c>
      <c r="C19" s="111">
        <f t="shared" si="2"/>
        <v>7.7515768734804693</v>
      </c>
      <c r="D19" s="111">
        <f t="shared" si="3"/>
        <v>4.0515748128499354</v>
      </c>
      <c r="E19" s="111">
        <f t="shared" si="0"/>
        <v>12.885977894334193</v>
      </c>
      <c r="F19" s="62">
        <f t="shared" si="7"/>
        <v>23.847036677478862</v>
      </c>
      <c r="G19" s="111">
        <f t="shared" si="8"/>
        <v>167.45307563103111</v>
      </c>
      <c r="H19" s="111">
        <f t="shared" si="4"/>
        <v>23.847036677478862</v>
      </c>
      <c r="I19" s="111">
        <f t="shared" si="5"/>
        <v>167.45307563103111</v>
      </c>
      <c r="J19" s="63">
        <f t="shared" si="6"/>
        <v>3.54408652576728</v>
      </c>
      <c r="K19" s="64">
        <f>I19*(1+KeyParameters!$B$37)*(1+KeyParameters!$B$34)</f>
        <v>251.17961344654665</v>
      </c>
    </row>
    <row r="20" spans="1:11" x14ac:dyDescent="0.25">
      <c r="A20" s="61">
        <v>15</v>
      </c>
      <c r="B20" s="111">
        <f t="shared" si="1"/>
        <v>17.291370000000001</v>
      </c>
      <c r="C20" s="111">
        <f t="shared" si="2"/>
        <v>8.0598313433789581</v>
      </c>
      <c r="D20" s="111">
        <f t="shared" si="3"/>
        <v>4.1925642006501649</v>
      </c>
      <c r="E20" s="111">
        <f t="shared" si="0"/>
        <v>13.798411742610087</v>
      </c>
      <c r="F20" s="62">
        <f t="shared" si="7"/>
        <v>26.477509903674616</v>
      </c>
      <c r="G20" s="111">
        <f t="shared" si="8"/>
        <v>193.93058553470573</v>
      </c>
      <c r="H20" s="111">
        <f t="shared" si="4"/>
        <v>26.477509903674616</v>
      </c>
      <c r="I20" s="111">
        <f t="shared" si="5"/>
        <v>193.93058553470573</v>
      </c>
      <c r="J20" s="63">
        <f t="shared" si="6"/>
        <v>3.8330614187976648</v>
      </c>
      <c r="K20" s="64">
        <f>I20*(1+KeyParameters!$B$37)*(1+KeyParameters!$B$34)</f>
        <v>290.89587830205858</v>
      </c>
    </row>
    <row r="21" spans="1:11" x14ac:dyDescent="0.25">
      <c r="A21" s="61">
        <v>16</v>
      </c>
      <c r="B21" s="111">
        <f t="shared" si="1"/>
        <v>18.281399999999998</v>
      </c>
      <c r="C21" s="111">
        <f t="shared" si="2"/>
        <v>8.365204144638799</v>
      </c>
      <c r="D21" s="111">
        <f t="shared" si="3"/>
        <v>4.3326910481776002</v>
      </c>
      <c r="E21" s="111">
        <f t="shared" si="0"/>
        <v>14.736186199382274</v>
      </c>
      <c r="F21" s="62">
        <f t="shared" si="7"/>
        <v>29.249078449458978</v>
      </c>
      <c r="G21" s="111">
        <f t="shared" si="8"/>
        <v>223.1796639841647</v>
      </c>
      <c r="H21" s="111">
        <f t="shared" si="4"/>
        <v>29.249078449458978</v>
      </c>
      <c r="I21" s="111">
        <f t="shared" si="5"/>
        <v>223.1796639841647</v>
      </c>
      <c r="J21" s="63">
        <f t="shared" si="6"/>
        <v>4.1304568402604644</v>
      </c>
      <c r="K21" s="64">
        <f>I21*(1+KeyParameters!$B$37)*(1+KeyParameters!$B$34)</f>
        <v>334.76949597624701</v>
      </c>
    </row>
    <row r="22" spans="1:11" x14ac:dyDescent="0.25">
      <c r="A22" s="61">
        <v>17</v>
      </c>
      <c r="B22" s="111">
        <f t="shared" si="1"/>
        <v>19.271430000000002</v>
      </c>
      <c r="C22" s="111">
        <f t="shared" si="2"/>
        <v>8.6676952772599982</v>
      </c>
      <c r="D22" s="111">
        <f t="shared" si="3"/>
        <v>4.4719553554322449</v>
      </c>
      <c r="E22" s="111">
        <f t="shared" si="0"/>
        <v>15.698731990268621</v>
      </c>
      <c r="F22" s="62">
        <f t="shared" si="7"/>
        <v>32.157073827829464</v>
      </c>
      <c r="G22" s="111">
        <f t="shared" si="8"/>
        <v>255.33673781199417</v>
      </c>
      <c r="H22" s="111">
        <f t="shared" si="4"/>
        <v>32.157073827829464</v>
      </c>
      <c r="I22" s="111">
        <f t="shared" si="5"/>
        <v>255.33673781199417</v>
      </c>
      <c r="J22" s="63">
        <f t="shared" si="6"/>
        <v>4.4358545756250152</v>
      </c>
      <c r="K22" s="64">
        <f>I22*(1+KeyParameters!$B$37)*(1+KeyParameters!$B$34)</f>
        <v>383.00510671799128</v>
      </c>
    </row>
    <row r="23" spans="1:11" x14ac:dyDescent="0.25">
      <c r="A23" s="61">
        <v>18</v>
      </c>
      <c r="B23" s="111">
        <f t="shared" si="1"/>
        <v>20.26146</v>
      </c>
      <c r="C23" s="111">
        <f t="shared" si="2"/>
        <v>8.9673047412425486</v>
      </c>
      <c r="D23" s="111">
        <f t="shared" si="3"/>
        <v>4.6103571224140962</v>
      </c>
      <c r="E23" s="111">
        <f t="shared" si="0"/>
        <v>16.685483345012592</v>
      </c>
      <c r="F23" s="62">
        <f t="shared" si="7"/>
        <v>35.196871606239306</v>
      </c>
      <c r="G23" s="111">
        <f t="shared" si="8"/>
        <v>290.53360941823348</v>
      </c>
      <c r="H23" s="111">
        <f t="shared" si="4"/>
        <v>35.196871606239306</v>
      </c>
      <c r="I23" s="111">
        <f t="shared" si="5"/>
        <v>290.53360941823348</v>
      </c>
      <c r="J23" s="63">
        <f t="shared" si="6"/>
        <v>4.7488249092843828</v>
      </c>
      <c r="K23" s="64">
        <f>I23*(1+KeyParameters!$B$37)*(1+KeyParameters!$B$34)</f>
        <v>435.80041412735022</v>
      </c>
    </row>
    <row r="24" spans="1:11" ht="13.5" customHeight="1" x14ac:dyDescent="0.25">
      <c r="A24" s="61">
        <v>19</v>
      </c>
      <c r="B24" s="111">
        <f t="shared" si="1"/>
        <v>21.251489999999997</v>
      </c>
      <c r="C24" s="111">
        <f t="shared" si="2"/>
        <v>9.2640325365864502</v>
      </c>
      <c r="D24" s="111">
        <f t="shared" si="3"/>
        <v>4.7478963491231552</v>
      </c>
      <c r="E24" s="111">
        <f t="shared" si="0"/>
        <v>17.695877997483333</v>
      </c>
      <c r="F24" s="62">
        <f t="shared" si="7"/>
        <v>38.363891406597617</v>
      </c>
      <c r="G24" s="111">
        <f t="shared" si="8"/>
        <v>328.89750082483113</v>
      </c>
      <c r="H24" s="111">
        <f t="shared" si="4"/>
        <v>38.363891406597617</v>
      </c>
      <c r="I24" s="111">
        <f t="shared" si="5"/>
        <v>328.89750082483113</v>
      </c>
      <c r="J24" s="63">
        <f t="shared" si="6"/>
        <v>5.0689385640841866</v>
      </c>
      <c r="K24" s="64">
        <f>I24*(1+KeyParameters!$B$37)*(1+KeyParameters!$B$34)</f>
        <v>493.34625123724669</v>
      </c>
    </row>
    <row r="25" spans="1:11" s="19" customFormat="1" x14ac:dyDescent="0.25">
      <c r="A25" s="65">
        <v>20</v>
      </c>
      <c r="B25" s="62">
        <f t="shared" si="1"/>
        <v>22.241520000000001</v>
      </c>
      <c r="C25" s="62">
        <f>2.26166 + 0.36074 * B25 -
0.00147 * B25^2</f>
        <v>9.5578786632917137</v>
      </c>
      <c r="D25" s="62">
        <f t="shared" si="3"/>
        <v>4.8845730355594243</v>
      </c>
      <c r="E25" s="62">
        <f t="shared" si="0"/>
        <v>18.729357185675656</v>
      </c>
      <c r="F25" s="62">
        <f t="shared" si="7"/>
        <v>41.65359690526946</v>
      </c>
      <c r="G25" s="111">
        <f t="shared" si="8"/>
        <v>370.55109773010059</v>
      </c>
      <c r="H25" s="111">
        <f t="shared" si="4"/>
        <v>41.65359690526946</v>
      </c>
      <c r="I25" s="111">
        <f t="shared" si="5"/>
        <v>370.55109773010059</v>
      </c>
      <c r="J25" s="63">
        <f t="shared" si="6"/>
        <v>5.3957746274025018</v>
      </c>
      <c r="K25" s="64">
        <f>I25*(1+KeyParameters!$B$37)*(1+KeyParameters!$B$34)</f>
        <v>555.82664659515081</v>
      </c>
    </row>
    <row r="26" spans="1:11" x14ac:dyDescent="0.25">
      <c r="A26" s="61">
        <v>21</v>
      </c>
      <c r="B26" s="111">
        <f>(2.44092 + 0.99003 * A26)</f>
        <v>23.231549999999999</v>
      </c>
      <c r="C26" s="111">
        <f t="shared" si="2"/>
        <v>9.848843121358323</v>
      </c>
      <c r="D26" s="111">
        <f t="shared" si="3"/>
        <v>5.0203871817228993</v>
      </c>
      <c r="E26" s="111">
        <f t="shared" si="0"/>
        <v>19.785365651709963</v>
      </c>
      <c r="F26" s="62">
        <f t="shared" si="7"/>
        <v>45.06149583307544</v>
      </c>
      <c r="G26" s="111">
        <f t="shared" si="8"/>
        <v>415.61259356317601</v>
      </c>
      <c r="H26" s="111">
        <f t="shared" si="4"/>
        <v>45.06149583307544</v>
      </c>
      <c r="I26" s="111">
        <f t="shared" si="5"/>
        <v>415.61259356317601</v>
      </c>
      <c r="J26" s="63">
        <f t="shared" si="6"/>
        <v>5.7289256690485884</v>
      </c>
      <c r="K26" s="64">
        <f>I26*(1+KeyParameters!$B$37)*(1+KeyParameters!$B$34)</f>
        <v>623.41889034476401</v>
      </c>
    </row>
    <row r="27" spans="1:11" x14ac:dyDescent="0.25">
      <c r="A27" s="61">
        <v>22</v>
      </c>
      <c r="B27" s="111">
        <f t="shared" si="1"/>
        <v>24.221579999999996</v>
      </c>
      <c r="C27" s="111">
        <f t="shared" si="2"/>
        <v>10.136925910786291</v>
      </c>
      <c r="D27" s="111">
        <f t="shared" si="3"/>
        <v>5.1553387876135828</v>
      </c>
      <c r="E27" s="111">
        <f t="shared" si="0"/>
        <v>20.863351641832374</v>
      </c>
      <c r="F27" s="62">
        <f t="shared" si="7"/>
        <v>48.583139975292312</v>
      </c>
      <c r="G27" s="111">
        <f t="shared" si="8"/>
        <v>464.19573353846829</v>
      </c>
      <c r="H27" s="111">
        <f t="shared" si="4"/>
        <v>48.583139975292312</v>
      </c>
      <c r="I27" s="111">
        <f t="shared" si="5"/>
        <v>464.19573353846829</v>
      </c>
      <c r="J27" s="63">
        <f t="shared" si="6"/>
        <v>6.0680008942447863</v>
      </c>
      <c r="K27" s="64">
        <f>I27*(1+KeyParameters!$B$37)*(1+KeyParameters!$B$34)</f>
        <v>696.29360030770238</v>
      </c>
    </row>
    <row r="28" spans="1:11" x14ac:dyDescent="0.25">
      <c r="A28" s="61">
        <v>23</v>
      </c>
      <c r="B28" s="111">
        <f t="shared" si="1"/>
        <v>25.21161</v>
      </c>
      <c r="C28" s="111">
        <f t="shared" si="2"/>
        <v>10.422127031575615</v>
      </c>
      <c r="D28" s="111">
        <f t="shared" si="3"/>
        <v>5.2894278532314756</v>
      </c>
      <c r="E28" s="111">
        <f t="shared" si="0"/>
        <v>21.962766906414636</v>
      </c>
      <c r="F28" s="62">
        <f t="shared" si="7"/>
        <v>52.214125171652526</v>
      </c>
      <c r="G28" s="111">
        <f t="shared" si="8"/>
        <v>516.40985871012083</v>
      </c>
      <c r="H28" s="111">
        <f t="shared" si="4"/>
        <v>52.214125171652526</v>
      </c>
      <c r="I28" s="111">
        <f t="shared" si="5"/>
        <v>516.40985871012083</v>
      </c>
      <c r="J28" s="63">
        <f t="shared" si="6"/>
        <v>6.4126279250522318</v>
      </c>
      <c r="K28" s="64">
        <f>I28*(1+KeyParameters!$B$37)*(1+KeyParameters!$B$34)</f>
        <v>774.61478806518119</v>
      </c>
    </row>
    <row r="29" spans="1:11" x14ac:dyDescent="0.25">
      <c r="A29" s="61">
        <v>24</v>
      </c>
      <c r="B29" s="111">
        <f t="shared" si="1"/>
        <v>26.201639999999998</v>
      </c>
      <c r="C29" s="111">
        <f t="shared" si="2"/>
        <v>10.704446483726286</v>
      </c>
      <c r="D29" s="111">
        <f t="shared" si="3"/>
        <v>5.4226543785765751</v>
      </c>
      <c r="E29" s="111">
        <f t="shared" si="0"/>
        <v>23.083066699954127</v>
      </c>
      <c r="F29" s="62">
        <f t="shared" si="7"/>
        <v>55.950091316344199</v>
      </c>
      <c r="G29" s="111">
        <f t="shared" si="8"/>
        <v>572.35995002646507</v>
      </c>
      <c r="H29" s="111">
        <f t="shared" si="4"/>
        <v>55.950091316344199</v>
      </c>
      <c r="I29" s="111">
        <f t="shared" si="5"/>
        <v>572.35995002646507</v>
      </c>
      <c r="J29" s="63">
        <f t="shared" si="6"/>
        <v>6.762453629670711</v>
      </c>
      <c r="K29" s="64">
        <f>I29*(1+KeyParameters!$B$37)*(1+KeyParameters!$B$34)</f>
        <v>858.53992503969755</v>
      </c>
    </row>
    <row r="30" spans="1:11" x14ac:dyDescent="0.25">
      <c r="A30" s="61">
        <v>25</v>
      </c>
      <c r="B30" s="111">
        <f t="shared" si="1"/>
        <v>27.191670000000002</v>
      </c>
      <c r="C30" s="111">
        <f t="shared" si="2"/>
        <v>10.983884267238318</v>
      </c>
      <c r="D30" s="111">
        <f t="shared" si="3"/>
        <v>5.5550183636488839</v>
      </c>
      <c r="E30" s="111">
        <f t="shared" si="0"/>
        <v>24.223709781073914</v>
      </c>
      <c r="F30" s="62">
        <f t="shared" si="7"/>
        <v>59.78672235801163</v>
      </c>
      <c r="G30" s="111">
        <f t="shared" si="8"/>
        <v>632.14667238447669</v>
      </c>
      <c r="H30" s="111">
        <f t="shared" si="4"/>
        <v>59.78672235801163</v>
      </c>
      <c r="I30" s="111">
        <f t="shared" si="5"/>
        <v>632.14667238447669</v>
      </c>
      <c r="J30" s="63">
        <f t="shared" si="6"/>
        <v>7.1171442971026178</v>
      </c>
      <c r="K30" s="64">
        <f>I30*(1+KeyParameters!$B$37)*(1+KeyParameters!$B$34)</f>
        <v>948.22000857671503</v>
      </c>
    </row>
    <row r="31" spans="1:11" x14ac:dyDescent="0.25">
      <c r="A31" s="61">
        <v>26</v>
      </c>
      <c r="B31" s="111">
        <f t="shared" si="1"/>
        <v>28.181699999999999</v>
      </c>
      <c r="C31" s="111">
        <f t="shared" si="2"/>
        <v>11.260440382111698</v>
      </c>
      <c r="D31" s="111">
        <f t="shared" si="3"/>
        <v>5.6865198084483994</v>
      </c>
      <c r="E31" s="111">
        <f t="shared" si="0"/>
        <v>25.38415841252268</v>
      </c>
      <c r="F31" s="62">
        <f t="shared" si="7"/>
        <v>63.719746299754583</v>
      </c>
      <c r="G31" s="111">
        <f t="shared" si="8"/>
        <v>695.86641868423123</v>
      </c>
      <c r="H31" s="111">
        <f t="shared" si="4"/>
        <v>63.719746299754583</v>
      </c>
      <c r="I31" s="111">
        <f t="shared" si="5"/>
        <v>695.86641868423123</v>
      </c>
      <c r="J31" s="63">
        <f t="shared" si="6"/>
        <v>7.476385368625043</v>
      </c>
      <c r="K31" s="64">
        <f>I31*(1+KeyParameters!$B$37)*(1+KeyParameters!$B$34)</f>
        <v>1043.7996280263467</v>
      </c>
    </row>
    <row r="32" spans="1:11" x14ac:dyDescent="0.25">
      <c r="A32" s="61">
        <v>27</v>
      </c>
      <c r="B32" s="111">
        <f t="shared" si="1"/>
        <v>29.171729999999997</v>
      </c>
      <c r="C32" s="111">
        <f t="shared" si="2"/>
        <v>11.534114828346436</v>
      </c>
      <c r="D32" s="111">
        <f t="shared" si="3"/>
        <v>5.8171587129751234</v>
      </c>
      <c r="E32" s="111">
        <f t="shared" si="0"/>
        <v>26.56387836117478</v>
      </c>
      <c r="F32" s="62">
        <f t="shared" si="7"/>
        <v>67.744935199128989</v>
      </c>
      <c r="G32" s="111">
        <f t="shared" si="8"/>
        <v>763.61135388336027</v>
      </c>
      <c r="H32" s="111">
        <f t="shared" si="4"/>
        <v>67.744935199128989</v>
      </c>
      <c r="I32" s="111">
        <f t="shared" si="5"/>
        <v>763.61135388336027</v>
      </c>
      <c r="J32" s="63">
        <f t="shared" si="6"/>
        <v>7.8398808764526757</v>
      </c>
      <c r="K32" s="64">
        <f>I32*(1+KeyParameters!$B$37)*(1+KeyParameters!$B$34)</f>
        <v>1145.4170308250402</v>
      </c>
    </row>
    <row r="33" spans="1:11" x14ac:dyDescent="0.25">
      <c r="A33" s="61">
        <v>28</v>
      </c>
      <c r="B33" s="111">
        <f t="shared" si="1"/>
        <v>30.161760000000001</v>
      </c>
      <c r="C33" s="111">
        <f t="shared" si="2"/>
        <v>11.80490760594253</v>
      </c>
      <c r="D33" s="111">
        <f t="shared" si="3"/>
        <v>5.9469350772290559</v>
      </c>
      <c r="E33" s="111">
        <f t="shared" si="0"/>
        <v>27.762338898030229</v>
      </c>
      <c r="F33" s="62">
        <f t="shared" si="7"/>
        <v>71.85810516814638</v>
      </c>
      <c r="G33" s="111">
        <f t="shared" si="8"/>
        <v>835.46945905150665</v>
      </c>
      <c r="H33" s="111">
        <f t="shared" si="4"/>
        <v>71.85810516814638</v>
      </c>
      <c r="I33" s="111">
        <f t="shared" si="5"/>
        <v>835.46945905150665</v>
      </c>
      <c r="J33" s="63">
        <f t="shared" si="6"/>
        <v>8.2073526964334356</v>
      </c>
      <c r="K33" s="64">
        <f>I33*(1+KeyParameters!$B$37)*(1+KeyParameters!$B$34)</f>
        <v>1253.2041885772599</v>
      </c>
    </row>
    <row r="34" spans="1:11" x14ac:dyDescent="0.25">
      <c r="A34" s="61">
        <v>29</v>
      </c>
      <c r="B34" s="111">
        <f t="shared" si="1"/>
        <v>31.151789999999998</v>
      </c>
      <c r="C34" s="111">
        <f t="shared" si="2"/>
        <v>12.072818714899972</v>
      </c>
      <c r="D34" s="111">
        <f t="shared" si="3"/>
        <v>6.0758489012101959</v>
      </c>
      <c r="E34" s="111">
        <f t="shared" si="0"/>
        <v>28.979012798214661</v>
      </c>
      <c r="F34" s="62">
        <f t="shared" si="7"/>
        <v>76.055116373274117</v>
      </c>
      <c r="G34" s="111">
        <f t="shared" si="8"/>
        <v>911.52457542478078</v>
      </c>
      <c r="H34" s="111">
        <f t="shared" si="4"/>
        <v>76.055116373274117</v>
      </c>
      <c r="I34" s="111">
        <f t="shared" si="5"/>
        <v>911.52457542478078</v>
      </c>
      <c r="J34" s="63">
        <f t="shared" si="6"/>
        <v>8.5785396904480233</v>
      </c>
      <c r="K34" s="64">
        <f>I34*(1+KeyParameters!$B$37)*(1+KeyParameters!$B$34)</f>
        <v>1367.2868631371712</v>
      </c>
    </row>
    <row r="35" spans="1:11" x14ac:dyDescent="0.25">
      <c r="A35" s="61">
        <v>30</v>
      </c>
      <c r="B35" s="111">
        <f t="shared" si="1"/>
        <v>32.141819999999996</v>
      </c>
      <c r="C35" s="111">
        <f t="shared" si="2"/>
        <v>12.33784815521877</v>
      </c>
      <c r="D35" s="111">
        <f t="shared" si="3"/>
        <v>6.2039001849185436</v>
      </c>
      <c r="E35" s="111">
        <f t="shared" si="0"/>
        <v>30.213376340979384</v>
      </c>
      <c r="F35" s="62">
        <f t="shared" si="7"/>
        <v>80.331873035435521</v>
      </c>
      <c r="G35" s="111">
        <f t="shared" si="8"/>
        <v>991.85644846021626</v>
      </c>
      <c r="H35" s="111">
        <f t="shared" si="4"/>
        <v>80.331873035435521</v>
      </c>
      <c r="I35" s="111">
        <f t="shared" si="5"/>
        <v>991.85644846021626</v>
      </c>
      <c r="J35" s="63">
        <f t="shared" si="6"/>
        <v>8.9531967918003605</v>
      </c>
      <c r="K35" s="64">
        <f>I35*(1+KeyParameters!$B$37)*(1+KeyParameters!$B$34)</f>
        <v>1487.7846726903242</v>
      </c>
    </row>
    <row r="36" spans="1:11" x14ac:dyDescent="0.25">
      <c r="A36" s="61">
        <v>31</v>
      </c>
      <c r="B36" s="111">
        <f t="shared" si="1"/>
        <v>33.13185</v>
      </c>
      <c r="C36" s="111">
        <f t="shared" si="2"/>
        <v>12.599995926898924</v>
      </c>
      <c r="D36" s="111">
        <f t="shared" si="3"/>
        <v>6.3310889283541005</v>
      </c>
      <c r="E36" s="111">
        <f t="shared" si="0"/>
        <v>31.464909309701383</v>
      </c>
      <c r="F36" s="62">
        <f t="shared" si="7"/>
        <v>84.684323430009741</v>
      </c>
      <c r="G36" s="111">
        <f t="shared" si="8"/>
        <v>1076.5407718902261</v>
      </c>
      <c r="H36" s="111">
        <f t="shared" si="4"/>
        <v>84.684323430009741</v>
      </c>
      <c r="I36" s="111">
        <f t="shared" si="5"/>
        <v>1076.5407718902261</v>
      </c>
      <c r="J36" s="63">
        <f t="shared" si="6"/>
        <v>9.3310940707783914</v>
      </c>
      <c r="K36" s="64">
        <f>I36*(1+KeyParameters!$B$37)*(1+KeyParameters!$B$34)</f>
        <v>1614.8111578353391</v>
      </c>
    </row>
    <row r="37" spans="1:11" x14ac:dyDescent="0.25">
      <c r="A37" s="61">
        <v>32</v>
      </c>
      <c r="B37" s="111">
        <f t="shared" si="1"/>
        <v>34.121879999999997</v>
      </c>
      <c r="C37" s="111">
        <f t="shared" si="2"/>
        <v>12.859262029940432</v>
      </c>
      <c r="D37" s="111">
        <f t="shared" si="3"/>
        <v>6.4574151315168633</v>
      </c>
      <c r="E37" s="111">
        <f t="shared" si="0"/>
        <v>32.733094991883213</v>
      </c>
      <c r="F37" s="62">
        <f t="shared" si="7"/>
        <v>89.108459886831653</v>
      </c>
      <c r="G37" s="111">
        <f t="shared" si="8"/>
        <v>1165.6492317770578</v>
      </c>
      <c r="H37" s="111">
        <f t="shared" si="4"/>
        <v>89.108459886831653</v>
      </c>
      <c r="I37" s="111">
        <f t="shared" si="5"/>
        <v>1165.6492317770578</v>
      </c>
      <c r="J37" s="63">
        <f t="shared" si="6"/>
        <v>9.7120158059611512</v>
      </c>
      <c r="K37" s="64">
        <f>I37*(1+KeyParameters!$B$37)*(1+KeyParameters!$B$34)</f>
        <v>1748.4738476655868</v>
      </c>
    </row>
    <row r="38" spans="1:11" x14ac:dyDescent="0.25">
      <c r="A38" s="61">
        <v>33</v>
      </c>
      <c r="B38" s="111">
        <f t="shared" si="1"/>
        <v>35.111909999999995</v>
      </c>
      <c r="C38" s="111">
        <f t="shared" si="2"/>
        <v>13.115646464343293</v>
      </c>
      <c r="D38" s="111">
        <f t="shared" si="3"/>
        <v>6.5828787944068345</v>
      </c>
      <c r="E38" s="111">
        <f t="shared" si="0"/>
        <v>34.017420179153177</v>
      </c>
      <c r="F38" s="62">
        <f t="shared" si="7"/>
        <v>93.600318790192006</v>
      </c>
      <c r="G38" s="111">
        <f t="shared" si="8"/>
        <v>1259.2495505672498</v>
      </c>
      <c r="H38" s="111">
        <f t="shared" si="4"/>
        <v>93.600318790192006</v>
      </c>
      <c r="I38" s="111">
        <f t="shared" si="5"/>
        <v>1259.2495505672498</v>
      </c>
      <c r="J38" s="63">
        <f t="shared" si="6"/>
        <v>10.095759578491331</v>
      </c>
      <c r="K38" s="64">
        <f>I38*(1+KeyParameters!$B$37)*(1+KeyParameters!$B$34)</f>
        <v>1888.8743258508746</v>
      </c>
    </row>
    <row r="39" spans="1:11" x14ac:dyDescent="0.25">
      <c r="A39" s="61">
        <v>34</v>
      </c>
      <c r="B39" s="111">
        <f t="shared" si="1"/>
        <v>36.101939999999999</v>
      </c>
      <c r="C39" s="111">
        <f t="shared" si="2"/>
        <v>13.369149230107507</v>
      </c>
      <c r="D39" s="111">
        <f t="shared" si="3"/>
        <v>6.707479917024016</v>
      </c>
      <c r="E39" s="111">
        <f t="shared" si="0"/>
        <v>35.317375167265197</v>
      </c>
      <c r="F39" s="62">
        <f t="shared" si="7"/>
        <v>98.155980578837358</v>
      </c>
      <c r="G39" s="111">
        <f t="shared" si="8"/>
        <v>1357.4055311460872</v>
      </c>
      <c r="H39" s="111">
        <f t="shared" si="4"/>
        <v>98.155980578837358</v>
      </c>
      <c r="I39" s="111">
        <f t="shared" si="5"/>
        <v>1357.4055311460872</v>
      </c>
      <c r="J39" s="63">
        <f t="shared" si="6"/>
        <v>10.482135400524273</v>
      </c>
      <c r="K39" s="64">
        <f>I39*(1+KeyParameters!$B$37)*(1+KeyParameters!$B$34)</f>
        <v>2036.1082967191307</v>
      </c>
    </row>
    <row r="40" spans="1:11" x14ac:dyDescent="0.25">
      <c r="A40" s="61">
        <v>35</v>
      </c>
      <c r="B40" s="111">
        <f t="shared" si="1"/>
        <v>37.091969999999996</v>
      </c>
      <c r="C40" s="111">
        <f t="shared" si="2"/>
        <v>13.619770327233077</v>
      </c>
      <c r="D40" s="111">
        <f t="shared" si="3"/>
        <v>6.8312184993684033</v>
      </c>
      <c r="E40" s="111">
        <f t="shared" si="0"/>
        <v>36.632453756098784</v>
      </c>
      <c r="F40" s="62">
        <f t="shared" si="7"/>
        <v>102.77156974597023</v>
      </c>
      <c r="G40" s="111">
        <f t="shared" si="8"/>
        <v>1460.1771008920575</v>
      </c>
      <c r="H40" s="111">
        <f t="shared" si="4"/>
        <v>102.77156974597023</v>
      </c>
      <c r="I40" s="111">
        <f t="shared" si="5"/>
        <v>1460.1771008920575</v>
      </c>
      <c r="J40" s="63">
        <f t="shared" si="6"/>
        <v>10.870964884758967</v>
      </c>
      <c r="K40" s="64">
        <f>I40*(1+KeyParameters!$B$37)*(1+KeyParameters!$B$34)</f>
        <v>2190.2656513380862</v>
      </c>
    </row>
    <row r="41" spans="1:11" x14ac:dyDescent="0.25">
      <c r="A41" s="61">
        <v>36</v>
      </c>
      <c r="B41" s="111">
        <f t="shared" si="1"/>
        <v>38.082000000000001</v>
      </c>
      <c r="C41" s="111">
        <f t="shared" si="2"/>
        <v>13.867509755719999</v>
      </c>
      <c r="D41" s="111">
        <f t="shared" si="3"/>
        <v>6.9540945414399999</v>
      </c>
      <c r="E41" s="111">
        <f t="shared" si="0"/>
        <v>37.962153249659202</v>
      </c>
      <c r="F41" s="62">
        <f t="shared" si="7"/>
        <v>107.44325483924874</v>
      </c>
      <c r="G41" s="111">
        <f t="shared" si="8"/>
        <v>1567.6203557313063</v>
      </c>
      <c r="H41" s="111">
        <f t="shared" si="4"/>
        <v>107.44325483924874</v>
      </c>
      <c r="I41" s="111">
        <f t="shared" si="5"/>
        <v>1567.6203557313063</v>
      </c>
      <c r="J41" s="63">
        <f t="shared" si="6"/>
        <v>11.262080458889523</v>
      </c>
      <c r="K41" s="64">
        <f>I41*(1+KeyParameters!$B$37)*(1+KeyParameters!$B$34)</f>
        <v>2351.4305335969593</v>
      </c>
    </row>
    <row r="42" spans="1:11" x14ac:dyDescent="0.25">
      <c r="A42" s="61">
        <v>37</v>
      </c>
      <c r="B42" s="111">
        <f t="shared" si="1"/>
        <v>39.072029999999998</v>
      </c>
      <c r="C42" s="111">
        <f t="shared" si="2"/>
        <v>14.112367515568277</v>
      </c>
      <c r="D42" s="111">
        <f t="shared" si="3"/>
        <v>7.0761080432388033</v>
      </c>
      <c r="E42" s="111">
        <f t="shared" si="0"/>
        <v>39.30597445607728</v>
      </c>
      <c r="F42" s="62">
        <f t="shared" si="7"/>
        <v>112.16724846078708</v>
      </c>
      <c r="G42" s="111">
        <f t="shared" si="8"/>
        <v>1679.7876041920933</v>
      </c>
      <c r="H42" s="111">
        <f t="shared" si="4"/>
        <v>112.16724846078708</v>
      </c>
      <c r="I42" s="111">
        <f t="shared" si="5"/>
        <v>1679.7876041920933</v>
      </c>
      <c r="J42" s="63">
        <f t="shared" si="6"/>
        <v>11.655324626649893</v>
      </c>
      <c r="K42" s="64">
        <f>I42*(1+KeyParameters!$B$37)*(1+KeyParameters!$B$34)</f>
        <v>2519.6814062881399</v>
      </c>
    </row>
    <row r="43" spans="1:11" x14ac:dyDescent="0.25">
      <c r="A43" s="66">
        <v>38</v>
      </c>
      <c r="B43" s="62">
        <f t="shared" si="1"/>
        <v>40.062059999999995</v>
      </c>
      <c r="C43" s="62">
        <f t="shared" si="2"/>
        <v>14.354343606777908</v>
      </c>
      <c r="D43" s="62">
        <f t="shared" si="3"/>
        <v>7.1972590047648151</v>
      </c>
      <c r="E43" s="111">
        <f t="shared" si="0"/>
        <v>40.663421687609556</v>
      </c>
      <c r="F43" s="62">
        <f>0.8842 * C43^2 - 5.447 * C43 + 12.941</f>
        <v>116.9398072671551</v>
      </c>
      <c r="G43" s="111">
        <f t="shared" si="8"/>
        <v>1796.7274114592485</v>
      </c>
      <c r="H43" s="111">
        <f t="shared" si="4"/>
        <v>116.9398072671551</v>
      </c>
      <c r="I43" s="111">
        <f t="shared" si="5"/>
        <v>1796.7274114592485</v>
      </c>
      <c r="J43" s="63">
        <f t="shared" si="6"/>
        <v>12.050549275614081</v>
      </c>
      <c r="K43" s="64">
        <f>I43*(1+KeyParameters!$B$37)*(1+KeyParameters!$B$34)</f>
        <v>2695.0911171888724</v>
      </c>
    </row>
    <row r="44" spans="1:11" x14ac:dyDescent="0.25">
      <c r="A44" s="66">
        <v>39</v>
      </c>
      <c r="B44" s="62">
        <f t="shared" si="1"/>
        <v>41.05209</v>
      </c>
      <c r="C44" s="62">
        <f t="shared" si="2"/>
        <v>14.593438029348892</v>
      </c>
      <c r="D44" s="62">
        <f t="shared" si="3"/>
        <v>7.3175474260180362</v>
      </c>
      <c r="E44" s="111">
        <f t="shared" si="0"/>
        <v>42.034002760638202</v>
      </c>
      <c r="F44" s="62">
        <f t="shared" si="7"/>
        <v>121.75723196937857</v>
      </c>
      <c r="G44" s="111">
        <f t="shared" si="8"/>
        <v>1918.4846434286271</v>
      </c>
      <c r="H44" s="111">
        <f t="shared" si="4"/>
        <v>121.75723196937857</v>
      </c>
      <c r="I44" s="111">
        <f t="shared" si="5"/>
        <v>1918.4846434286271</v>
      </c>
      <c r="J44" s="63">
        <f t="shared" si="6"/>
        <v>12.447615030881719</v>
      </c>
      <c r="K44" s="64">
        <f>I44*(1+KeyParameters!$B$37)*(1+KeyParameters!$B$34)</f>
        <v>2877.7269651429406</v>
      </c>
    </row>
    <row r="45" spans="1:11" x14ac:dyDescent="0.25">
      <c r="A45" s="66">
        <v>40</v>
      </c>
      <c r="B45" s="62">
        <f t="shared" si="1"/>
        <v>42.042119999999997</v>
      </c>
      <c r="C45" s="62">
        <f t="shared" si="2"/>
        <v>14.829650783281231</v>
      </c>
      <c r="D45" s="62">
        <f t="shared" si="3"/>
        <v>7.436973306998464</v>
      </c>
      <c r="E45" s="111">
        <f t="shared" si="0"/>
        <v>43.417228995671024</v>
      </c>
      <c r="F45" s="62">
        <f t="shared" si="7"/>
        <v>126.61586733293905</v>
      </c>
      <c r="G45" s="111">
        <f t="shared" si="8"/>
        <v>2045.1005107615661</v>
      </c>
      <c r="H45" s="111">
        <f t="shared" si="4"/>
        <v>126.61586733293905</v>
      </c>
      <c r="I45" s="111">
        <f t="shared" si="5"/>
        <v>2045.1005107615661</v>
      </c>
      <c r="J45" s="63">
        <f t="shared" si="6"/>
        <v>12.846390653092255</v>
      </c>
      <c r="K45" s="64">
        <f>I45*(1+KeyParameters!$B$37)*(1+KeyParameters!$B$34)</f>
        <v>3067.6507661423489</v>
      </c>
    </row>
    <row r="46" spans="1:11" x14ac:dyDescent="0.25">
      <c r="A46" s="66">
        <v>41</v>
      </c>
      <c r="B46" s="62">
        <f t="shared" si="1"/>
        <v>43.032149999999994</v>
      </c>
      <c r="C46" s="62">
        <f t="shared" si="2"/>
        <v>15.062981868574925</v>
      </c>
      <c r="D46" s="62">
        <f t="shared" si="3"/>
        <v>7.5555366477060995</v>
      </c>
      <c r="E46" s="111">
        <f t="shared" si="0"/>
        <v>44.812615217341495</v>
      </c>
      <c r="F46" s="62">
        <f t="shared" si="7"/>
        <v>131.51210217777395</v>
      </c>
      <c r="G46" s="111">
        <f t="shared" si="8"/>
        <v>2176.6126129393401</v>
      </c>
      <c r="H46" s="111">
        <f t="shared" si="4"/>
        <v>131.51210217777395</v>
      </c>
      <c r="I46" s="111">
        <f t="shared" si="5"/>
        <v>2176.6126129393401</v>
      </c>
      <c r="J46" s="63">
        <f t="shared" si="6"/>
        <v>13.246752478775454</v>
      </c>
      <c r="K46" s="64">
        <f>I46*(1+KeyParameters!$B$37)*(1+KeyParameters!$B$34)</f>
        <v>3264.91891940901</v>
      </c>
    </row>
    <row r="47" spans="1:11" x14ac:dyDescent="0.25">
      <c r="A47" s="66">
        <v>42</v>
      </c>
      <c r="B47" s="62">
        <f t="shared" si="1"/>
        <v>44.022179999999999</v>
      </c>
      <c r="C47" s="62">
        <f t="shared" si="2"/>
        <v>15.293431285229971</v>
      </c>
      <c r="D47" s="62">
        <f t="shared" si="3"/>
        <v>7.6732374481409442</v>
      </c>
      <c r="E47" s="111">
        <f t="shared" si="0"/>
        <v>46.219679754408752</v>
      </c>
      <c r="F47" s="62">
        <f t="shared" si="7"/>
        <v>136.44236937827648</v>
      </c>
      <c r="G47" s="111">
        <f t="shared" si="8"/>
        <v>2313.0549823176166</v>
      </c>
      <c r="H47" s="111">
        <f t="shared" si="4"/>
        <v>136.44236937827648</v>
      </c>
      <c r="I47" s="111">
        <f t="shared" si="5"/>
        <v>2313.0549823176166</v>
      </c>
      <c r="J47" s="63">
        <f t="shared" si="6"/>
        <v>13.648583900790449</v>
      </c>
      <c r="K47" s="64">
        <f>I47*(1+KeyParameters!$B$37)*(1+KeyParameters!$B$34)</f>
        <v>3469.5824734764251</v>
      </c>
    </row>
    <row r="48" spans="1:11" x14ac:dyDescent="0.25">
      <c r="A48" s="66">
        <v>43</v>
      </c>
      <c r="B48" s="62">
        <f t="shared" si="1"/>
        <v>45.012209999999996</v>
      </c>
      <c r="C48" s="62">
        <f t="shared" si="2"/>
        <v>15.520999033246373</v>
      </c>
      <c r="D48" s="62">
        <f t="shared" si="3"/>
        <v>7.7900757083029957</v>
      </c>
      <c r="E48" s="111">
        <f t="shared" si="0"/>
        <v>47.637944439757554</v>
      </c>
      <c r="F48" s="62">
        <f t="shared" si="7"/>
        <v>141.4031458632958</v>
      </c>
      <c r="G48" s="111">
        <f t="shared" si="8"/>
        <v>2454.4581281809124</v>
      </c>
      <c r="H48" s="111">
        <f t="shared" si="4"/>
        <v>141.4031458632958</v>
      </c>
      <c r="I48" s="111">
        <f t="shared" si="5"/>
        <v>2454.4581281809124</v>
      </c>
      <c r="J48" s="63">
        <f t="shared" si="6"/>
        <v>14.051774886478997</v>
      </c>
      <c r="K48" s="64">
        <f>I48*(1+KeyParameters!$B$37)*(1+KeyParameters!$B$34)</f>
        <v>3681.6871922713681</v>
      </c>
    </row>
    <row r="49" spans="1:11" x14ac:dyDescent="0.25">
      <c r="A49" s="66">
        <v>44</v>
      </c>
      <c r="B49" s="62">
        <f t="shared" si="1"/>
        <v>46.002239999999993</v>
      </c>
      <c r="C49" s="62">
        <f t="shared" si="2"/>
        <v>15.745685112624125</v>
      </c>
      <c r="D49" s="62">
        <f t="shared" si="3"/>
        <v>7.9060514281922547</v>
      </c>
      <c r="E49" s="111">
        <f t="shared" si="0"/>
        <v>49.06693461039832</v>
      </c>
      <c r="F49" s="62">
        <f t="shared" si="7"/>
        <v>146.39095261613667</v>
      </c>
      <c r="G49" s="111">
        <f t="shared" si="8"/>
        <v>2600.8490807970488</v>
      </c>
      <c r="H49" s="111">
        <f t="shared" si="4"/>
        <v>146.39095261613667</v>
      </c>
      <c r="I49" s="111">
        <f t="shared" si="5"/>
        <v>2600.8490807970488</v>
      </c>
      <c r="J49" s="63">
        <f t="shared" si="6"/>
        <v>14.456221531122365</v>
      </c>
      <c r="K49" s="64">
        <f>I49*(1+KeyParameters!$B$37)*(1+KeyParameters!$B$34)</f>
        <v>3901.273621195573</v>
      </c>
    </row>
    <row r="50" spans="1:11" x14ac:dyDescent="0.25">
      <c r="A50" s="66">
        <v>45</v>
      </c>
      <c r="B50" s="62">
        <f t="shared" si="1"/>
        <v>46.992269999999998</v>
      </c>
      <c r="C50" s="62">
        <f t="shared" si="2"/>
        <v>15.967489523363238</v>
      </c>
      <c r="D50" s="62">
        <f t="shared" si="3"/>
        <v>8.0211646078087231</v>
      </c>
      <c r="E50" s="111">
        <f t="shared" si="0"/>
        <v>50.506179107467169</v>
      </c>
      <c r="F50" s="62">
        <f t="shared" si="7"/>
        <v>151.40235467456003</v>
      </c>
      <c r="G50" s="111">
        <f t="shared" si="8"/>
        <v>2752.2514354716091</v>
      </c>
      <c r="H50" s="111">
        <f t="shared" si="4"/>
        <v>151.40235467456003</v>
      </c>
      <c r="I50" s="111">
        <f t="shared" si="5"/>
        <v>2752.2514354716091</v>
      </c>
      <c r="J50" s="63">
        <f t="shared" si="6"/>
        <v>14.861825644318394</v>
      </c>
      <c r="K50" s="64">
        <f>I50*(1+KeyParameters!$B$37)*(1+KeyParameters!$B$34)</f>
        <v>4128.3771532074134</v>
      </c>
    </row>
    <row r="51" spans="1:11" x14ac:dyDescent="0.25">
      <c r="A51" s="66">
        <v>46</v>
      </c>
      <c r="B51" s="62">
        <f t="shared" si="1"/>
        <v>47.982299999999995</v>
      </c>
      <c r="C51" s="62">
        <f t="shared" si="2"/>
        <v>16.186412265463698</v>
      </c>
      <c r="D51" s="62">
        <f t="shared" si="3"/>
        <v>8.1354152471523982</v>
      </c>
      <c r="E51" s="111">
        <f t="shared" si="0"/>
        <v>51.955210276225785</v>
      </c>
      <c r="F51" s="62">
        <f t="shared" si="7"/>
        <v>156.43396113078214</v>
      </c>
      <c r="G51" s="111">
        <f t="shared" si="8"/>
        <v>2908.6853966023914</v>
      </c>
      <c r="H51" s="111">
        <f t="shared" si="4"/>
        <v>156.43396113078214</v>
      </c>
      <c r="I51" s="111">
        <f t="shared" si="5"/>
        <v>2908.6853966023914</v>
      </c>
      <c r="J51" s="63">
        <f t="shared" si="6"/>
        <v>15.268494366964621</v>
      </c>
      <c r="K51" s="64">
        <f>I51*(1+KeyParameters!$B$37)*(1+KeyParameters!$B$34)</f>
        <v>4363.0280949035869</v>
      </c>
    </row>
    <row r="52" spans="1:11" x14ac:dyDescent="0.25">
      <c r="A52" s="66">
        <v>47</v>
      </c>
      <c r="B52" s="62">
        <f t="shared" si="1"/>
        <v>48.972329999999999</v>
      </c>
      <c r="C52" s="62">
        <f t="shared" si="2"/>
        <v>16.402453338925518</v>
      </c>
      <c r="D52" s="62">
        <f t="shared" si="3"/>
        <v>8.2488033462232835</v>
      </c>
      <c r="E52" s="111">
        <f t="shared" si="0"/>
        <v>53.413563966061588</v>
      </c>
      <c r="F52" s="62">
        <f t="shared" si="7"/>
        <v>161.48242513147576</v>
      </c>
      <c r="G52" s="111">
        <f t="shared" si="8"/>
        <v>3070.1678217338672</v>
      </c>
      <c r="H52" s="111">
        <f t="shared" si="4"/>
        <v>161.48242513147576</v>
      </c>
      <c r="I52" s="111">
        <f t="shared" si="5"/>
        <v>3070.1678217338672</v>
      </c>
      <c r="J52" s="63">
        <f t="shared" si="6"/>
        <v>15.676139816630332</v>
      </c>
      <c r="K52" s="64">
        <f>I52*(1+KeyParameters!$B$37)*(1+KeyParameters!$B$34)</f>
        <v>4605.2517326008001</v>
      </c>
    </row>
    <row r="53" spans="1:11" x14ac:dyDescent="0.25">
      <c r="A53" s="66">
        <v>48</v>
      </c>
      <c r="B53" s="62">
        <f t="shared" si="1"/>
        <v>49.962359999999997</v>
      </c>
      <c r="C53" s="62">
        <f t="shared" si="2"/>
        <v>16.615612743748688</v>
      </c>
      <c r="D53" s="62">
        <f t="shared" si="3"/>
        <v>8.3613289050213755</v>
      </c>
      <c r="E53" s="111">
        <f t="shared" si="0"/>
        <v>54.88077953048758</v>
      </c>
      <c r="F53" s="62">
        <f t="shared" si="7"/>
        <v>166.5444438777688</v>
      </c>
      <c r="G53" s="111">
        <f t="shared" si="8"/>
        <v>3236.7122656116362</v>
      </c>
      <c r="H53" s="111">
        <f t="shared" si="4"/>
        <v>166.5444438777688</v>
      </c>
      <c r="I53" s="111">
        <f t="shared" si="5"/>
        <v>3236.7122656116362</v>
      </c>
      <c r="J53" s="63">
        <f t="shared" si="6"/>
        <v>16.084678759214611</v>
      </c>
      <c r="K53" s="64">
        <f>I53*(1+KeyParameters!$B$37)*(1+KeyParameters!$B$34)</f>
        <v>4855.0683984174548</v>
      </c>
    </row>
    <row r="54" spans="1:11" x14ac:dyDescent="0.25">
      <c r="A54" s="66">
        <v>49</v>
      </c>
      <c r="B54" s="62">
        <f t="shared" si="1"/>
        <v>50.952389999999994</v>
      </c>
      <c r="C54" s="62">
        <f t="shared" si="2"/>
        <v>16.825890479933211</v>
      </c>
      <c r="D54" s="62">
        <f t="shared" si="3"/>
        <v>8.4729919235466742</v>
      </c>
      <c r="E54" s="111">
        <f t="shared" si="0"/>
        <v>56.356399827142432</v>
      </c>
      <c r="F54" s="62">
        <f t="shared" si="7"/>
        <v>171.61675862524541</v>
      </c>
      <c r="G54" s="111">
        <f t="shared" si="8"/>
        <v>3408.3290242368817</v>
      </c>
      <c r="H54" s="111">
        <f t="shared" si="4"/>
        <v>171.61675862524541</v>
      </c>
      <c r="I54" s="111">
        <f t="shared" si="5"/>
        <v>3408.3290242368817</v>
      </c>
      <c r="J54" s="63">
        <f t="shared" si="6"/>
        <v>16.494032304910352</v>
      </c>
      <c r="K54" s="64">
        <f>I54*(1+KeyParameters!$B$37)*(1+KeyParameters!$B$34)</f>
        <v>5112.4935363553222</v>
      </c>
    </row>
    <row r="55" spans="1:11" x14ac:dyDescent="0.25">
      <c r="A55" s="66">
        <v>50</v>
      </c>
      <c r="B55" s="62">
        <f t="shared" si="1"/>
        <v>51.942419999999998</v>
      </c>
      <c r="C55" s="62">
        <f t="shared" si="2"/>
        <v>17.033286547479094</v>
      </c>
      <c r="D55" s="62">
        <f t="shared" si="3"/>
        <v>8.5837924017991831</v>
      </c>
      <c r="E55" s="111">
        <f t="shared" si="0"/>
        <v>57.839971217790534</v>
      </c>
      <c r="F55" s="62">
        <f t="shared" si="7"/>
        <v>176.69615468394557</v>
      </c>
      <c r="G55" s="111">
        <f t="shared" si="8"/>
        <v>3585.0251789208273</v>
      </c>
      <c r="H55" s="111">
        <f t="shared" si="4"/>
        <v>176.69615468394557</v>
      </c>
      <c r="I55" s="111">
        <f t="shared" si="5"/>
        <v>3585.0251789208273</v>
      </c>
      <c r="J55" s="63">
        <f t="shared" si="6"/>
        <v>16.904125626621109</v>
      </c>
      <c r="K55" s="64">
        <f>I55*(1+KeyParameters!$B$37)*(1+KeyParameters!$B$34)</f>
        <v>5377.5377683812412</v>
      </c>
    </row>
    <row r="56" spans="1:11" x14ac:dyDescent="0.25">
      <c r="A56" s="66">
        <v>51</v>
      </c>
      <c r="B56" s="62">
        <f t="shared" si="1"/>
        <v>52.932449999999996</v>
      </c>
      <c r="C56" s="62">
        <f t="shared" si="2"/>
        <v>17.237800946386322</v>
      </c>
      <c r="D56" s="62">
        <f t="shared" si="3"/>
        <v>8.6937303397788988</v>
      </c>
      <c r="E56" s="111">
        <f t="shared" si="0"/>
        <v>59.331043568321824</v>
      </c>
      <c r="F56" s="62">
        <f t="shared" si="7"/>
        <v>181.77946141836483</v>
      </c>
      <c r="G56" s="111">
        <f t="shared" si="8"/>
        <v>3766.8046403391922</v>
      </c>
      <c r="H56" s="111">
        <f t="shared" si="4"/>
        <v>181.77946141836483</v>
      </c>
      <c r="I56" s="111">
        <f t="shared" si="5"/>
        <v>3766.8046403391922</v>
      </c>
      <c r="J56" s="63">
        <f t="shared" si="6"/>
        <v>17.314887699104073</v>
      </c>
      <c r="K56" s="64">
        <f>I56*(1+KeyParameters!$B$37)*(1+KeyParameters!$B$34)</f>
        <v>5650.2069605087881</v>
      </c>
    </row>
    <row r="57" spans="1:11" x14ac:dyDescent="0.25">
      <c r="A57" s="66">
        <v>52</v>
      </c>
      <c r="B57" s="62">
        <f t="shared" si="1"/>
        <v>53.92248</v>
      </c>
      <c r="C57" s="62">
        <f t="shared" si="2"/>
        <v>17.439433676654911</v>
      </c>
      <c r="D57" s="62">
        <f t="shared" si="3"/>
        <v>8.8028057374858228</v>
      </c>
      <c r="E57" s="111">
        <f t="shared" si="0"/>
        <v>60.829170248751957</v>
      </c>
      <c r="F57" s="62">
        <f t="shared" si="7"/>
        <v>186.86355224745492</v>
      </c>
      <c r="G57" s="111">
        <f t="shared" si="8"/>
        <v>3953.6681925866474</v>
      </c>
      <c r="H57" s="111">
        <f t="shared" si="4"/>
        <v>186.86355224745492</v>
      </c>
      <c r="I57" s="111">
        <f t="shared" si="5"/>
        <v>3953.6681925866474</v>
      </c>
      <c r="J57" s="63">
        <f t="shared" si="6"/>
        <v>17.726251057235903</v>
      </c>
      <c r="K57" s="64">
        <f>I57*(1+KeyParameters!$B$37)*(1+KeyParameters!$B$34)</f>
        <v>5930.5022888799713</v>
      </c>
    </row>
    <row r="58" spans="1:11" x14ac:dyDescent="0.25">
      <c r="A58" s="66">
        <v>53</v>
      </c>
      <c r="B58" s="62">
        <f t="shared" si="1"/>
        <v>54.912509999999997</v>
      </c>
      <c r="C58" s="62">
        <f t="shared" si="2"/>
        <v>17.638184738284853</v>
      </c>
      <c r="D58" s="62">
        <f t="shared" si="3"/>
        <v>8.9110185949199554</v>
      </c>
      <c r="E58" s="111">
        <f t="shared" si="0"/>
        <v>62.333908133222238</v>
      </c>
      <c r="F58" s="62">
        <f t="shared" si="7"/>
        <v>191.94534464462319</v>
      </c>
      <c r="G58" s="111">
        <f t="shared" si="8"/>
        <v>4145.6135372312701</v>
      </c>
      <c r="H58" s="111">
        <f t="shared" si="4"/>
        <v>191.94534464462319</v>
      </c>
      <c r="I58" s="111">
        <f t="shared" si="5"/>
        <v>4145.6135372312701</v>
      </c>
      <c r="J58" s="63">
        <f t="shared" si="6"/>
        <v>18.138151571917188</v>
      </c>
      <c r="K58" s="64">
        <f>I58*(1+KeyParameters!$B$37)*(1+KeyParameters!$B$34)</f>
        <v>6218.4203058469056</v>
      </c>
    </row>
    <row r="59" spans="1:11" x14ac:dyDescent="0.25">
      <c r="A59" s="66">
        <v>54</v>
      </c>
      <c r="B59" s="62">
        <f t="shared" si="1"/>
        <v>55.902539999999995</v>
      </c>
      <c r="C59" s="62">
        <f t="shared" si="2"/>
        <v>17.834054131276147</v>
      </c>
      <c r="D59" s="62">
        <f t="shared" si="3"/>
        <v>9.0183689120812964</v>
      </c>
      <c r="E59" s="111">
        <f t="shared" si="0"/>
        <v>63.844817599999601</v>
      </c>
      <c r="F59" s="62">
        <f t="shared" si="7"/>
        <v>197.0218001377327</v>
      </c>
      <c r="G59" s="111">
        <f t="shared" si="8"/>
        <v>4342.6353373690026</v>
      </c>
      <c r="H59" s="111">
        <f t="shared" si="4"/>
        <v>197.0218001377327</v>
      </c>
      <c r="I59" s="111">
        <f t="shared" si="5"/>
        <v>4342.6353373690026</v>
      </c>
      <c r="J59" s="63">
        <f t="shared" si="6"/>
        <v>18.550528242244294</v>
      </c>
      <c r="K59" s="64">
        <f>I59*(1+KeyParameters!$B$37)*(1+KeyParameters!$B$34)</f>
        <v>6513.9530060535044</v>
      </c>
    </row>
    <row r="60" spans="1:11" x14ac:dyDescent="0.25">
      <c r="A60" s="66">
        <v>55</v>
      </c>
      <c r="B60" s="62">
        <f t="shared" si="1"/>
        <v>56.892569999999999</v>
      </c>
      <c r="C60" s="62">
        <f t="shared" si="2"/>
        <v>18.027041855628795</v>
      </c>
      <c r="D60" s="62">
        <f t="shared" si="3"/>
        <v>9.1248566889698424</v>
      </c>
      <c r="E60" s="111">
        <f t="shared" si="0"/>
        <v>65.361462531476576</v>
      </c>
      <c r="F60" s="62">
        <f t="shared" si="7"/>
        <v>202.0899243091026</v>
      </c>
      <c r="G60" s="111">
        <f t="shared" si="8"/>
        <v>4544.7252616781052</v>
      </c>
      <c r="H60" s="111">
        <f t="shared" si="4"/>
        <v>202.0899243091026</v>
      </c>
      <c r="I60" s="111">
        <f t="shared" si="5"/>
        <v>4544.7252616781052</v>
      </c>
      <c r="J60" s="63">
        <f t="shared" si="6"/>
        <v>18.963323002683882</v>
      </c>
      <c r="K60" s="64">
        <f>I60*(1+KeyParameters!$B$37)*(1+KeyParameters!$B$34)</f>
        <v>6817.0878925171573</v>
      </c>
    </row>
    <row r="61" spans="1:11" x14ac:dyDescent="0.25">
      <c r="A61" s="66">
        <v>56</v>
      </c>
      <c r="B61" s="62">
        <f t="shared" si="1"/>
        <v>57.882599999999996</v>
      </c>
      <c r="C61" s="62">
        <f t="shared" si="2"/>
        <v>18.217147911342799</v>
      </c>
      <c r="D61" s="62">
        <f t="shared" si="3"/>
        <v>9.2304819255856003</v>
      </c>
      <c r="E61" s="111">
        <f t="shared" si="0"/>
        <v>66.883410314171527</v>
      </c>
      <c r="F61" s="62">
        <f t="shared" si="7"/>
        <v>207.1467667955078</v>
      </c>
      <c r="G61" s="111">
        <f t="shared" si="8"/>
        <v>4751.8720284736128</v>
      </c>
      <c r="H61" s="111">
        <f t="shared" si="4"/>
        <v>207.1467667955078</v>
      </c>
      <c r="I61" s="111">
        <f t="shared" si="5"/>
        <v>4751.8720284736128</v>
      </c>
      <c r="J61" s="63">
        <f t="shared" si="6"/>
        <v>19.376480544085346</v>
      </c>
      <c r="K61" s="64">
        <f>I61*(1+KeyParameters!$B$37)*(1+KeyParameters!$B$34)</f>
        <v>7127.8080427104187</v>
      </c>
    </row>
    <row r="62" spans="1:11" x14ac:dyDescent="0.25">
      <c r="A62" s="66">
        <v>57</v>
      </c>
      <c r="B62" s="62">
        <f t="shared" si="1"/>
        <v>58.872629999999994</v>
      </c>
      <c r="C62" s="62">
        <f t="shared" si="2"/>
        <v>18.404372298418153</v>
      </c>
      <c r="D62" s="62">
        <f t="shared" si="3"/>
        <v>9.3352446219285632</v>
      </c>
      <c r="E62" s="111">
        <f t="shared" si="0"/>
        <v>68.410231838728237</v>
      </c>
      <c r="F62" s="62">
        <f t="shared" si="7"/>
        <v>212.18942128817889</v>
      </c>
      <c r="G62" s="111">
        <f t="shared" si="8"/>
        <v>4964.0614497617917</v>
      </c>
      <c r="H62" s="111">
        <f t="shared" si="4"/>
        <v>212.18942128817889</v>
      </c>
      <c r="I62" s="111">
        <f t="shared" si="5"/>
        <v>4964.0614497617917</v>
      </c>
      <c r="J62" s="63">
        <f t="shared" si="6"/>
        <v>19.789948147459651</v>
      </c>
      <c r="K62" s="64">
        <f>I62*(1+KeyParameters!$B$37)*(1+KeyParameters!$B$34)</f>
        <v>7446.0921746426875</v>
      </c>
    </row>
    <row r="63" spans="1:11" x14ac:dyDescent="0.25">
      <c r="A63" s="66">
        <v>58</v>
      </c>
      <c r="B63" s="62">
        <f t="shared" si="1"/>
        <v>59.862659999999998</v>
      </c>
      <c r="C63" s="62">
        <f t="shared" si="2"/>
        <v>18.58871501685487</v>
      </c>
      <c r="D63" s="62">
        <f t="shared" si="3"/>
        <v>9.4391447779987363</v>
      </c>
      <c r="E63" s="111">
        <f t="shared" si="0"/>
        <v>69.941501499916342</v>
      </c>
      <c r="F63" s="62">
        <f t="shared" si="7"/>
        <v>217.21502553280268</v>
      </c>
      <c r="G63" s="111">
        <f t="shared" si="8"/>
        <v>5181.2764752945941</v>
      </c>
      <c r="H63" s="111">
        <f t="shared" si="4"/>
        <v>217.21502553280268</v>
      </c>
      <c r="I63" s="111">
        <f t="shared" si="5"/>
        <v>5181.2764752945941</v>
      </c>
      <c r="J63" s="63">
        <f t="shared" si="6"/>
        <v>20.203675529538941</v>
      </c>
      <c r="K63" s="64">
        <f>I63*(1+KeyParameters!$B$37)*(1+KeyParameters!$B$34)</f>
        <v>7771.9147129418907</v>
      </c>
    </row>
    <row r="64" spans="1:11" x14ac:dyDescent="0.25">
      <c r="A64" s="66">
        <v>59</v>
      </c>
      <c r="B64" s="62">
        <f t="shared" si="1"/>
        <v>60.852689999999996</v>
      </c>
      <c r="C64" s="62">
        <f t="shared" si="2"/>
        <v>18.77017606665293</v>
      </c>
      <c r="D64" s="62">
        <f t="shared" si="3"/>
        <v>9.5421823937961161</v>
      </c>
      <c r="E64" s="111">
        <f t="shared" si="0"/>
        <v>71.476797196630969</v>
      </c>
      <c r="F64" s="62">
        <f t="shared" si="7"/>
        <v>222.22076132952114</v>
      </c>
      <c r="G64" s="111">
        <f t="shared" si="8"/>
        <v>5403.4972366241154</v>
      </c>
      <c r="H64" s="111">
        <f t="shared" si="4"/>
        <v>222.22076132952114</v>
      </c>
      <c r="I64" s="111">
        <f t="shared" si="5"/>
        <v>5403.4972366241154</v>
      </c>
      <c r="J64" s="63">
        <f t="shared" si="6"/>
        <v>20.617614699211945</v>
      </c>
      <c r="K64" s="64">
        <f>I64*(1+KeyParameters!$B$37)*(1+KeyParameters!$B$34)</f>
        <v>8105.2458549361727</v>
      </c>
    </row>
    <row r="65" spans="1:11" x14ac:dyDescent="0.25">
      <c r="A65" s="66">
        <v>60</v>
      </c>
      <c r="B65" s="62">
        <f t="shared" si="1"/>
        <v>61.842719999999993</v>
      </c>
      <c r="C65" s="62">
        <f t="shared" si="2"/>
        <v>18.948755447812349</v>
      </c>
      <c r="D65" s="62">
        <f t="shared" si="3"/>
        <v>9.6443574693207026</v>
      </c>
      <c r="E65" s="111">
        <f t="shared" si="0"/>
        <v>73.015700331892987</v>
      </c>
      <c r="F65" s="62">
        <f t="shared" si="7"/>
        <v>227.20385453293272</v>
      </c>
      <c r="G65" s="111">
        <f t="shared" si="8"/>
        <v>5630.7010911570478</v>
      </c>
      <c r="H65" s="111">
        <f t="shared" si="4"/>
        <v>227.20385453293272</v>
      </c>
      <c r="I65" s="111">
        <f t="shared" si="5"/>
        <v>5630.7010911570478</v>
      </c>
      <c r="J65" s="63">
        <f t="shared" si="6"/>
        <v>21.031719824003059</v>
      </c>
      <c r="K65" s="64">
        <f>I65*(1+KeyParameters!$B$37)*(1+KeyParameters!$B$34)</f>
        <v>8446.0516367355704</v>
      </c>
    </row>
    <row r="66" spans="1:11" x14ac:dyDescent="0.25">
      <c r="A66" s="66">
        <v>61</v>
      </c>
      <c r="B66" s="62">
        <f t="shared" si="1"/>
        <v>62.832749999999997</v>
      </c>
      <c r="C66" s="62">
        <f t="shared" si="2"/>
        <v>19.124453160333122</v>
      </c>
      <c r="D66" s="62">
        <f t="shared" si="3"/>
        <v>9.7456700045724993</v>
      </c>
      <c r="E66" s="111">
        <f t="shared" si="0"/>
        <v>74.557795812848951</v>
      </c>
      <c r="F66" s="62">
        <f t="shared" si="7"/>
        <v>232.16157505209142</v>
      </c>
      <c r="G66" s="111">
        <f t="shared" si="8"/>
        <v>5862.8626662091392</v>
      </c>
      <c r="H66" s="111">
        <f t="shared" si="4"/>
        <v>232.16157505209142</v>
      </c>
      <c r="I66" s="111">
        <f t="shared" si="5"/>
        <v>5862.8626662091392</v>
      </c>
      <c r="J66" s="63">
        <f t="shared" si="6"/>
        <v>21.445947105831785</v>
      </c>
      <c r="K66" s="64">
        <f>I66*(1+KeyParameters!$B$37)*(1+KeyParameters!$B$34)</f>
        <v>8794.2939993137097</v>
      </c>
    </row>
    <row r="67" spans="1:11" x14ac:dyDescent="0.25">
      <c r="A67" s="66">
        <v>62</v>
      </c>
      <c r="B67" s="62">
        <f t="shared" si="1"/>
        <v>63.822779999999995</v>
      </c>
      <c r="C67" s="62">
        <f t="shared" si="2"/>
        <v>19.297269204215251</v>
      </c>
      <c r="D67" s="62">
        <f t="shared" si="3"/>
        <v>9.8461199995515027</v>
      </c>
      <c r="E67" s="111">
        <f t="shared" si="0"/>
        <v>76.102672050770948</v>
      </c>
      <c r="F67" s="62">
        <f t="shared" si="7"/>
        <v>237.0912368505071</v>
      </c>
      <c r="G67" s="111">
        <f t="shared" si="8"/>
        <v>6099.9539030596461</v>
      </c>
      <c r="H67" s="111">
        <f t="shared" si="4"/>
        <v>237.0912368505071</v>
      </c>
      <c r="I67" s="111">
        <f t="shared" si="5"/>
        <v>6099.9539030596461</v>
      </c>
      <c r="J67" s="63">
        <f t="shared" si="6"/>
        <v>21.860254665350961</v>
      </c>
      <c r="K67" s="64">
        <f>I67*(1+KeyParameters!$B$37)*(1+KeyParameters!$B$34)</f>
        <v>9149.9308545894692</v>
      </c>
    </row>
    <row r="68" spans="1:11" x14ac:dyDescent="0.25">
      <c r="A68" s="66">
        <v>63</v>
      </c>
      <c r="B68" s="62">
        <f t="shared" si="1"/>
        <v>64.812809999999999</v>
      </c>
      <c r="C68" s="62">
        <f t="shared" si="2"/>
        <v>19.467203579458733</v>
      </c>
      <c r="D68" s="62">
        <f t="shared" si="3"/>
        <v>9.9457074542577164</v>
      </c>
      <c r="E68" s="111">
        <f t="shared" si="0"/>
        <v>77.649920961056836</v>
      </c>
      <c r="F68" s="62">
        <f t="shared" si="7"/>
        <v>241.99019794614546</v>
      </c>
      <c r="G68" s="111">
        <f t="shared" si="8"/>
        <v>6341.9441010057917</v>
      </c>
      <c r="H68" s="111">
        <f t="shared" si="4"/>
        <v>241.99019794614546</v>
      </c>
      <c r="I68" s="111">
        <f t="shared" si="5"/>
        <v>6341.9441010057917</v>
      </c>
      <c r="J68" s="63">
        <f t="shared" si="6"/>
        <v>22.274602434219716</v>
      </c>
      <c r="K68" s="64">
        <f>I68*(1+KeyParameters!$B$37)*(1+KeyParameters!$B$34)</f>
        <v>9512.9161515086871</v>
      </c>
    </row>
    <row r="69" spans="1:11" x14ac:dyDescent="0.25">
      <c r="A69" s="66">
        <v>64</v>
      </c>
      <c r="B69" s="62">
        <f t="shared" si="1"/>
        <v>65.802840000000003</v>
      </c>
      <c r="C69" s="62">
        <f t="shared" si="2"/>
        <v>19.634256286063568</v>
      </c>
      <c r="D69" s="62">
        <f t="shared" si="3"/>
        <v>10.044432368691137</v>
      </c>
      <c r="E69" s="111">
        <f t="shared" si="0"/>
        <v>79.199137963230044</v>
      </c>
      <c r="F69" s="62">
        <f t="shared" si="7"/>
        <v>246.85586041142793</v>
      </c>
      <c r="G69" s="111">
        <f t="shared" si="8"/>
        <v>6588.7999614172195</v>
      </c>
      <c r="H69" s="111">
        <f t="shared" si="4"/>
        <v>246.85586041142793</v>
      </c>
      <c r="I69" s="111">
        <f t="shared" si="5"/>
        <v>6588.7999614172195</v>
      </c>
      <c r="J69" s="63">
        <f t="shared" si="6"/>
        <v>22.688952054719962</v>
      </c>
      <c r="K69" s="64">
        <f>I69*(1+KeyParameters!$B$37)*(1+KeyParameters!$B$34)</f>
        <v>9883.1999421258279</v>
      </c>
    </row>
    <row r="70" spans="1:11" x14ac:dyDescent="0.25">
      <c r="A70" s="66">
        <v>65</v>
      </c>
      <c r="B70" s="62">
        <f t="shared" si="1"/>
        <v>66.792870000000008</v>
      </c>
      <c r="C70" s="62">
        <f t="shared" si="2"/>
        <v>19.798427324029756</v>
      </c>
      <c r="D70" s="62">
        <f t="shared" si="3"/>
        <v>10.142294742851764</v>
      </c>
      <c r="E70" s="111">
        <f xml:space="preserve">  3.14*(D70/2)^2</f>
        <v>80.749921980939646</v>
      </c>
      <c r="F70" s="62">
        <f t="shared" si="7"/>
        <v>251.68567037323194</v>
      </c>
      <c r="G70" s="111">
        <f t="shared" si="8"/>
        <v>6840.4856317904514</v>
      </c>
      <c r="H70" s="111">
        <f t="shared" si="4"/>
        <v>251.68567037323194</v>
      </c>
      <c r="I70" s="111">
        <f t="shared" si="5"/>
        <v>6840.4856317904514</v>
      </c>
      <c r="J70" s="63">
        <f t="shared" si="6"/>
        <v>23.103266786173013</v>
      </c>
      <c r="K70" s="64">
        <f>I70*(1+KeyParameters!$B$37)*(1+KeyParameters!$B$34)</f>
        <v>10260.728447685677</v>
      </c>
    </row>
    <row r="71" spans="1:11" x14ac:dyDescent="0.25">
      <c r="A71" s="66">
        <v>66</v>
      </c>
      <c r="B71" s="62">
        <f>(2.44092 + 0.99003 * A71)</f>
        <v>67.782899999999998</v>
      </c>
      <c r="C71" s="62">
        <f>2.26166 + 0.36074 * B71 -
0.00147 * B71^2</f>
        <v>19.959716693357297</v>
      </c>
      <c r="D71" s="62">
        <f xml:space="preserve"> 1.60609 + 0.15719 * B71 - 0.00044 * B71^2</f>
        <v>10.239294576739599</v>
      </c>
      <c r="E71" s="111">
        <f xml:space="preserve">  3.14*(D71/2)^2</f>
        <v>82.301875441960448</v>
      </c>
      <c r="F71" s="62">
        <f>0.8842 * C71^2 - 5.447 * C71 + 12.941</f>
        <v>256.47711801289057</v>
      </c>
      <c r="G71" s="111">
        <f t="shared" si="8"/>
        <v>7096.9627498033424</v>
      </c>
      <c r="H71" s="111">
        <f t="shared" ref="H71:H105" si="9">F71</f>
        <v>256.47711801289057</v>
      </c>
      <c r="I71" s="111">
        <f t="shared" ref="I71:I105" si="10">G71</f>
        <v>7096.9627498033424</v>
      </c>
      <c r="J71" s="63">
        <f t="shared" ref="J71:J105" si="11">(I71/E71)*12/44</f>
        <v>23.517511417657275</v>
      </c>
      <c r="K71" s="64">
        <f>I71*(1+KeyParameters!$B$37)*(1+KeyParameters!$B$34)</f>
        <v>10645.444124705014</v>
      </c>
    </row>
    <row r="72" spans="1:11" x14ac:dyDescent="0.25">
      <c r="A72" s="66">
        <v>67</v>
      </c>
      <c r="B72" s="62">
        <f t="shared" si="1"/>
        <v>68.772930000000002</v>
      </c>
      <c r="C72" s="62">
        <f t="shared" si="2"/>
        <v>20.118124394046198</v>
      </c>
      <c r="D72" s="62">
        <f xml:space="preserve"> 1.60609 + 0.15719 * B72 - 0.00044 * B72^2</f>
        <v>10.335431870354645</v>
      </c>
      <c r="E72" s="111">
        <f xml:space="preserve">  3.14*(D72/2)^2</f>
        <v>83.85460427819288</v>
      </c>
      <c r="F72" s="62">
        <f>0.8842 * C72^2 - 5.447 * C72 + 12.941</f>
        <v>261.22773756619318</v>
      </c>
      <c r="G72" s="111">
        <f t="shared" ref="G72:G105" si="12">G71+F72</f>
        <v>7358.1904873695357</v>
      </c>
      <c r="H72" s="111">
        <f t="shared" si="9"/>
        <v>261.22773756619318</v>
      </c>
      <c r="I72" s="111">
        <f t="shared" si="10"/>
        <v>7358.1904873695357</v>
      </c>
      <c r="J72" s="63">
        <f t="shared" si="11"/>
        <v>23.931652186568552</v>
      </c>
      <c r="K72" s="64">
        <f>I72*(1+KeyParameters!$B$37)*(1+KeyParameters!$B$34)</f>
        <v>11037.285731054302</v>
      </c>
    </row>
    <row r="73" spans="1:11" x14ac:dyDescent="0.25">
      <c r="A73" s="66">
        <v>68</v>
      </c>
      <c r="B73" s="62">
        <f t="shared" si="1"/>
        <v>69.762960000000007</v>
      </c>
      <c r="C73" s="62">
        <f t="shared" si="2"/>
        <v>20.273650426096449</v>
      </c>
      <c r="D73" s="62">
        <f t="shared" ref="D73:D78" si="13" xml:space="preserve"> 1.60609 + 0.15719 * B73 - 0.00044 * B73^2</f>
        <v>10.430706623696896</v>
      </c>
      <c r="E73" s="111">
        <f t="shared" ref="E73:E78" si="14" xml:space="preserve">  3.14*(D73/2)^2</f>
        <v>85.407717925662922</v>
      </c>
      <c r="F73" s="62">
        <f t="shared" ref="F73:F78" si="15">0.8842 * C73^2 - 5.447 * C73 + 12.941</f>
        <v>265.93510732338422</v>
      </c>
      <c r="G73" s="111">
        <f t="shared" si="12"/>
        <v>7624.1255946929195</v>
      </c>
      <c r="H73" s="111">
        <f t="shared" si="9"/>
        <v>265.93510732338422</v>
      </c>
      <c r="I73" s="111">
        <f t="shared" si="10"/>
        <v>7624.1255946929195</v>
      </c>
      <c r="J73" s="63">
        <f t="shared" si="11"/>
        <v>24.345656702601296</v>
      </c>
      <c r="K73" s="64">
        <f>I73*(1+KeyParameters!$B$37)*(1+KeyParameters!$B$34)</f>
        <v>11436.188392039378</v>
      </c>
    </row>
    <row r="74" spans="1:11" x14ac:dyDescent="0.25">
      <c r="A74" s="66">
        <v>69</v>
      </c>
      <c r="B74" s="62">
        <f>(2.44092 + 0.99003 * A74)</f>
        <v>70.752989999999997</v>
      </c>
      <c r="C74" s="62">
        <f t="shared" ref="C74:C77" si="16">2.26166 + 0.36074 * B74 -
0.00147 * B74^2</f>
        <v>20.426294789508052</v>
      </c>
      <c r="D74" s="62">
        <f t="shared" si="13"/>
        <v>10.525118836766355</v>
      </c>
      <c r="E74" s="111">
        <f t="shared" si="14"/>
        <v>86.960829324522351</v>
      </c>
      <c r="F74" s="62">
        <f t="shared" si="15"/>
        <v>270.59684962916452</v>
      </c>
      <c r="G74" s="111">
        <f t="shared" si="12"/>
        <v>7894.7224443220839</v>
      </c>
      <c r="H74" s="111">
        <f t="shared" si="9"/>
        <v>270.59684962916452</v>
      </c>
      <c r="I74" s="111">
        <f t="shared" si="10"/>
        <v>7894.7224443220839</v>
      </c>
      <c r="J74" s="63">
        <f t="shared" si="11"/>
        <v>24.759493876763074</v>
      </c>
      <c r="K74" s="64">
        <f>I74*(1+KeyParameters!$B$37)*(1+KeyParameters!$B$34)</f>
        <v>11842.083666483126</v>
      </c>
    </row>
    <row r="75" spans="1:11" x14ac:dyDescent="0.25">
      <c r="A75" s="66">
        <v>70</v>
      </c>
      <c r="B75" s="62">
        <f>(2.44092 + 0.99003 * A75)</f>
        <v>71.743020000000001</v>
      </c>
      <c r="C75" s="62">
        <f t="shared" si="16"/>
        <v>20.576057484281012</v>
      </c>
      <c r="D75" s="62">
        <f t="shared" si="13"/>
        <v>10.618668509563024</v>
      </c>
      <c r="E75" s="111">
        <f t="shared" si="14"/>
        <v>88.513554919048559</v>
      </c>
      <c r="F75" s="62">
        <f t="shared" si="15"/>
        <v>275.21063088269057</v>
      </c>
      <c r="G75" s="111">
        <f t="shared" si="12"/>
        <v>8169.9330752047745</v>
      </c>
      <c r="H75" s="111">
        <f t="shared" si="9"/>
        <v>275.21063088269057</v>
      </c>
      <c r="I75" s="111">
        <f t="shared" si="10"/>
        <v>8169.9330752047745</v>
      </c>
      <c r="J75" s="63">
        <f t="shared" si="11"/>
        <v>25.173133855065927</v>
      </c>
      <c r="K75" s="64">
        <f>I75*(1+KeyParameters!$B$37)*(1+KeyParameters!$B$34)</f>
        <v>12254.899612807161</v>
      </c>
    </row>
    <row r="76" spans="1:11" x14ac:dyDescent="0.25">
      <c r="A76" s="66">
        <v>71</v>
      </c>
      <c r="B76" s="62">
        <f>(2.44092 + 0.99003 * A76)</f>
        <v>72.733050000000006</v>
      </c>
      <c r="C76" s="62">
        <f t="shared" si="16"/>
        <v>20.722938510415325</v>
      </c>
      <c r="D76" s="62">
        <f t="shared" si="13"/>
        <v>10.7113556420869</v>
      </c>
      <c r="E76" s="111">
        <f t="shared" si="14"/>
        <v>90.065514657644499</v>
      </c>
      <c r="F76" s="62">
        <f t="shared" si="15"/>
        <v>279.77416153757474</v>
      </c>
      <c r="G76" s="111">
        <f t="shared" si="12"/>
        <v>8449.7072367423498</v>
      </c>
      <c r="H76" s="111">
        <f t="shared" si="9"/>
        <v>279.77416153757474</v>
      </c>
      <c r="I76" s="111">
        <f t="shared" si="10"/>
        <v>8449.7072367423498</v>
      </c>
      <c r="J76" s="63">
        <f t="shared" si="11"/>
        <v>25.586547956566246</v>
      </c>
      <c r="K76" s="64">
        <f>I76*(1+KeyParameters!$B$37)*(1+KeyParameters!$B$34)</f>
        <v>12674.560855113525</v>
      </c>
    </row>
    <row r="77" spans="1:11" x14ac:dyDescent="0.25">
      <c r="A77" s="66">
        <v>72</v>
      </c>
      <c r="B77" s="62">
        <f>(2.44092 + 0.99003 * A77)</f>
        <v>73.72308000000001</v>
      </c>
      <c r="C77" s="62">
        <f t="shared" si="16"/>
        <v>20.866937867910995</v>
      </c>
      <c r="D77" s="62">
        <f t="shared" si="13"/>
        <v>10.803180234337983</v>
      </c>
      <c r="E77" s="111">
        <f t="shared" si="14"/>
        <v>91.616331992838852</v>
      </c>
      <c r="F77" s="62">
        <f t="shared" si="15"/>
        <v>284.28519610188539</v>
      </c>
      <c r="G77" s="111">
        <f t="shared" si="12"/>
        <v>8733.9924328442357</v>
      </c>
      <c r="H77" s="111">
        <f t="shared" si="9"/>
        <v>284.28519610188539</v>
      </c>
      <c r="I77" s="111">
        <f t="shared" si="10"/>
        <v>8733.9924328442357</v>
      </c>
      <c r="J77" s="63">
        <f t="shared" si="11"/>
        <v>25.999708615451162</v>
      </c>
      <c r="K77" s="64">
        <f>I77*(1+KeyParameters!$B$37)*(1+KeyParameters!$B$34)</f>
        <v>13100.988649266354</v>
      </c>
    </row>
    <row r="78" spans="1:11" x14ac:dyDescent="0.25">
      <c r="A78" s="66">
        <v>73</v>
      </c>
      <c r="B78" s="62">
        <f>(2.44092 + 0.99003 * A78)</f>
        <v>74.71311</v>
      </c>
      <c r="C78" s="62">
        <f>2.26166 + 0.36074 * B78 -
0.00147 * B78^2</f>
        <v>21.008055556768014</v>
      </c>
      <c r="D78" s="62">
        <f t="shared" si="13"/>
        <v>10.894142286316276</v>
      </c>
      <c r="E78" s="62">
        <f t="shared" si="14"/>
        <v>93.16563388128597</v>
      </c>
      <c r="F78" s="62">
        <f t="shared" si="15"/>
        <v>288.74153313814617</v>
      </c>
      <c r="G78" s="111">
        <f t="shared" si="12"/>
        <v>9022.7339659823811</v>
      </c>
      <c r="H78" s="111">
        <f t="shared" si="9"/>
        <v>288.74153313814617</v>
      </c>
      <c r="I78" s="111">
        <f t="shared" si="10"/>
        <v>9022.7339659823811</v>
      </c>
      <c r="J78" s="63">
        <f t="shared" si="11"/>
        <v>26.412589326893315</v>
      </c>
      <c r="K78" s="64">
        <f>I78*(1+KeyParameters!$B$37)*(1+KeyParameters!$B$34)</f>
        <v>13534.10094897357</v>
      </c>
    </row>
    <row r="79" spans="1:11" x14ac:dyDescent="0.25">
      <c r="A79" s="66">
        <v>74</v>
      </c>
      <c r="B79" s="62">
        <f t="shared" ref="B79:B96" si="17">(2.44092 + 0.99003 * A79)</f>
        <v>75.703140000000005</v>
      </c>
      <c r="C79" s="62">
        <f t="shared" ref="C79:C96" si="18">2.26166 + 0.36074 * B79 -
0.00147 * B79^2</f>
        <v>21.146291576986389</v>
      </c>
      <c r="D79" s="62">
        <f t="shared" ref="D79:D82" si="19" xml:space="preserve"> 1.60609 + 0.15719 * B79 - 0.00044 * B79^2</f>
        <v>10.984241798021777</v>
      </c>
      <c r="E79" s="62">
        <f t="shared" ref="E79:E82" si="20" xml:space="preserve">  3.14*(D79/2)^2</f>
        <v>94.713050783765823</v>
      </c>
      <c r="F79" s="62">
        <f t="shared" ref="F79:F82" si="21">0.8842 * C79^2 - 5.447 * C79 + 12.941</f>
        <v>293.14101526333701</v>
      </c>
      <c r="G79" s="111">
        <f t="shared" si="12"/>
        <v>9315.8749812457172</v>
      </c>
      <c r="H79" s="111">
        <f t="shared" si="9"/>
        <v>293.14101526333701</v>
      </c>
      <c r="I79" s="111">
        <f t="shared" si="10"/>
        <v>9315.8749812457172</v>
      </c>
      <c r="J79" s="63">
        <f t="shared" si="11"/>
        <v>26.825164596417604</v>
      </c>
      <c r="K79" s="64">
        <f>I79*(1+KeyParameters!$B$37)*(1+KeyParameters!$B$34)</f>
        <v>13973.812471868576</v>
      </c>
    </row>
    <row r="80" spans="1:11" x14ac:dyDescent="0.25">
      <c r="A80" s="66">
        <v>75</v>
      </c>
      <c r="B80" s="62">
        <f t="shared" si="17"/>
        <v>76.693170000000009</v>
      </c>
      <c r="C80" s="62">
        <f t="shared" si="18"/>
        <v>21.281645928566117</v>
      </c>
      <c r="D80" s="62">
        <f t="shared" si="19"/>
        <v>11.073478769454486</v>
      </c>
      <c r="E80" s="62">
        <f t="shared" si="20"/>
        <v>96.258216665184008</v>
      </c>
      <c r="F80" s="62">
        <f t="shared" si="21"/>
        <v>297.48152914889369</v>
      </c>
      <c r="G80" s="111">
        <f t="shared" si="12"/>
        <v>9613.3565103946112</v>
      </c>
      <c r="H80" s="111">
        <f t="shared" si="9"/>
        <v>297.48152914889369</v>
      </c>
      <c r="I80" s="111">
        <f t="shared" si="10"/>
        <v>9613.3565103946112</v>
      </c>
      <c r="J80" s="63">
        <f t="shared" si="11"/>
        <v>27.237409892543663</v>
      </c>
      <c r="K80" s="64">
        <f>I80*(1+KeyParameters!$B$37)*(1+KeyParameters!$B$34)</f>
        <v>14420.034765591916</v>
      </c>
    </row>
    <row r="81" spans="1:11" x14ac:dyDescent="0.25">
      <c r="A81" s="66">
        <v>76</v>
      </c>
      <c r="B81" s="62">
        <f t="shared" si="17"/>
        <v>77.683199999999999</v>
      </c>
      <c r="C81" s="62">
        <f t="shared" si="18"/>
        <v>21.414118611507199</v>
      </c>
      <c r="D81" s="62">
        <f t="shared" si="19"/>
        <v>11.161853200614399</v>
      </c>
      <c r="E81" s="62">
        <f t="shared" si="20"/>
        <v>97.80076899457174</v>
      </c>
      <c r="F81" s="62">
        <f t="shared" si="21"/>
        <v>301.76100552070767</v>
      </c>
      <c r="G81" s="111">
        <f t="shared" si="12"/>
        <v>9915.117515915319</v>
      </c>
      <c r="H81" s="111">
        <f t="shared" si="9"/>
        <v>301.76100552070767</v>
      </c>
      <c r="I81" s="111">
        <f t="shared" si="10"/>
        <v>9915.117515915319</v>
      </c>
      <c r="J81" s="63">
        <f t="shared" si="11"/>
        <v>27.649301602486208</v>
      </c>
      <c r="K81" s="64">
        <f>I81*(1+KeyParameters!$B$37)*(1+KeyParameters!$B$34)</f>
        <v>14872.676273872978</v>
      </c>
    </row>
    <row r="82" spans="1:11" x14ac:dyDescent="0.25">
      <c r="A82" s="66">
        <v>77</v>
      </c>
      <c r="B82" s="62">
        <f>(2.44092 + 0.99003 * A82)</f>
        <v>78.673230000000004</v>
      </c>
      <c r="C82" s="62">
        <f>2.26166 + 0.36074 * B82 -
0.00147 * B82^2</f>
        <v>21.543709625809637</v>
      </c>
      <c r="D82" s="62">
        <f t="shared" si="19"/>
        <v>11.249365091501524</v>
      </c>
      <c r="E82" s="62">
        <f t="shared" si="20"/>
        <v>99.340348745086075</v>
      </c>
      <c r="F82" s="62">
        <f t="shared" si="21"/>
        <v>305.97741915912638</v>
      </c>
      <c r="G82" s="111">
        <f t="shared" si="12"/>
        <v>10221.094935074445</v>
      </c>
      <c r="H82" s="111">
        <f t="shared" si="9"/>
        <v>305.97741915912638</v>
      </c>
      <c r="I82" s="111">
        <f t="shared" si="10"/>
        <v>10221.094935074445</v>
      </c>
      <c r="J82" s="63">
        <f t="shared" si="11"/>
        <v>28.060816990712272</v>
      </c>
      <c r="K82" s="64">
        <f>I82*(1+KeyParameters!$B$37)*(1+KeyParameters!$B$34)</f>
        <v>15331.642402611667</v>
      </c>
    </row>
    <row r="83" spans="1:11" x14ac:dyDescent="0.25">
      <c r="A83" s="66">
        <v>78</v>
      </c>
      <c r="B83" s="62">
        <f t="shared" si="17"/>
        <v>79.663260000000008</v>
      </c>
      <c r="C83" s="62">
        <f t="shared" si="18"/>
        <v>21.670418971473428</v>
      </c>
      <c r="D83" s="62">
        <f t="shared" ref="D83:D90" si="22" xml:space="preserve"> 1.60609 + 0.15719 * B83 - 0.00044 * B83^2</f>
        <v>11.336014442115857</v>
      </c>
      <c r="E83" s="62">
        <f t="shared" ref="E83:E90" si="23" xml:space="preserve">  3.14*(D83/2)^2</f>
        <v>100.87660039400954</v>
      </c>
      <c r="F83" s="62">
        <f t="shared" ref="F83:F90" si="24">0.8842 * C83^2 - 5.447 * C83 + 12.941</f>
        <v>310.12878889895285</v>
      </c>
      <c r="G83" s="111">
        <f t="shared" si="12"/>
        <v>10531.223723973399</v>
      </c>
      <c r="H83" s="111">
        <f t="shared" si="9"/>
        <v>310.12878889895285</v>
      </c>
      <c r="I83" s="111">
        <f t="shared" si="10"/>
        <v>10531.223723973399</v>
      </c>
      <c r="J83" s="63">
        <f t="shared" si="11"/>
        <v>28.471934160169987</v>
      </c>
      <c r="K83" s="64">
        <f>I83*(1+KeyParameters!$B$37)*(1+KeyParameters!$B$34)</f>
        <v>15796.835585960096</v>
      </c>
    </row>
    <row r="84" spans="1:11" x14ac:dyDescent="0.25">
      <c r="A84" s="66">
        <v>79</v>
      </c>
      <c r="B84" s="62">
        <f t="shared" si="17"/>
        <v>80.653289999999998</v>
      </c>
      <c r="C84" s="62">
        <f t="shared" si="18"/>
        <v>21.794246648498572</v>
      </c>
      <c r="D84" s="62">
        <f t="shared" si="22"/>
        <v>11.421801252457396</v>
      </c>
      <c r="E84" s="62">
        <f t="shared" si="23"/>
        <v>102.40917192275032</v>
      </c>
      <c r="F84" s="62">
        <f t="shared" si="24"/>
        <v>314.21317762944597</v>
      </c>
      <c r="G84" s="111">
        <f t="shared" si="12"/>
        <v>10845.436901602845</v>
      </c>
      <c r="H84" s="111">
        <f t="shared" si="9"/>
        <v>314.21317762944597</v>
      </c>
      <c r="I84" s="111">
        <f t="shared" si="10"/>
        <v>10845.436901602845</v>
      </c>
      <c r="J84" s="63">
        <f t="shared" si="11"/>
        <v>28.882632016017478</v>
      </c>
      <c r="K84" s="64">
        <f>I84*(1+KeyParameters!$B$37)*(1+KeyParameters!$B$34)</f>
        <v>16268.155352404267</v>
      </c>
    </row>
    <row r="85" spans="1:11" x14ac:dyDescent="0.25">
      <c r="A85" s="66">
        <v>80</v>
      </c>
      <c r="B85" s="62">
        <f t="shared" si="17"/>
        <v>81.643320000000003</v>
      </c>
      <c r="C85" s="62">
        <f t="shared" si="18"/>
        <v>21.915192656885072</v>
      </c>
      <c r="D85" s="62">
        <f t="shared" si="22"/>
        <v>11.506725522526143</v>
      </c>
      <c r="E85" s="62">
        <f t="shared" si="23"/>
        <v>103.93771481684232</v>
      </c>
      <c r="F85" s="62">
        <f t="shared" si="24"/>
        <v>318.22869229432087</v>
      </c>
      <c r="G85" s="111">
        <f t="shared" si="12"/>
        <v>11163.665593897165</v>
      </c>
      <c r="H85" s="111">
        <f t="shared" si="9"/>
        <v>318.22869229432087</v>
      </c>
      <c r="I85" s="111">
        <f t="shared" si="10"/>
        <v>11163.665593897165</v>
      </c>
      <c r="J85" s="63">
        <f t="shared" si="11"/>
        <v>29.292890231693868</v>
      </c>
      <c r="K85" s="64">
        <f>I85*(1+KeyParameters!$B$37)*(1+KeyParameters!$B$34)</f>
        <v>16745.498390845747</v>
      </c>
    </row>
    <row r="86" spans="1:11" x14ac:dyDescent="0.25">
      <c r="A86" s="66">
        <v>81</v>
      </c>
      <c r="B86" s="62">
        <f>(2.44092 + 0.99003 * A86)</f>
        <v>82.633350000000007</v>
      </c>
      <c r="C86" s="62">
        <f>2.26166 + 0.36074 * B86 -
0.00147 * B86^2</f>
        <v>22.033256996632925</v>
      </c>
      <c r="D86" s="62">
        <f t="shared" si="22"/>
        <v>11.5907872523221</v>
      </c>
      <c r="E86" s="62">
        <f t="shared" si="23"/>
        <v>105.46188406594511</v>
      </c>
      <c r="F86" s="62">
        <f t="shared" si="24"/>
        <v>322.17348389174794</v>
      </c>
      <c r="G86" s="111">
        <f t="shared" si="12"/>
        <v>11485.839077788913</v>
      </c>
      <c r="H86" s="111">
        <f t="shared" si="9"/>
        <v>322.17348389174794</v>
      </c>
      <c r="I86" s="111">
        <f t="shared" si="10"/>
        <v>11485.839077788913</v>
      </c>
      <c r="J86" s="63">
        <f t="shared" si="11"/>
        <v>29.702689217186336</v>
      </c>
      <c r="K86" s="64">
        <f>I86*(1+KeyParameters!$B$37)*(1+KeyParameters!$B$34)</f>
        <v>17228.758616683368</v>
      </c>
    </row>
    <row r="87" spans="1:11" x14ac:dyDescent="0.25">
      <c r="A87" s="66">
        <v>82</v>
      </c>
      <c r="B87" s="62">
        <f t="shared" si="17"/>
        <v>83.623379999999997</v>
      </c>
      <c r="C87" s="62">
        <f t="shared" si="18"/>
        <v>22.148439667742132</v>
      </c>
      <c r="D87" s="62">
        <f t="shared" si="22"/>
        <v>11.673986441845264</v>
      </c>
      <c r="E87" s="62">
        <f t="shared" si="23"/>
        <v>106.98133816384383</v>
      </c>
      <c r="F87" s="62">
        <f t="shared" si="24"/>
        <v>326.04574747435379</v>
      </c>
      <c r="G87" s="111">
        <f t="shared" si="12"/>
        <v>11811.884825263267</v>
      </c>
      <c r="H87" s="111">
        <f t="shared" si="9"/>
        <v>326.04574747435379</v>
      </c>
      <c r="I87" s="111">
        <f t="shared" si="10"/>
        <v>11811.884825263267</v>
      </c>
      <c r="J87" s="63">
        <f t="shared" si="11"/>
        <v>30.112010089358218</v>
      </c>
      <c r="K87" s="64">
        <f>I87*(1+KeyParameters!$B$37)*(1+KeyParameters!$B$34)</f>
        <v>17717.8272378949</v>
      </c>
    </row>
    <row r="88" spans="1:11" x14ac:dyDescent="0.25">
      <c r="A88" s="66">
        <v>83</v>
      </c>
      <c r="B88" s="62">
        <f t="shared" si="17"/>
        <v>84.613410000000002</v>
      </c>
      <c r="C88" s="62">
        <f t="shared" si="18"/>
        <v>22.260740670212694</v>
      </c>
      <c r="D88" s="62">
        <f t="shared" si="22"/>
        <v>11.756323091095634</v>
      </c>
      <c r="E88" s="62">
        <f t="shared" si="23"/>
        <v>108.4957391084493</v>
      </c>
      <c r="F88" s="62">
        <f t="shared" si="24"/>
        <v>329.8437221492207</v>
      </c>
      <c r="G88" s="111">
        <f t="shared" si="12"/>
        <v>12141.728547412487</v>
      </c>
      <c r="H88" s="111">
        <f t="shared" si="9"/>
        <v>329.8437221492207</v>
      </c>
      <c r="I88" s="111">
        <f t="shared" si="10"/>
        <v>12141.728547412487</v>
      </c>
      <c r="J88" s="63">
        <f t="shared" si="11"/>
        <v>30.52083464421322</v>
      </c>
      <c r="K88" s="64">
        <f>I88*(1+KeyParameters!$B$37)*(1+KeyParameters!$B$34)</f>
        <v>18212.592821118731</v>
      </c>
    </row>
    <row r="89" spans="1:11" x14ac:dyDescent="0.25">
      <c r="A89" s="66">
        <v>84</v>
      </c>
      <c r="B89" s="62">
        <f t="shared" si="17"/>
        <v>85.603440000000006</v>
      </c>
      <c r="C89" s="62">
        <f t="shared" si="18"/>
        <v>22.370160004044614</v>
      </c>
      <c r="D89" s="62">
        <f t="shared" si="22"/>
        <v>11.837797200073215</v>
      </c>
      <c r="E89" s="62">
        <f t="shared" si="23"/>
        <v>110.0047524017981</v>
      </c>
      <c r="F89" s="62">
        <f t="shared" si="24"/>
        <v>333.56569107788692</v>
      </c>
      <c r="G89" s="111">
        <f t="shared" si="12"/>
        <v>12475.294238490374</v>
      </c>
      <c r="H89" s="111">
        <f t="shared" si="9"/>
        <v>333.56569107788692</v>
      </c>
      <c r="I89" s="111">
        <f t="shared" si="10"/>
        <v>12475.294238490374</v>
      </c>
      <c r="J89" s="63">
        <f t="shared" si="11"/>
        <v>30.929145330980489</v>
      </c>
      <c r="K89" s="64">
        <f>I89*(1+KeyParameters!$B$37)*(1+KeyParameters!$B$34)</f>
        <v>18712.941357735559</v>
      </c>
    </row>
    <row r="90" spans="1:11" x14ac:dyDescent="0.25">
      <c r="A90" s="66">
        <v>85</v>
      </c>
      <c r="B90" s="62">
        <f>(2.44092 + 0.99003 * A90)</f>
        <v>86.593469999999996</v>
      </c>
      <c r="C90" s="62">
        <f>2.26166 + 0.36074 * B90 -
0.00147 * B90^2</f>
        <v>22.476697669237879</v>
      </c>
      <c r="D90" s="62">
        <f t="shared" si="22"/>
        <v>11.918408768778004</v>
      </c>
      <c r="E90" s="62">
        <f t="shared" si="23"/>
        <v>111.50804705005228</v>
      </c>
      <c r="F90" s="62">
        <f t="shared" si="24"/>
        <v>337.20998147634612</v>
      </c>
      <c r="G90" s="111">
        <f t="shared" si="12"/>
        <v>12812.50421996672</v>
      </c>
      <c r="H90" s="111">
        <f t="shared" si="9"/>
        <v>337.20998147634612</v>
      </c>
      <c r="I90" s="111">
        <f t="shared" si="10"/>
        <v>12812.50421996672</v>
      </c>
      <c r="J90" s="63">
        <f t="shared" si="11"/>
        <v>31.336925227913927</v>
      </c>
      <c r="K90" s="64">
        <f>I90*(1+KeyParameters!$B$37)*(1+KeyParameters!$B$34)</f>
        <v>19218.75632995008</v>
      </c>
    </row>
    <row r="91" spans="1:11" x14ac:dyDescent="0.25">
      <c r="A91" s="66">
        <v>86</v>
      </c>
      <c r="B91" s="62">
        <f t="shared" si="17"/>
        <v>87.583500000000001</v>
      </c>
      <c r="C91" s="62">
        <f t="shared" si="18"/>
        <v>22.580353665792497</v>
      </c>
      <c r="D91" s="62">
        <f t="shared" ref="D91:D105" si="25" xml:space="preserve"> 1.60609 + 0.15719 * B91 - 0.00044 * B91^2</f>
        <v>11.99815779721</v>
      </c>
      <c r="E91" s="62">
        <f t="shared" ref="E91:E105" si="26" xml:space="preserve">  3.14*(D91/2)^2</f>
        <v>113.00529556349963</v>
      </c>
      <c r="F91" s="62">
        <f t="shared" ref="F91:F105" si="27">0.8842 * C91^2 - 5.447 * C91 + 12.941</f>
        <v>340.77496461504819</v>
      </c>
      <c r="G91" s="111">
        <f t="shared" si="12"/>
        <v>13153.279184581768</v>
      </c>
      <c r="H91" s="111">
        <f t="shared" si="9"/>
        <v>340.77496461504819</v>
      </c>
      <c r="I91" s="111">
        <f t="shared" si="10"/>
        <v>13153.279184581768</v>
      </c>
      <c r="J91" s="63">
        <f t="shared" si="11"/>
        <v>31.744158019706688</v>
      </c>
      <c r="K91" s="64">
        <f>I91*(1+KeyParameters!$B$37)*(1+KeyParameters!$B$34)</f>
        <v>19729.918776872652</v>
      </c>
    </row>
    <row r="92" spans="1:11" x14ac:dyDescent="0.25">
      <c r="A92" s="66">
        <v>87</v>
      </c>
      <c r="B92" s="62">
        <f t="shared" si="17"/>
        <v>88.573530000000005</v>
      </c>
      <c r="C92" s="62">
        <f t="shared" si="18"/>
        <v>22.681127993708479</v>
      </c>
      <c r="D92" s="62">
        <f t="shared" si="25"/>
        <v>12.077044285369205</v>
      </c>
      <c r="E92" s="62">
        <f t="shared" si="26"/>
        <v>114.49617395655365</v>
      </c>
      <c r="F92" s="62">
        <f t="shared" si="27"/>
        <v>344.25905581889918</v>
      </c>
      <c r="G92" s="111">
        <f t="shared" si="12"/>
        <v>13497.538240400667</v>
      </c>
      <c r="H92" s="111">
        <f t="shared" si="9"/>
        <v>344.25905581889918</v>
      </c>
      <c r="I92" s="111">
        <f t="shared" si="10"/>
        <v>13497.538240400667</v>
      </c>
      <c r="J92" s="63">
        <f t="shared" si="11"/>
        <v>32.150827976429866</v>
      </c>
      <c r="K92" s="64">
        <f>I92*(1+KeyParameters!$B$37)*(1+KeyParameters!$B$34)</f>
        <v>20246.307360601</v>
      </c>
    </row>
    <row r="93" spans="1:11" x14ac:dyDescent="0.25">
      <c r="A93" s="66">
        <v>88</v>
      </c>
      <c r="B93" s="62">
        <f>(2.44092 + 0.99003 * A93)</f>
        <v>89.563559999999995</v>
      </c>
      <c r="C93" s="62">
        <f>2.26166 + 0.36074 * B93 -
0.00147 * B93^2</f>
        <v>22.779020652985807</v>
      </c>
      <c r="D93" s="62">
        <f t="shared" si="25"/>
        <v>12.155068233255616</v>
      </c>
      <c r="E93" s="62">
        <f t="shared" si="26"/>
        <v>115.98036174775335</v>
      </c>
      <c r="F93" s="62">
        <f t="shared" si="27"/>
        <v>347.66071446726022</v>
      </c>
      <c r="G93" s="111">
        <f t="shared" si="12"/>
        <v>13845.198954867927</v>
      </c>
      <c r="H93" s="111">
        <f t="shared" si="9"/>
        <v>347.66071446726022</v>
      </c>
      <c r="I93" s="111">
        <f t="shared" si="10"/>
        <v>13845.198954867927</v>
      </c>
      <c r="J93" s="63">
        <f t="shared" si="11"/>
        <v>32.556919933910791</v>
      </c>
      <c r="K93" s="64">
        <f>I93*(1+KeyParameters!$B$37)*(1+KeyParameters!$B$34)</f>
        <v>20767.79843230189</v>
      </c>
    </row>
    <row r="94" spans="1:11" x14ac:dyDescent="0.25">
      <c r="A94" s="66">
        <v>89</v>
      </c>
      <c r="B94" s="62">
        <f t="shared" si="17"/>
        <v>90.55359</v>
      </c>
      <c r="C94" s="62">
        <f t="shared" si="18"/>
        <v>22.874031643624498</v>
      </c>
      <c r="D94" s="62">
        <f t="shared" si="25"/>
        <v>12.232229640869237</v>
      </c>
      <c r="E94" s="62">
        <f t="shared" si="26"/>
        <v>117.45754195976356</v>
      </c>
      <c r="F94" s="62">
        <f t="shared" si="27"/>
        <v>350.97844399394887</v>
      </c>
      <c r="G94" s="111">
        <f t="shared" si="12"/>
        <v>14196.177398861875</v>
      </c>
      <c r="H94" s="111">
        <f t="shared" si="9"/>
        <v>350.97844399394887</v>
      </c>
      <c r="I94" s="111">
        <f t="shared" si="10"/>
        <v>14196.177398861875</v>
      </c>
      <c r="J94" s="63">
        <f t="shared" si="11"/>
        <v>32.962419275472648</v>
      </c>
      <c r="K94" s="64">
        <f>I94*(1+KeyParameters!$B$37)*(1+KeyParameters!$B$34)</f>
        <v>21294.26609829281</v>
      </c>
    </row>
    <row r="95" spans="1:11" x14ac:dyDescent="0.25">
      <c r="A95" s="66">
        <v>90</v>
      </c>
      <c r="B95" s="62">
        <f t="shared" si="17"/>
        <v>91.543620000000004</v>
      </c>
      <c r="C95" s="62">
        <f t="shared" si="18"/>
        <v>22.966160965624532</v>
      </c>
      <c r="D95" s="62">
        <f t="shared" si="25"/>
        <v>12.308528508210065</v>
      </c>
      <c r="E95" s="62">
        <f t="shared" si="26"/>
        <v>118.92740111937462</v>
      </c>
      <c r="F95" s="62">
        <f t="shared" si="27"/>
        <v>354.21079188723763</v>
      </c>
      <c r="G95" s="111">
        <f t="shared" si="12"/>
        <v>14550.388190749112</v>
      </c>
      <c r="H95" s="111">
        <f t="shared" si="9"/>
        <v>354.21079188723763</v>
      </c>
      <c r="I95" s="111">
        <f t="shared" si="10"/>
        <v>14550.388190749112</v>
      </c>
      <c r="J95" s="63">
        <f t="shared" si="11"/>
        <v>33.367311914963238</v>
      </c>
      <c r="K95" s="64">
        <f>I95*(1+KeyParameters!$B$37)*(1+KeyParameters!$B$34)</f>
        <v>21825.58228612367</v>
      </c>
    </row>
    <row r="96" spans="1:11" x14ac:dyDescent="0.25">
      <c r="A96" s="66">
        <v>91</v>
      </c>
      <c r="B96" s="62">
        <f t="shared" si="17"/>
        <v>92.533650000000009</v>
      </c>
      <c r="C96" s="62">
        <f t="shared" si="18"/>
        <v>23.055408618985922</v>
      </c>
      <c r="D96" s="62">
        <f t="shared" si="25"/>
        <v>12.3839648352781</v>
      </c>
      <c r="E96" s="62">
        <f t="shared" si="26"/>
        <v>120.38962925750258</v>
      </c>
      <c r="F96" s="62">
        <f t="shared" si="27"/>
        <v>357.35634968985613</v>
      </c>
      <c r="G96" s="111">
        <f t="shared" si="12"/>
        <v>14907.744540438969</v>
      </c>
      <c r="H96" s="111">
        <f t="shared" si="9"/>
        <v>357.35634968985613</v>
      </c>
      <c r="I96" s="111">
        <f t="shared" si="10"/>
        <v>14907.744540438969</v>
      </c>
      <c r="J96" s="63">
        <f t="shared" si="11"/>
        <v>33.771584281005964</v>
      </c>
      <c r="K96" s="64">
        <f>I96*(1+KeyParameters!$B$37)*(1+KeyParameters!$B$34)</f>
        <v>22361.616810658456</v>
      </c>
    </row>
    <row r="97" spans="1:11" x14ac:dyDescent="0.25">
      <c r="A97" s="66">
        <v>92</v>
      </c>
      <c r="B97" s="62">
        <f>(2.44092 + 0.99003 * A97)</f>
        <v>93.523679999999999</v>
      </c>
      <c r="C97" s="62">
        <f>2.26166 + 0.36074 * B97 -
0.00147 * B97^2</f>
        <v>23.141774603708669</v>
      </c>
      <c r="D97" s="62">
        <f t="shared" si="25"/>
        <v>12.458538622073343</v>
      </c>
      <c r="E97" s="62">
        <f t="shared" si="26"/>
        <v>121.84391990918913</v>
      </c>
      <c r="F97" s="62">
        <f t="shared" si="27"/>
        <v>360.41375299898891</v>
      </c>
      <c r="G97" s="111">
        <f t="shared" si="12"/>
        <v>15268.158293437958</v>
      </c>
      <c r="H97" s="111">
        <f t="shared" si="9"/>
        <v>360.41375299898891</v>
      </c>
      <c r="I97" s="111">
        <f t="shared" si="10"/>
        <v>15268.158293437958</v>
      </c>
      <c r="J97" s="63">
        <f t="shared" si="11"/>
        <v>34.175223302411041</v>
      </c>
      <c r="K97" s="64">
        <f>I97*(1+KeyParameters!$B$37)*(1+KeyParameters!$B$34)</f>
        <v>22902.237440156936</v>
      </c>
    </row>
    <row r="98" spans="1:11" x14ac:dyDescent="0.25">
      <c r="A98" s="66">
        <v>93</v>
      </c>
      <c r="B98" s="62">
        <f>(2.44092 + 0.99003 * A98)</f>
        <v>94.513710000000003</v>
      </c>
      <c r="C98" s="62">
        <f>2.26166 + 0.36074 * B98 -
0.00147 * B98^2</f>
        <v>23.225258919792772</v>
      </c>
      <c r="D98" s="62">
        <f t="shared" si="25"/>
        <v>12.532249868595795</v>
      </c>
      <c r="E98" s="62">
        <f t="shared" si="26"/>
        <v>123.28997011360167</v>
      </c>
      <c r="F98" s="62">
        <f t="shared" si="27"/>
        <v>363.38168146627675</v>
      </c>
      <c r="G98" s="111">
        <f t="shared" si="12"/>
        <v>15631.539974904235</v>
      </c>
      <c r="H98" s="111">
        <f t="shared" si="9"/>
        <v>363.38168146627675</v>
      </c>
      <c r="I98" s="111">
        <f t="shared" si="10"/>
        <v>15631.539974904235</v>
      </c>
      <c r="J98" s="63">
        <f t="shared" si="11"/>
        <v>34.578216394689939</v>
      </c>
      <c r="K98" s="64">
        <f>I98*(1+KeyParameters!$B$37)*(1+KeyParameters!$B$34)</f>
        <v>23447.30996235635</v>
      </c>
    </row>
    <row r="99" spans="1:11" x14ac:dyDescent="0.25">
      <c r="A99" s="66">
        <v>94</v>
      </c>
      <c r="B99" s="62">
        <f t="shared" ref="B99:B101" si="28">(2.44092 + 0.99003 * A99)</f>
        <v>95.503740000000008</v>
      </c>
      <c r="C99" s="62">
        <f t="shared" ref="C99:C101" si="29">2.26166 + 0.36074 * B99 -
0.00147 * B99^2</f>
        <v>23.305861567238232</v>
      </c>
      <c r="D99" s="62">
        <f t="shared" si="25"/>
        <v>12.605098574845453</v>
      </c>
      <c r="E99" s="62">
        <f t="shared" si="26"/>
        <v>124.72748041403314</v>
      </c>
      <c r="F99" s="62">
        <f t="shared" si="27"/>
        <v>366.25885879781612</v>
      </c>
      <c r="G99" s="111">
        <f t="shared" si="12"/>
        <v>15997.798833702051</v>
      </c>
      <c r="H99" s="111">
        <f t="shared" si="9"/>
        <v>366.25885879781612</v>
      </c>
      <c r="I99" s="111">
        <f t="shared" si="10"/>
        <v>15997.798833702051</v>
      </c>
      <c r="J99" s="63">
        <f t="shared" si="11"/>
        <v>34.980551447620023</v>
      </c>
      <c r="K99" s="64">
        <f>I99*(1+KeyParameters!$B$37)*(1+KeyParameters!$B$34)</f>
        <v>23996.698250553076</v>
      </c>
    </row>
    <row r="100" spans="1:11" x14ac:dyDescent="0.25">
      <c r="A100" s="66">
        <v>95</v>
      </c>
      <c r="B100" s="62">
        <f t="shared" si="28"/>
        <v>96.493769999999998</v>
      </c>
      <c r="C100" s="62">
        <f t="shared" si="29"/>
        <v>23.383582546045041</v>
      </c>
      <c r="D100" s="62">
        <f t="shared" si="25"/>
        <v>12.677084740822322</v>
      </c>
      <c r="E100" s="62">
        <f t="shared" si="26"/>
        <v>126.15615485790227</v>
      </c>
      <c r="F100" s="62">
        <f>0.8842 * C100^2 - 5.447 * C100 + 12.941</f>
        <v>369.04405275415894</v>
      </c>
      <c r="G100" s="111">
        <f t="shared" si="12"/>
        <v>16366.84288645621</v>
      </c>
      <c r="H100" s="111">
        <f t="shared" si="9"/>
        <v>369.04405275415894</v>
      </c>
      <c r="I100" s="111">
        <f t="shared" si="10"/>
        <v>16366.84288645621</v>
      </c>
      <c r="J100" s="63">
        <f t="shared" si="11"/>
        <v>35.382216813810622</v>
      </c>
      <c r="K100" s="64">
        <f>I100*(1+KeyParameters!$B$37)*(1+KeyParameters!$B$34)</f>
        <v>24550.264329684313</v>
      </c>
    </row>
    <row r="101" spans="1:11" x14ac:dyDescent="0.25">
      <c r="A101" s="66">
        <v>96</v>
      </c>
      <c r="B101" s="62">
        <f t="shared" si="28"/>
        <v>97.483800000000002</v>
      </c>
      <c r="C101" s="62">
        <f t="shared" si="29"/>
        <v>23.458421856213199</v>
      </c>
      <c r="D101" s="62">
        <f t="shared" si="25"/>
        <v>12.748208366526399</v>
      </c>
      <c r="E101" s="62">
        <f t="shared" si="26"/>
        <v>127.57570099675334</v>
      </c>
      <c r="F101" s="62">
        <f t="shared" si="27"/>
        <v>371.73607515031347</v>
      </c>
      <c r="G101" s="111">
        <f t="shared" si="12"/>
        <v>16738.578961606523</v>
      </c>
      <c r="H101" s="111">
        <f t="shared" si="9"/>
        <v>371.73607515031347</v>
      </c>
      <c r="I101" s="111">
        <f t="shared" si="10"/>
        <v>16738.578961606523</v>
      </c>
      <c r="J101" s="63">
        <f t="shared" si="11"/>
        <v>35.783201298225492</v>
      </c>
      <c r="K101" s="64">
        <f>I101*(1+KeyParameters!$B$37)*(1+KeyParameters!$B$34)</f>
        <v>25107.868442409781</v>
      </c>
    </row>
    <row r="102" spans="1:11" x14ac:dyDescent="0.25">
      <c r="A102" s="66">
        <v>97</v>
      </c>
      <c r="B102" s="62">
        <f>(2.44092 + 0.99003 * A102)</f>
        <v>98.473830000000007</v>
      </c>
      <c r="C102" s="62">
        <f>2.26166 + 0.36074 * B102 -
0.00147 * B102^2</f>
        <v>23.530379497742718</v>
      </c>
      <c r="D102" s="62">
        <f t="shared" si="25"/>
        <v>12.818469451957686</v>
      </c>
      <c r="E102" s="62">
        <f t="shared" si="26"/>
        <v>128.98582988625634</v>
      </c>
      <c r="F102" s="62">
        <f t="shared" si="27"/>
        <v>374.33378185574406</v>
      </c>
      <c r="G102" s="111">
        <f t="shared" si="12"/>
        <v>17112.912743462268</v>
      </c>
      <c r="H102" s="111">
        <f t="shared" si="9"/>
        <v>374.33378185574406</v>
      </c>
      <c r="I102" s="111">
        <f t="shared" si="10"/>
        <v>17112.912743462268</v>
      </c>
      <c r="J102" s="63">
        <f t="shared" si="11"/>
        <v>36.183494148620028</v>
      </c>
      <c r="K102" s="64">
        <f>I102*(1+KeyParameters!$B$37)*(1+KeyParameters!$B$34)</f>
        <v>25669.3691151934</v>
      </c>
    </row>
    <row r="103" spans="1:11" x14ac:dyDescent="0.25">
      <c r="A103" s="66">
        <v>98</v>
      </c>
      <c r="B103" s="62">
        <f t="shared" ref="B103:B105" si="30">(2.44092 + 0.99003 * A103)</f>
        <v>99.463859999999997</v>
      </c>
      <c r="C103" s="62">
        <f t="shared" ref="C103:C105" si="31">2.26166 + 0.36074 * B103 -
0.00147 * B103^2</f>
        <v>23.599455470633586</v>
      </c>
      <c r="D103" s="62">
        <f t="shared" si="25"/>
        <v>12.887867997116174</v>
      </c>
      <c r="E103" s="62">
        <f t="shared" si="26"/>
        <v>130.38625608620666</v>
      </c>
      <c r="F103" s="62">
        <f t="shared" si="27"/>
        <v>376.83607279437001</v>
      </c>
      <c r="G103" s="111">
        <f t="shared" si="12"/>
        <v>17489.748816256637</v>
      </c>
      <c r="H103" s="111">
        <f t="shared" si="9"/>
        <v>376.83607279437001</v>
      </c>
      <c r="I103" s="111">
        <f t="shared" si="10"/>
        <v>17489.748816256637</v>
      </c>
      <c r="J103" s="63">
        <f t="shared" si="11"/>
        <v>36.583085046855039</v>
      </c>
      <c r="K103" s="64">
        <f>I103*(1+KeyParameters!$B$37)*(1+KeyParameters!$B$34)</f>
        <v>26234.623224384955</v>
      </c>
    </row>
    <row r="104" spans="1:11" x14ac:dyDescent="0.25">
      <c r="A104" s="66">
        <v>99</v>
      </c>
      <c r="B104" s="62">
        <f t="shared" si="30"/>
        <v>100.45389</v>
      </c>
      <c r="C104" s="62">
        <f t="shared" si="31"/>
        <v>23.665649774885814</v>
      </c>
      <c r="D104" s="62">
        <f t="shared" si="25"/>
        <v>12.956404002001877</v>
      </c>
      <c r="E104" s="62">
        <f t="shared" si="26"/>
        <v>131.77669766052585</v>
      </c>
      <c r="F104" s="62">
        <f t="shared" si="27"/>
        <v>379.24189194456727</v>
      </c>
      <c r="G104" s="111">
        <f t="shared" si="12"/>
        <v>17868.990708201203</v>
      </c>
      <c r="H104" s="111">
        <f t="shared" si="9"/>
        <v>379.24189194456727</v>
      </c>
      <c r="I104" s="111">
        <f t="shared" si="10"/>
        <v>17868.990708201203</v>
      </c>
      <c r="J104" s="63">
        <f t="shared" si="11"/>
        <v>36.98196410105156</v>
      </c>
      <c r="K104" s="64">
        <f>I104*(1+KeyParameters!$B$37)*(1+KeyParameters!$B$34)</f>
        <v>26803.486062301807</v>
      </c>
    </row>
    <row r="105" spans="1:11" x14ac:dyDescent="0.25">
      <c r="A105" s="67">
        <v>100</v>
      </c>
      <c r="B105" s="112">
        <f t="shared" si="30"/>
        <v>101.44392000000001</v>
      </c>
      <c r="C105" s="112">
        <f t="shared" si="31"/>
        <v>23.728962410499392</v>
      </c>
      <c r="D105" s="112">
        <f t="shared" si="25"/>
        <v>13.024077466614784</v>
      </c>
      <c r="E105" s="112">
        <f t="shared" si="26"/>
        <v>133.15687617726064</v>
      </c>
      <c r="F105" s="112">
        <f t="shared" si="27"/>
        <v>381.55022733916707</v>
      </c>
      <c r="G105" s="112">
        <f t="shared" si="12"/>
        <v>18250.540935540372</v>
      </c>
      <c r="H105" s="112">
        <f t="shared" si="9"/>
        <v>381.55022733916707</v>
      </c>
      <c r="I105" s="112">
        <f t="shared" si="10"/>
        <v>18250.540935540372</v>
      </c>
      <c r="J105" s="63">
        <f t="shared" si="11"/>
        <v>37.380121838554921</v>
      </c>
      <c r="K105" s="64">
        <f>I105*(1+KeyParameters!$B$37)*(1+KeyParameters!$B$34)</f>
        <v>27375.811403310556</v>
      </c>
    </row>
    <row r="106" spans="1:11" x14ac:dyDescent="0.25">
      <c r="H106" s="36"/>
      <c r="I106" s="36"/>
    </row>
    <row r="107" spans="1:11" x14ac:dyDescent="0.25">
      <c r="H107" s="36"/>
      <c r="I107" s="36"/>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Overview</vt:lpstr>
      <vt:lpstr>Notes on tree allometry</vt:lpstr>
      <vt:lpstr>KeyParameters</vt:lpstr>
      <vt:lpstr>Tree1</vt:lpstr>
      <vt:lpstr>Tree2</vt:lpstr>
      <vt:lpstr>Tree3</vt:lpstr>
      <vt:lpstr>Tree4</vt:lpstr>
      <vt:lpstr>Tree5</vt:lpstr>
      <vt:lpstr>Tree6</vt:lpstr>
      <vt:lpstr>Tree7</vt:lpstr>
      <vt:lpstr>Tree8</vt:lpstr>
      <vt:lpstr>ImpactOnCO2Emissions</vt:lpstr>
      <vt:lpstr>Validation</vt:lpstr>
      <vt:lpstr>Regional Breakdown</vt:lpstr>
      <vt:lpstr>References</vt:lpstr>
      <vt:lpstr>ImpactOnCO2Emissions!_Hlk116573850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Upeksha Caldera</dc:creator>
  <cp:lastModifiedBy>Upeksha Caldera</cp:lastModifiedBy>
  <dcterms:created xsi:type="dcterms:W3CDTF">2021-01-28T08:03:59Z</dcterms:created>
  <dcterms:modified xsi:type="dcterms:W3CDTF">2022-12-09T14:29:36Z</dcterms:modified>
</cp:coreProperties>
</file>