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5.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11"/>
  <workbookPr defaultThemeVersion="166925"/>
  <mc:AlternateContent xmlns:mc="http://schemas.openxmlformats.org/markup-compatibility/2006">
    <mc:Choice Requires="x15">
      <x15ac:absPath xmlns:x15ac="http://schemas.microsoft.com/office/spreadsheetml/2010/11/ac" url="https://nuwildcat-my.sharepoint.com/personal/jmd4525_ads_northwestern_edu/Documents/Jenna Jennifer Shared Folder/US and FTC Critical Metals/Revisions/"/>
    </mc:Choice>
  </mc:AlternateContent>
  <xr:revisionPtr revIDLastSave="8095" documentId="11_E60897F41BE170836B02CE998F75CCDC64E183C8" xr6:coauthVersionLast="47" xr6:coauthVersionMax="47" xr10:uidLastSave="{76B3EC00-D1ED-5044-B9A1-3AD1BDCFC636}"/>
  <bookViews>
    <workbookView xWindow="0" yWindow="0" windowWidth="28800" windowHeight="18000" firstSheet="13" activeTab="13" xr2:uid="{00000000-000D-0000-FFFF-FFFF00000000}"/>
  </bookViews>
  <sheets>
    <sheet name="0. Cover Sheet &amp; Assumptions" sheetId="1" r:id="rId1"/>
    <sheet name="1. EV Forecast" sheetId="2" r:id="rId2"/>
    <sheet name="2. BEV Battery Chemistry Stats" sheetId="5" r:id="rId3"/>
    <sheet name="3. PHEV Battery Chemistry Stats" sheetId="6" r:id="rId4"/>
    <sheet name="4. Mineral Content Percentages" sheetId="7" r:id="rId5"/>
    <sheet name="5. Mineral to Battery Stats" sheetId="10" r:id="rId6"/>
    <sheet name="6. Global Mineral Production" sheetId="3" r:id="rId7"/>
    <sheet name="7.US Mineral Production&amp;Imports" sheetId="8" r:id="rId8"/>
    <sheet name="8. Mineral Market Values" sheetId="4" r:id="rId9"/>
    <sheet name="9. Calculations - Mass (BEV)" sheetId="9" r:id="rId10"/>
    <sheet name="10. Calculations - Mass (PHEV)" sheetId="18" r:id="rId11"/>
    <sheet name="11. Calculations - MV (BEV)" sheetId="15" r:id="rId12"/>
    <sheet name="12. Calculations - MV (PHEV)" sheetId="20" r:id="rId13"/>
    <sheet name="13. Full List of References" sheetId="21" r:id="rId14"/>
  </sheets>
  <externalReferences>
    <externalReference r:id="rId15"/>
  </externalReferences>
  <definedNames>
    <definedName name="al_scrap">'6. Global Mineral Production'!#REF!</definedName>
    <definedName name="alper">'6. Global Mineral Production'!$H$4</definedName>
    <definedName name="coper">'6. Global Mineral Production'!#REF!</definedName>
    <definedName name="feper">'6. Global Mineral Production'!$H$7</definedName>
    <definedName name="ferro">'6. Global Mineral Production'!#REF!</definedName>
    <definedName name="gr_am">'6. Global Mineral Production'!#REF!</definedName>
    <definedName name="gr_flake">'6. Global Mineral Production'!#REF!</definedName>
    <definedName name="grper">'6. Global Mineral Production'!$H$5</definedName>
    <definedName name="li_carb">'6. Global Mineral Production'!#REF!</definedName>
    <definedName name="li_cl">'6. Global Mineral Production'!$H$11</definedName>
    <definedName name="li_oh">'6. Global Mineral Production'!$H$9</definedName>
    <definedName name="liper">'6. Global Mineral Production'!#REF!</definedName>
    <definedName name="mn_fer">'6. Global Mineral Production'!$H$15</definedName>
    <definedName name="mn_sil">'6. Global Mineral Production'!$H$16</definedName>
    <definedName name="mnper">'6. Global Mineral Production'!#REF!</definedName>
    <definedName name="ni">'[1]Battery Stats'!$I$48</definedName>
    <definedName name="ni_conc">'6. Global Mineral Production'!#REF!</definedName>
    <definedName name="ni_lat">'6. Global Mineral Production'!#REF!</definedName>
    <definedName name="niper">'6. Global Mineral Production'!#REF!</definedName>
    <definedName name="sgrper">'6. Global Mineral Production'!$H$6</definedName>
    <definedName name="spod">'6. Global Mineral Production'!$H$10</definedName>
  </definedNames>
  <calcPr calcId="191028" iterate="1" iterateDelta="1.0000000000000001E-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7" i="15" l="1"/>
  <c r="C131" i="15"/>
  <c r="C138" i="15"/>
  <c r="F164" i="15" a="1"/>
  <c r="F164" i="15" s="1"/>
  <c r="E126" i="9"/>
  <c r="G61" i="9"/>
  <c r="B87" i="20"/>
  <c r="D87" i="20" s="1"/>
  <c r="B67" i="20"/>
  <c r="D67" i="20" s="1"/>
  <c r="B4" i="20" a="1"/>
  <c r="D157" i="20" s="1"/>
  <c r="B52" i="20" a="1"/>
  <c r="D55" i="20" s="1"/>
  <c r="B42" i="20" a="1"/>
  <c r="B75" i="20" s="1"/>
  <c r="B42" i="20"/>
  <c r="B73" i="20" s="1"/>
  <c r="B32" i="20" a="1"/>
  <c r="B69" i="20" s="1"/>
  <c r="B21" i="20" a="1"/>
  <c r="B21" i="20" s="1"/>
  <c r="D11" i="20" a="1"/>
  <c r="B152" i="20" s="1"/>
  <c r="B11" i="20" a="1"/>
  <c r="B11" i="20"/>
  <c r="D145" i="20"/>
  <c r="D151" i="20"/>
  <c r="B157" i="20"/>
  <c r="D158" i="20"/>
  <c r="C168" i="20"/>
  <c r="E168" i="20"/>
  <c r="F168" i="20"/>
  <c r="G168" i="20"/>
  <c r="C53" i="20"/>
  <c r="E53" i="20"/>
  <c r="D54" i="20"/>
  <c r="E54" i="20"/>
  <c r="C55" i="20"/>
  <c r="E55" i="20"/>
  <c r="D56" i="20"/>
  <c r="E56" i="20"/>
  <c r="C57" i="20"/>
  <c r="D57" i="20"/>
  <c r="E57" i="20"/>
  <c r="C43" i="20"/>
  <c r="D44" i="20"/>
  <c r="E44" i="20"/>
  <c r="P44" i="20"/>
  <c r="Q44" i="20" s="1"/>
  <c r="R44" i="20" s="1"/>
  <c r="S44" i="20" s="1"/>
  <c r="E45" i="20"/>
  <c r="C46" i="20"/>
  <c r="D46" i="20"/>
  <c r="C33" i="20"/>
  <c r="D33" i="20"/>
  <c r="E33" i="20"/>
  <c r="C34" i="20"/>
  <c r="D34" i="20"/>
  <c r="C35" i="20"/>
  <c r="E35" i="20"/>
  <c r="C36" i="20"/>
  <c r="D36" i="20"/>
  <c r="E36" i="20"/>
  <c r="C37" i="20"/>
  <c r="E37" i="20"/>
  <c r="D139" i="18"/>
  <c r="D138" i="18"/>
  <c r="B4" i="18" a="1"/>
  <c r="B4" i="18" s="1"/>
  <c r="C125" i="18" s="1"/>
  <c r="B23" i="18" a="1"/>
  <c r="B23" i="18" s="1"/>
  <c r="D11" i="18" a="1"/>
  <c r="B46" i="18" s="1"/>
  <c r="B11" i="18" a="1"/>
  <c r="B130" i="18" s="1"/>
  <c r="D43" i="20" l="1"/>
  <c r="C103" i="20" s="1"/>
  <c r="B145" i="20"/>
  <c r="B68" i="20"/>
  <c r="B74" i="20"/>
  <c r="B66" i="20"/>
  <c r="D66" i="20" s="1"/>
  <c r="B86" i="20"/>
  <c r="C86" i="20" s="1"/>
  <c r="D45" i="20"/>
  <c r="C44" i="20"/>
  <c r="D42" i="20"/>
  <c r="D48" i="20" s="1"/>
  <c r="C106" i="20" s="1"/>
  <c r="D123" i="20" s="1"/>
  <c r="D130" i="20" s="1"/>
  <c r="D137" i="20" s="1"/>
  <c r="F152" i="20" s="1"/>
  <c r="C54" i="20"/>
  <c r="C67" i="20"/>
  <c r="C73" i="20"/>
  <c r="D168" i="20"/>
  <c r="D146" i="20"/>
  <c r="D11" i="20"/>
  <c r="B52" i="20"/>
  <c r="B65" i="20"/>
  <c r="B85" i="20"/>
  <c r="E47" i="20"/>
  <c r="B78" i="20"/>
  <c r="B84" i="20"/>
  <c r="D84" i="20" s="1"/>
  <c r="D35" i="20"/>
  <c r="D47" i="20"/>
  <c r="C56" i="20"/>
  <c r="D53" i="20"/>
  <c r="C87" i="20"/>
  <c r="C83" i="20"/>
  <c r="B168" i="20"/>
  <c r="D152" i="20"/>
  <c r="B146" i="20"/>
  <c r="B4" i="20"/>
  <c r="B77" i="20"/>
  <c r="D77" i="20" s="1"/>
  <c r="B83" i="20"/>
  <c r="D83" i="20" s="1"/>
  <c r="C45" i="20"/>
  <c r="C42" i="20"/>
  <c r="D86" i="20"/>
  <c r="B158" i="20"/>
  <c r="B76" i="20"/>
  <c r="D76" i="20" s="1"/>
  <c r="B151" i="20"/>
  <c r="E42" i="20"/>
  <c r="C47" i="20"/>
  <c r="X43" i="20"/>
  <c r="D75" i="20"/>
  <c r="D37" i="20"/>
  <c r="E34" i="20"/>
  <c r="E46" i="20"/>
  <c r="E43" i="20"/>
  <c r="C75" i="20"/>
  <c r="B32" i="20"/>
  <c r="B125" i="18"/>
  <c r="C107" i="20"/>
  <c r="C102" i="20"/>
  <c r="G139" i="18"/>
  <c r="D125" i="18"/>
  <c r="E46" i="18"/>
  <c r="G46" i="18"/>
  <c r="F46" i="18"/>
  <c r="B11" i="18"/>
  <c r="B35" i="18" s="1"/>
  <c r="D36" i="18"/>
  <c r="D45" i="18"/>
  <c r="B51" i="18"/>
  <c r="D55" i="18"/>
  <c r="D60" i="18"/>
  <c r="D114" i="18"/>
  <c r="D120" i="18"/>
  <c r="D130" i="18"/>
  <c r="B139" i="18"/>
  <c r="B41" i="18"/>
  <c r="D11" i="18"/>
  <c r="B36" i="18" s="1"/>
  <c r="D35" i="18"/>
  <c r="B50" i="18"/>
  <c r="D51" i="18"/>
  <c r="B56" i="18"/>
  <c r="B115" i="18"/>
  <c r="B131" i="18"/>
  <c r="C139" i="18"/>
  <c r="D41" i="18"/>
  <c r="B61" i="18"/>
  <c r="B40" i="18"/>
  <c r="D50" i="18"/>
  <c r="D56" i="18"/>
  <c r="D115" i="18"/>
  <c r="D131" i="18"/>
  <c r="D61" i="18"/>
  <c r="E139" i="18"/>
  <c r="F139" i="18"/>
  <c r="C29" i="18"/>
  <c r="C69" i="18" s="1"/>
  <c r="D40" i="18"/>
  <c r="B45" i="18"/>
  <c r="D46" i="18"/>
  <c r="B55" i="18"/>
  <c r="B60" i="18"/>
  <c r="B114" i="18"/>
  <c r="B120" i="18"/>
  <c r="D29" i="18"/>
  <c r="D68" i="18" s="1"/>
  <c r="B32" i="15" a="1"/>
  <c r="B32" i="15" s="1"/>
  <c r="C32" i="3"/>
  <c r="C10" i="3"/>
  <c r="B11" i="3" s="1"/>
  <c r="C104" i="20" l="1"/>
  <c r="F151" i="20"/>
  <c r="D165" i="20" s="1" a="1"/>
  <c r="D165" i="20" s="1"/>
  <c r="C145" i="20"/>
  <c r="F167" i="20"/>
  <c r="C151" i="20"/>
  <c r="C152" i="20"/>
  <c r="G167" i="20"/>
  <c r="C158" i="20"/>
  <c r="C146" i="20"/>
  <c r="C167" i="20"/>
  <c r="B167" i="20"/>
  <c r="C157" i="20"/>
  <c r="E167" i="20"/>
  <c r="D167" i="20"/>
  <c r="C105" i="20"/>
  <c r="C48" i="20"/>
  <c r="V45" i="20" s="1"/>
  <c r="B64" i="20"/>
  <c r="C64" i="20" s="1"/>
  <c r="C32" i="20"/>
  <c r="D32" i="20"/>
  <c r="E32" i="20"/>
  <c r="Y43" i="20"/>
  <c r="Z43" i="20"/>
  <c r="D78" i="20"/>
  <c r="C78" i="20"/>
  <c r="C84" i="20"/>
  <c r="C76" i="20"/>
  <c r="B82" i="20"/>
  <c r="C82" i="20" s="1"/>
  <c r="E52" i="20"/>
  <c r="C52" i="20"/>
  <c r="D52" i="20"/>
  <c r="D82" i="20"/>
  <c r="D64" i="20"/>
  <c r="D73" i="20"/>
  <c r="E48" i="20"/>
  <c r="D103" i="20" s="1"/>
  <c r="C66" i="20"/>
  <c r="C85" i="20"/>
  <c r="D85" i="20"/>
  <c r="C77" i="20"/>
  <c r="C74" i="20"/>
  <c r="D74" i="20"/>
  <c r="E120" i="18"/>
  <c r="D137" i="18" s="1" a="1"/>
  <c r="D137" i="18" s="1"/>
  <c r="D69" i="18"/>
  <c r="G56" i="18"/>
  <c r="F56" i="18"/>
  <c r="D72" i="18"/>
  <c r="G55" i="18"/>
  <c r="F55" i="18"/>
  <c r="D71" i="18"/>
  <c r="C90" i="18" s="1"/>
  <c r="C107" i="18" s="1"/>
  <c r="E131" i="18" s="1"/>
  <c r="D73" i="18"/>
  <c r="C70" i="18"/>
  <c r="C84" i="18" s="1"/>
  <c r="C101" i="18" s="1"/>
  <c r="D70" i="18"/>
  <c r="C89" i="18"/>
  <c r="C106" i="18" s="1"/>
  <c r="E130" i="18" s="1"/>
  <c r="G50" i="18"/>
  <c r="F50" i="18"/>
  <c r="E50" i="18"/>
  <c r="G45" i="18"/>
  <c r="F45" i="18"/>
  <c r="E45" i="18"/>
  <c r="G36" i="18"/>
  <c r="F36" i="18"/>
  <c r="E36" i="18"/>
  <c r="B29" i="18"/>
  <c r="B68" i="18" s="1"/>
  <c r="C68" i="18"/>
  <c r="G40" i="18"/>
  <c r="G35" i="18"/>
  <c r="F35" i="18"/>
  <c r="E35" i="18"/>
  <c r="C73" i="18"/>
  <c r="E138" i="18"/>
  <c r="C130" i="18"/>
  <c r="C120" i="18"/>
  <c r="C114" i="18"/>
  <c r="C60" i="18"/>
  <c r="C55" i="18"/>
  <c r="C45" i="18"/>
  <c r="C36" i="18"/>
  <c r="C138" i="18"/>
  <c r="C46" i="18"/>
  <c r="C40" i="18"/>
  <c r="B138" i="18"/>
  <c r="C61" i="18"/>
  <c r="C131" i="18"/>
  <c r="C115" i="18"/>
  <c r="C56" i="18"/>
  <c r="C50" i="18"/>
  <c r="C41" i="18"/>
  <c r="G138" i="18"/>
  <c r="C51" i="18"/>
  <c r="C35" i="18"/>
  <c r="F138" i="18"/>
  <c r="C71" i="18"/>
  <c r="G60" i="18"/>
  <c r="G61" i="18"/>
  <c r="G41" i="18"/>
  <c r="C72" i="18"/>
  <c r="G51" i="18"/>
  <c r="F51" i="18"/>
  <c r="E51" i="18"/>
  <c r="B64" i="15"/>
  <c r="V46" i="20" l="1"/>
  <c r="B103" i="20"/>
  <c r="V47" i="20"/>
  <c r="V44" i="20"/>
  <c r="B105" i="20"/>
  <c r="B106" i="20"/>
  <c r="C123" i="20" s="1"/>
  <c r="C130" i="20" s="1"/>
  <c r="C137" i="20" s="1"/>
  <c r="B102" i="20"/>
  <c r="B107" i="20"/>
  <c r="D38" i="20"/>
  <c r="C93" i="20"/>
  <c r="D102" i="20"/>
  <c r="D105" i="20"/>
  <c r="D104" i="20"/>
  <c r="D107" i="20"/>
  <c r="E58" i="20"/>
  <c r="D111" i="20" s="1"/>
  <c r="V43" i="20"/>
  <c r="E38" i="20"/>
  <c r="D93" i="20"/>
  <c r="V48" i="20"/>
  <c r="C38" i="20"/>
  <c r="B93" i="20"/>
  <c r="D106" i="20"/>
  <c r="E123" i="20" s="1"/>
  <c r="E130" i="20" s="1"/>
  <c r="E137" i="20" s="1"/>
  <c r="D58" i="20"/>
  <c r="C58" i="20"/>
  <c r="B111" i="20" s="1"/>
  <c r="B104" i="20"/>
  <c r="F137" i="18" a="1"/>
  <c r="F137" i="18" s="1"/>
  <c r="C85" i="18"/>
  <c r="C102" i="18" s="1"/>
  <c r="E125" i="18" s="1"/>
  <c r="E137" i="18" s="1"/>
  <c r="B72" i="18"/>
  <c r="B71" i="18"/>
  <c r="B69" i="18"/>
  <c r="B70" i="18"/>
  <c r="B73" i="18"/>
  <c r="B4" i="15" a="1"/>
  <c r="C116" i="20" l="1"/>
  <c r="C113" i="20"/>
  <c r="C112" i="20"/>
  <c r="D124" i="20" s="1"/>
  <c r="D131" i="20" s="1"/>
  <c r="D138" i="20" s="1"/>
  <c r="C115" i="20"/>
  <c r="C114" i="20"/>
  <c r="G152" i="20"/>
  <c r="G151" i="20"/>
  <c r="D166" i="20" s="1" a="1"/>
  <c r="D166" i="20" s="1"/>
  <c r="D113" i="20"/>
  <c r="D112" i="20"/>
  <c r="E124" i="20" s="1"/>
  <c r="E131" i="20" s="1"/>
  <c r="E138" i="20" s="1"/>
  <c r="D115" i="20"/>
  <c r="D114" i="20"/>
  <c r="D116" i="20"/>
  <c r="B98" i="20"/>
  <c r="B97" i="20"/>
  <c r="B95" i="20"/>
  <c r="C122" i="20" s="1"/>
  <c r="C129" i="20" s="1"/>
  <c r="C136" i="20" s="1"/>
  <c r="B94" i="20"/>
  <c r="B96" i="20"/>
  <c r="B116" i="20"/>
  <c r="B112" i="20"/>
  <c r="C124" i="20" s="1"/>
  <c r="C131" i="20" s="1"/>
  <c r="C138" i="20" s="1"/>
  <c r="B114" i="20"/>
  <c r="B115" i="20"/>
  <c r="B113" i="20"/>
  <c r="E152" i="20"/>
  <c r="E151" i="20"/>
  <c r="D164" i="20" s="1" a="1"/>
  <c r="D164" i="20" s="1"/>
  <c r="D96" i="20"/>
  <c r="D97" i="20"/>
  <c r="D94" i="20"/>
  <c r="D98" i="20"/>
  <c r="D95" i="20"/>
  <c r="E122" i="20" s="1"/>
  <c r="E129" i="20" s="1"/>
  <c r="E136" i="20" s="1"/>
  <c r="C111" i="20"/>
  <c r="C95" i="20"/>
  <c r="D122" i="20" s="1"/>
  <c r="D129" i="20" s="1"/>
  <c r="D136" i="20" s="1"/>
  <c r="C94" i="20"/>
  <c r="C97" i="20"/>
  <c r="C98" i="20"/>
  <c r="C96" i="20"/>
  <c r="C80" i="18"/>
  <c r="C97" i="18" s="1"/>
  <c r="E115" i="18" s="1"/>
  <c r="C79" i="18"/>
  <c r="C96" i="18" s="1"/>
  <c r="E114" i="18" s="1"/>
  <c r="B4" i="15"/>
  <c r="C145" i="15" s="1"/>
  <c r="C168" i="15"/>
  <c r="D168" i="15"/>
  <c r="E168" i="15"/>
  <c r="F168" i="15"/>
  <c r="G168" i="15"/>
  <c r="B168" i="15"/>
  <c r="D158" i="15"/>
  <c r="C151" i="15"/>
  <c r="D157" i="15"/>
  <c r="D151" i="15"/>
  <c r="D152" i="15"/>
  <c r="D145" i="15"/>
  <c r="D146" i="15"/>
  <c r="D5" i="2"/>
  <c r="D4" i="2"/>
  <c r="B4" i="9" a="1"/>
  <c r="C34" i="4"/>
  <c r="B34" i="4"/>
  <c r="B48" i="4"/>
  <c r="C48" i="4"/>
  <c r="D48" i="4"/>
  <c r="E48" i="4"/>
  <c r="A48" i="4"/>
  <c r="B42" i="4"/>
  <c r="C42" i="4"/>
  <c r="D42" i="4"/>
  <c r="E42" i="4"/>
  <c r="A42" i="4"/>
  <c r="C5" i="8"/>
  <c r="C63" i="3"/>
  <c r="C64" i="3" s="1"/>
  <c r="D63" i="3"/>
  <c r="D64" i="3" s="1"/>
  <c r="C21" i="3"/>
  <c r="C22" i="3" s="1"/>
  <c r="B21" i="3"/>
  <c r="B22" i="3" s="1"/>
  <c r="C39" i="8"/>
  <c r="D39" i="8"/>
  <c r="B39" i="8"/>
  <c r="C27" i="8"/>
  <c r="B27" i="8"/>
  <c r="C135" i="8"/>
  <c r="C136" i="8" s="1"/>
  <c r="D135" i="8"/>
  <c r="D136" i="8" s="1"/>
  <c r="E135" i="8"/>
  <c r="E136" i="8" s="1"/>
  <c r="F135" i="8"/>
  <c r="F136" i="8" s="1"/>
  <c r="G135" i="8"/>
  <c r="G136" i="8" s="1"/>
  <c r="H135" i="8"/>
  <c r="H136" i="8" s="1"/>
  <c r="B135" i="8"/>
  <c r="B136" i="8" s="1"/>
  <c r="C121" i="8"/>
  <c r="C122" i="8" s="1"/>
  <c r="D121" i="8"/>
  <c r="D122" i="8" s="1"/>
  <c r="E121" i="8"/>
  <c r="E122" i="8" s="1"/>
  <c r="B121" i="8"/>
  <c r="B122" i="8" s="1"/>
  <c r="E145" i="20" l="1"/>
  <c r="E146" i="20"/>
  <c r="E158" i="20"/>
  <c r="E157" i="20"/>
  <c r="F164" i="20" s="1" a="1"/>
  <c r="F164" i="20" s="1"/>
  <c r="F157" i="20"/>
  <c r="F158" i="20"/>
  <c r="F145" i="20"/>
  <c r="F146" i="20"/>
  <c r="G145" i="20"/>
  <c r="G146" i="20"/>
  <c r="G157" i="20"/>
  <c r="G158" i="20"/>
  <c r="B137" i="18" a="1"/>
  <c r="B137" i="18" s="1"/>
  <c r="G135" i="9"/>
  <c r="E135" i="9"/>
  <c r="C135" i="9"/>
  <c r="B135" i="9"/>
  <c r="F135" i="9"/>
  <c r="D135" i="9"/>
  <c r="D127" i="9"/>
  <c r="D120" i="9"/>
  <c r="D115" i="9"/>
  <c r="D121" i="9"/>
  <c r="D114" i="9"/>
  <c r="D126" i="9"/>
  <c r="C152" i="15"/>
  <c r="C158" i="15"/>
  <c r="C146" i="15"/>
  <c r="C167" i="15"/>
  <c r="D167" i="15"/>
  <c r="E167" i="15"/>
  <c r="F167" i="15"/>
  <c r="G167" i="15"/>
  <c r="B167" i="15"/>
  <c r="C157" i="15"/>
  <c r="B4" i="9"/>
  <c r="D61" i="9"/>
  <c r="D41" i="9"/>
  <c r="D40" i="9"/>
  <c r="D56" i="9"/>
  <c r="D36" i="9"/>
  <c r="D55" i="9"/>
  <c r="D35" i="9"/>
  <c r="D51" i="9"/>
  <c r="D50" i="9"/>
  <c r="D46" i="9"/>
  <c r="D45" i="9"/>
  <c r="D60" i="9"/>
  <c r="D34" i="4"/>
  <c r="E34" i="4"/>
  <c r="B62" i="4"/>
  <c r="C62" i="4"/>
  <c r="E62" i="4" s="1"/>
  <c r="B61" i="4"/>
  <c r="C61" i="4"/>
  <c r="B123" i="8"/>
  <c r="B147" i="8" s="1"/>
  <c r="B157" i="8" s="1"/>
  <c r="B137" i="8"/>
  <c r="B165" i="20" l="1" a="1"/>
  <c r="B165" i="20" s="1"/>
  <c r="F166" i="20" a="1"/>
  <c r="F166" i="20" s="1"/>
  <c r="F165" i="20" a="1"/>
  <c r="F165" i="20" s="1"/>
  <c r="B166" i="20" a="1"/>
  <c r="B166" i="20" s="1"/>
  <c r="B164" i="20" a="1"/>
  <c r="B164" i="20" s="1"/>
  <c r="F134" i="9"/>
  <c r="B134" i="9"/>
  <c r="E134" i="9"/>
  <c r="C134" i="9"/>
  <c r="C115" i="9"/>
  <c r="G134" i="9"/>
  <c r="D134" i="9"/>
  <c r="C114" i="9"/>
  <c r="C127" i="9"/>
  <c r="C126" i="9"/>
  <c r="C120" i="9"/>
  <c r="C121" i="9"/>
  <c r="C40" i="9"/>
  <c r="C41" i="9"/>
  <c r="C45" i="9"/>
  <c r="C46" i="9"/>
  <c r="C56" i="9"/>
  <c r="C50" i="9"/>
  <c r="C60" i="9"/>
  <c r="C51" i="9"/>
  <c r="C61" i="9"/>
  <c r="C55" i="9"/>
  <c r="C36" i="9"/>
  <c r="C35" i="9"/>
  <c r="E61" i="4"/>
  <c r="D62" i="4"/>
  <c r="D61" i="4"/>
  <c r="C113" i="8"/>
  <c r="C114" i="8" s="1"/>
  <c r="D113" i="8"/>
  <c r="D114" i="8" s="1"/>
  <c r="F113" i="8"/>
  <c r="F114" i="8" s="1"/>
  <c r="G113" i="8"/>
  <c r="G114" i="8" s="1"/>
  <c r="B113" i="8"/>
  <c r="B114" i="8" s="1"/>
  <c r="B99" i="8"/>
  <c r="B100" i="8" s="1"/>
  <c r="B101" i="8" s="1"/>
  <c r="C91" i="8"/>
  <c r="C92" i="8" s="1"/>
  <c r="B91" i="8"/>
  <c r="B92" i="8" s="1"/>
  <c r="B82" i="8"/>
  <c r="B83" i="8" s="1"/>
  <c r="B84" i="8" s="1"/>
  <c r="B74" i="8"/>
  <c r="B75" i="8" s="1"/>
  <c r="B76" i="8" s="1"/>
  <c r="B64" i="8"/>
  <c r="B65" i="8" s="1"/>
  <c r="B66" i="8" s="1"/>
  <c r="D56" i="8"/>
  <c r="D57" i="8" s="1"/>
  <c r="C56" i="8"/>
  <c r="C57" i="8" s="1"/>
  <c r="B56" i="8"/>
  <c r="B57" i="8" s="1"/>
  <c r="C47" i="8"/>
  <c r="C48" i="8" s="1"/>
  <c r="B47" i="8"/>
  <c r="B48" i="8" s="1"/>
  <c r="B78" i="3"/>
  <c r="B79" i="3" s="1"/>
  <c r="D78" i="3"/>
  <c r="D79" i="3" s="1"/>
  <c r="E78" i="3"/>
  <c r="E79" i="3" s="1"/>
  <c r="F78" i="3"/>
  <c r="G78" i="3"/>
  <c r="G79" i="3" s="1"/>
  <c r="H78" i="3"/>
  <c r="H79" i="3" s="1"/>
  <c r="I78" i="3"/>
  <c r="I79" i="3" s="1"/>
  <c r="J78" i="3"/>
  <c r="J79" i="3" s="1"/>
  <c r="K78" i="3"/>
  <c r="K79" i="3" s="1"/>
  <c r="C78" i="3"/>
  <c r="C79" i="3" s="1"/>
  <c r="C50" i="3"/>
  <c r="C51" i="3" s="1"/>
  <c r="D50" i="3"/>
  <c r="D51" i="3" s="1"/>
  <c r="E50" i="3"/>
  <c r="E51" i="3" s="1"/>
  <c r="B50" i="3"/>
  <c r="B51" i="3" s="1"/>
  <c r="B39" i="3"/>
  <c r="B40" i="3" s="1"/>
  <c r="B41" i="3" s="1"/>
  <c r="C31" i="3"/>
  <c r="B31" i="3"/>
  <c r="B32" i="3" s="1"/>
  <c r="B24" i="7"/>
  <c r="B10" i="7"/>
  <c r="C63" i="4"/>
  <c r="B63" i="4"/>
  <c r="E23" i="4" l="1"/>
  <c r="B23" i="4"/>
  <c r="C23" i="4"/>
  <c r="B58" i="8"/>
  <c r="A23" i="4"/>
  <c r="D23" i="4"/>
  <c r="F79" i="3"/>
  <c r="B80" i="3" s="1"/>
  <c r="B90" i="3" s="1"/>
  <c r="B100" i="3" s="1"/>
  <c r="E63" i="4"/>
  <c r="D63" i="4"/>
  <c r="B49" i="8"/>
  <c r="B93" i="8"/>
  <c r="B145" i="8" s="1"/>
  <c r="B155" i="8" s="1"/>
  <c r="B52" i="3"/>
  <c r="B88" i="3" s="1"/>
  <c r="B98" i="3" s="1"/>
  <c r="B33" i="3"/>
  <c r="B87" i="3" s="1"/>
  <c r="E106" i="8"/>
  <c r="E113" i="8" s="1"/>
  <c r="E114" i="8" s="1"/>
  <c r="B115" i="8" s="1"/>
  <c r="B146" i="8" s="1"/>
  <c r="B156" i="8" s="1"/>
  <c r="B61" i="3"/>
  <c r="B58" i="3"/>
  <c r="B60" i="3"/>
  <c r="C33" i="4" l="1"/>
  <c r="C35" i="4" s="1"/>
  <c r="B33" i="4"/>
  <c r="B154" i="8"/>
  <c r="B63" i="3"/>
  <c r="B64" i="3" s="1"/>
  <c r="B97" i="3"/>
  <c r="B144" i="8"/>
  <c r="B35" i="4" l="1"/>
  <c r="D33" i="4"/>
  <c r="E33" i="4"/>
  <c r="B65" i="3"/>
  <c r="B89" i="3" s="1"/>
  <c r="B99" i="3" s="1"/>
  <c r="E35" i="4" l="1"/>
  <c r="D35" i="4"/>
  <c r="B60" i="4" s="1" a="1"/>
  <c r="B60" i="4" s="1"/>
  <c r="C28" i="8"/>
  <c r="B23" i="3"/>
  <c r="B86" i="3" s="1"/>
  <c r="B96" i="3" s="1"/>
  <c r="C40" i="8"/>
  <c r="D40" i="8"/>
  <c r="B40" i="8"/>
  <c r="B41" i="8" s="1"/>
  <c r="B11" i="4"/>
  <c r="C11" i="4"/>
  <c r="D11" i="4"/>
  <c r="E11" i="4"/>
  <c r="A11" i="4"/>
  <c r="C6" i="8"/>
  <c r="C7" i="8" s="1"/>
  <c r="B28" i="8"/>
  <c r="B29" i="8" s="1"/>
  <c r="B5" i="4"/>
  <c r="C5" i="4"/>
  <c r="D5" i="4"/>
  <c r="E5" i="4"/>
  <c r="A5" i="4"/>
  <c r="B8" i="3"/>
  <c r="B6" i="3"/>
  <c r="C19" i="8"/>
  <c r="C20" i="8" s="1"/>
  <c r="D19" i="8"/>
  <c r="D20" i="8" s="1"/>
  <c r="B19" i="8"/>
  <c r="B20" i="8" s="1"/>
  <c r="B6" i="8"/>
  <c r="B7" i="8" s="1"/>
  <c r="C4" i="3"/>
  <c r="C9" i="3" s="1"/>
  <c r="B4" i="3"/>
  <c r="D87" i="6" a="1"/>
  <c r="D87" i="6" s="1"/>
  <c r="C87" i="6" a="1"/>
  <c r="C87" i="6" s="1"/>
  <c r="B87" i="6" a="1"/>
  <c r="B87" i="6" s="1"/>
  <c r="F148" i="5"/>
  <c r="G147" i="5"/>
  <c r="C147" i="5"/>
  <c r="G146" i="5"/>
  <c r="F146" i="5"/>
  <c r="G82" i="6"/>
  <c r="F82" i="6"/>
  <c r="E82" i="6"/>
  <c r="D82" i="6"/>
  <c r="C82" i="6"/>
  <c r="G81" i="6"/>
  <c r="F81" i="6"/>
  <c r="E81" i="6"/>
  <c r="D81" i="6"/>
  <c r="G80" i="6"/>
  <c r="F80" i="6"/>
  <c r="E80" i="6"/>
  <c r="C81" i="6"/>
  <c r="B82" i="6"/>
  <c r="B81" i="6"/>
  <c r="B76" i="5"/>
  <c r="B147" i="5" s="1"/>
  <c r="C80" i="6"/>
  <c r="C65" i="6"/>
  <c r="C63" i="6"/>
  <c r="C55" i="6"/>
  <c r="C54" i="6"/>
  <c r="C53" i="6"/>
  <c r="C43" i="6"/>
  <c r="C42" i="6"/>
  <c r="C41" i="6"/>
  <c r="C40" i="6"/>
  <c r="C39" i="6"/>
  <c r="C38" i="6"/>
  <c r="C37" i="6"/>
  <c r="C36" i="6"/>
  <c r="C35" i="6"/>
  <c r="C34" i="6"/>
  <c r="C33" i="6"/>
  <c r="C32" i="6"/>
  <c r="C31" i="6"/>
  <c r="C30" i="6"/>
  <c r="C6" i="6"/>
  <c r="B69" i="6" s="1"/>
  <c r="C5" i="6"/>
  <c r="B61" i="6" s="1"/>
  <c r="C61" i="6" s="1"/>
  <c r="C4" i="6"/>
  <c r="B51" i="6" s="1"/>
  <c r="C146" i="5"/>
  <c r="C90" i="5"/>
  <c r="C79" i="5"/>
  <c r="C81" i="5"/>
  <c r="C69" i="5"/>
  <c r="C70" i="5"/>
  <c r="C71" i="5"/>
  <c r="C54" i="5"/>
  <c r="C59" i="5"/>
  <c r="C49" i="5"/>
  <c r="C57" i="5"/>
  <c r="C56" i="5"/>
  <c r="C47" i="5"/>
  <c r="C51" i="5"/>
  <c r="C52" i="5"/>
  <c r="C58" i="5"/>
  <c r="C48" i="5"/>
  <c r="C55" i="5"/>
  <c r="C46" i="5"/>
  <c r="C50" i="5"/>
  <c r="C53" i="5"/>
  <c r="C5" i="5"/>
  <c r="C6" i="5"/>
  <c r="C7" i="5"/>
  <c r="B96" i="5" s="1"/>
  <c r="B150" i="5" s="1"/>
  <c r="C8" i="5"/>
  <c r="B106" i="5" s="1"/>
  <c r="B151" i="5" s="1"/>
  <c r="C9" i="5"/>
  <c r="B116" i="5" s="1"/>
  <c r="B152" i="5" s="1"/>
  <c r="C10" i="5"/>
  <c r="B126" i="5" s="1"/>
  <c r="B153" i="5" s="1"/>
  <c r="C4" i="5"/>
  <c r="B143" i="8" l="1"/>
  <c r="B153" i="8" s="1"/>
  <c r="B8" i="8"/>
  <c r="B21" i="8"/>
  <c r="C59" i="4"/>
  <c r="B59" i="4"/>
  <c r="B58" i="4"/>
  <c r="B9" i="3"/>
  <c r="B10" i="3" s="1"/>
  <c r="B85" i="3" s="1"/>
  <c r="B95" i="3" s="1"/>
  <c r="C58" i="4"/>
  <c r="B60" i="6"/>
  <c r="B49" i="6"/>
  <c r="B70" i="6"/>
  <c r="C49" i="6"/>
  <c r="C70" i="6"/>
  <c r="B71" i="6"/>
  <c r="C71" i="6" s="1"/>
  <c r="D4" i="6"/>
  <c r="B52" i="6"/>
  <c r="C52" i="6" s="1"/>
  <c r="D80" i="6"/>
  <c r="C51" i="6"/>
  <c r="B73" i="6"/>
  <c r="C73" i="6" s="1"/>
  <c r="B72" i="6"/>
  <c r="C72" i="6" s="1"/>
  <c r="B75" i="6"/>
  <c r="C75" i="6" s="1"/>
  <c r="B74" i="6"/>
  <c r="C74" i="6" s="1"/>
  <c r="C69" i="6"/>
  <c r="D5" i="6"/>
  <c r="B50" i="6"/>
  <c r="C50" i="6" s="1"/>
  <c r="D6" i="6"/>
  <c r="B59" i="6"/>
  <c r="B64" i="6" s="1"/>
  <c r="D4" i="5"/>
  <c r="B67" i="5"/>
  <c r="D146" i="5" s="1"/>
  <c r="D10" i="5"/>
  <c r="B127" i="5"/>
  <c r="D153" i="5" s="1"/>
  <c r="D9" i="5"/>
  <c r="B117" i="5"/>
  <c r="C116" i="5"/>
  <c r="D8" i="5"/>
  <c r="B107" i="5"/>
  <c r="C106" i="5"/>
  <c r="D7" i="5"/>
  <c r="B97" i="5"/>
  <c r="C96" i="5"/>
  <c r="D6" i="5"/>
  <c r="B87" i="5"/>
  <c r="D5" i="5"/>
  <c r="B75" i="5"/>
  <c r="B77" i="5"/>
  <c r="B125" i="5"/>
  <c r="B105" i="5"/>
  <c r="B95" i="5"/>
  <c r="B100" i="5" s="1"/>
  <c r="B115" i="5"/>
  <c r="B85" i="5"/>
  <c r="B89" i="5" s="1"/>
  <c r="G148" i="5" s="1"/>
  <c r="B65" i="5"/>
  <c r="B68" i="5" s="1"/>
  <c r="E146" i="5" s="1"/>
  <c r="B66" i="5"/>
  <c r="C66" i="5" l="1"/>
  <c r="B146" i="5"/>
  <c r="B158" i="5" s="1" a="1"/>
  <c r="B158" i="5" s="1"/>
  <c r="C107" i="5"/>
  <c r="D151" i="5"/>
  <c r="C87" i="5"/>
  <c r="D148" i="5"/>
  <c r="C117" i="5"/>
  <c r="D152" i="5"/>
  <c r="B11" i="9" a="1"/>
  <c r="B11" i="15" a="1"/>
  <c r="B145" i="15" s="1"/>
  <c r="P44" i="15"/>
  <c r="B142" i="8"/>
  <c r="B152" i="8" s="1"/>
  <c r="E58" i="4"/>
  <c r="E59" i="4"/>
  <c r="D59" i="4"/>
  <c r="D58" i="4"/>
  <c r="C67" i="5"/>
  <c r="C97" i="5"/>
  <c r="D150" i="5"/>
  <c r="C77" i="5"/>
  <c r="D147" i="5"/>
  <c r="B86" i="5"/>
  <c r="B148" i="5" s="1"/>
  <c r="B80" i="6"/>
  <c r="C60" i="6"/>
  <c r="C64" i="6"/>
  <c r="C59" i="6"/>
  <c r="B62" i="6"/>
  <c r="C62" i="6" s="1"/>
  <c r="C76" i="5"/>
  <c r="B121" i="5"/>
  <c r="B120" i="5"/>
  <c r="B119" i="5"/>
  <c r="C115" i="5"/>
  <c r="B118" i="5"/>
  <c r="B101" i="5"/>
  <c r="B99" i="5"/>
  <c r="C95" i="5"/>
  <c r="B98" i="5"/>
  <c r="B111" i="5"/>
  <c r="B110" i="5"/>
  <c r="B109" i="5"/>
  <c r="C105" i="5"/>
  <c r="B108" i="5"/>
  <c r="B131" i="5"/>
  <c r="C153" i="5" s="1"/>
  <c r="B130" i="5"/>
  <c r="F153" i="5" s="1"/>
  <c r="B135" i="5"/>
  <c r="C135" i="5" s="1"/>
  <c r="B129" i="5"/>
  <c r="G153" i="5" s="1"/>
  <c r="C125" i="5"/>
  <c r="B128" i="5"/>
  <c r="E153" i="5" s="1"/>
  <c r="B136" i="5"/>
  <c r="C126" i="5"/>
  <c r="B137" i="5"/>
  <c r="C127" i="5"/>
  <c r="C85" i="5"/>
  <c r="B91" i="5"/>
  <c r="C89" i="5"/>
  <c r="B88" i="5"/>
  <c r="B80" i="5"/>
  <c r="B78" i="5"/>
  <c r="C75" i="5"/>
  <c r="C68" i="5"/>
  <c r="C65" i="5"/>
  <c r="B120" i="9" l="1"/>
  <c r="B126" i="9"/>
  <c r="B114" i="9"/>
  <c r="B60" i="9"/>
  <c r="B40" i="9"/>
  <c r="B45" i="9"/>
  <c r="B50" i="9"/>
  <c r="B55" i="9"/>
  <c r="C108" i="5"/>
  <c r="E151" i="5"/>
  <c r="C91" i="5"/>
  <c r="C148" i="5"/>
  <c r="C110" i="5"/>
  <c r="F151" i="5"/>
  <c r="C119" i="5"/>
  <c r="G152" i="5"/>
  <c r="C88" i="5"/>
  <c r="E148" i="5"/>
  <c r="C118" i="5"/>
  <c r="E152" i="5"/>
  <c r="C109" i="5"/>
  <c r="G151" i="5"/>
  <c r="C111" i="5"/>
  <c r="C151" i="5"/>
  <c r="C120" i="5"/>
  <c r="F152" i="5"/>
  <c r="C158" i="5" a="1"/>
  <c r="C158" i="5" s="1"/>
  <c r="C86" i="5"/>
  <c r="C121" i="5"/>
  <c r="C152" i="5"/>
  <c r="B21" i="15" a="1"/>
  <c r="D11" i="9" a="1"/>
  <c r="D11" i="15" a="1"/>
  <c r="B146" i="15" s="1"/>
  <c r="B11" i="9"/>
  <c r="B35" i="9" s="1"/>
  <c r="B157" i="15"/>
  <c r="B151" i="15"/>
  <c r="B11" i="15"/>
  <c r="C64" i="15" s="1"/>
  <c r="C136" i="5"/>
  <c r="B149" i="5"/>
  <c r="C101" i="5"/>
  <c r="C150" i="5"/>
  <c r="C137" i="5"/>
  <c r="D149" i="5"/>
  <c r="C99" i="5"/>
  <c r="G150" i="5"/>
  <c r="C80" i="5"/>
  <c r="F147" i="5"/>
  <c r="C100" i="5"/>
  <c r="F150" i="5"/>
  <c r="C98" i="5"/>
  <c r="E150" i="5"/>
  <c r="C78" i="5"/>
  <c r="E147" i="5"/>
  <c r="B138" i="5"/>
  <c r="C128" i="5"/>
  <c r="B139" i="5"/>
  <c r="C129" i="5"/>
  <c r="B140" i="5"/>
  <c r="C130" i="5"/>
  <c r="B141" i="5"/>
  <c r="C131" i="5"/>
  <c r="B115" i="9" l="1"/>
  <c r="B121" i="9"/>
  <c r="B127" i="9"/>
  <c r="B61" i="9"/>
  <c r="B41" i="9"/>
  <c r="B51" i="9"/>
  <c r="B56" i="9"/>
  <c r="B46" i="9"/>
  <c r="B42" i="15" a="1"/>
  <c r="C47" i="15" s="1"/>
  <c r="B67" i="15"/>
  <c r="C67" i="15" s="1"/>
  <c r="B66" i="15"/>
  <c r="C66" i="15" s="1"/>
  <c r="E36" i="15"/>
  <c r="C34" i="15"/>
  <c r="C36" i="15"/>
  <c r="C33" i="15"/>
  <c r="E37" i="15"/>
  <c r="D36" i="15"/>
  <c r="E34" i="15"/>
  <c r="B21" i="15"/>
  <c r="C32" i="15" s="1"/>
  <c r="D37" i="15"/>
  <c r="D35" i="15"/>
  <c r="C37" i="15"/>
  <c r="E33" i="15"/>
  <c r="D34" i="15"/>
  <c r="C35" i="15"/>
  <c r="E32" i="15"/>
  <c r="D32" i="15"/>
  <c r="E35" i="15"/>
  <c r="D33" i="15"/>
  <c r="D11" i="9"/>
  <c r="B36" i="9" s="1"/>
  <c r="B158" i="15"/>
  <c r="D67" i="15"/>
  <c r="D11" i="15"/>
  <c r="B152" i="15"/>
  <c r="C141" i="5"/>
  <c r="C149" i="5"/>
  <c r="D158" i="5" s="1" a="1"/>
  <c r="D158" i="5" s="1"/>
  <c r="C140" i="5"/>
  <c r="F149" i="5"/>
  <c r="C139" i="5"/>
  <c r="G149" i="5"/>
  <c r="C138" i="5"/>
  <c r="E149" i="5"/>
  <c r="D66" i="15" l="1"/>
  <c r="C45" i="15"/>
  <c r="E47" i="15"/>
  <c r="E46" i="15"/>
  <c r="C46" i="15"/>
  <c r="D46" i="15"/>
  <c r="D44" i="15"/>
  <c r="D45" i="15"/>
  <c r="D47" i="15"/>
  <c r="C43" i="15"/>
  <c r="E44" i="15"/>
  <c r="E45" i="15"/>
  <c r="D43" i="15"/>
  <c r="C44" i="15"/>
  <c r="B52" i="15" a="1"/>
  <c r="B23" i="9" a="1"/>
  <c r="B78" i="15"/>
  <c r="B75" i="15"/>
  <c r="B76" i="15"/>
  <c r="B74" i="15"/>
  <c r="X43" i="15"/>
  <c r="B42" i="15"/>
  <c r="C42" i="15" s="1"/>
  <c r="B77" i="15"/>
  <c r="Q44" i="15"/>
  <c r="R44" i="15" s="1"/>
  <c r="S44" i="15" s="1"/>
  <c r="E43" i="15"/>
  <c r="D38" i="15"/>
  <c r="E38" i="15"/>
  <c r="C38" i="15"/>
  <c r="D64" i="15"/>
  <c r="B93" i="15" l="1"/>
  <c r="C48" i="15"/>
  <c r="G35" i="9"/>
  <c r="F35" i="9"/>
  <c r="G36" i="9"/>
  <c r="B104" i="15"/>
  <c r="C94" i="15"/>
  <c r="D97" i="15"/>
  <c r="F36" i="9"/>
  <c r="E46" i="9"/>
  <c r="D29" i="9"/>
  <c r="D73" i="9" s="1"/>
  <c r="C29" i="9"/>
  <c r="C68" i="9" s="1"/>
  <c r="F61" i="9"/>
  <c r="G51" i="9"/>
  <c r="F41" i="9"/>
  <c r="F46" i="9"/>
  <c r="F51" i="9"/>
  <c r="E51" i="9"/>
  <c r="G46" i="9"/>
  <c r="G41" i="9"/>
  <c r="G56" i="9"/>
  <c r="B97" i="15"/>
  <c r="D96" i="15"/>
  <c r="D95" i="15"/>
  <c r="E122" i="15" s="1"/>
  <c r="E129" i="15" s="1"/>
  <c r="E136" i="15" s="1"/>
  <c r="G145" i="15" s="1"/>
  <c r="C74" i="15"/>
  <c r="D74" i="15"/>
  <c r="C76" i="15"/>
  <c r="D76" i="15"/>
  <c r="C78" i="15"/>
  <c r="D78" i="15"/>
  <c r="C77" i="15"/>
  <c r="D77" i="15"/>
  <c r="B23" i="9"/>
  <c r="G55" i="9"/>
  <c r="G60" i="9"/>
  <c r="F50" i="9"/>
  <c r="G45" i="9"/>
  <c r="F40" i="9"/>
  <c r="F60" i="9"/>
  <c r="G50" i="9"/>
  <c r="E45" i="9"/>
  <c r="G40" i="9"/>
  <c r="E50" i="9"/>
  <c r="F45" i="9"/>
  <c r="D93" i="15"/>
  <c r="D94" i="15"/>
  <c r="D98" i="15"/>
  <c r="B73" i="15"/>
  <c r="E42" i="15"/>
  <c r="E48" i="15" s="1"/>
  <c r="D42" i="15"/>
  <c r="D48" i="15" s="1"/>
  <c r="C75" i="15"/>
  <c r="D75" i="15"/>
  <c r="Z43" i="15"/>
  <c r="Y43" i="15"/>
  <c r="B87" i="15"/>
  <c r="B84" i="15"/>
  <c r="B83" i="15"/>
  <c r="B85" i="15"/>
  <c r="B52" i="15"/>
  <c r="B86" i="15"/>
  <c r="D53" i="15"/>
  <c r="C55" i="15"/>
  <c r="D57" i="15"/>
  <c r="C53" i="15"/>
  <c r="D54" i="15"/>
  <c r="C56" i="15"/>
  <c r="D56" i="15"/>
  <c r="E56" i="15"/>
  <c r="C54" i="15"/>
  <c r="E54" i="15"/>
  <c r="E53" i="15"/>
  <c r="E57" i="15"/>
  <c r="C57" i="15"/>
  <c r="E55" i="15"/>
  <c r="D55" i="15"/>
  <c r="C98" i="15"/>
  <c r="C95" i="15"/>
  <c r="D122" i="15" s="1"/>
  <c r="D129" i="15" s="1"/>
  <c r="D136" i="15" s="1"/>
  <c r="V45" i="15"/>
  <c r="B105" i="15"/>
  <c r="B102" i="15"/>
  <c r="B94" i="15"/>
  <c r="B106" i="15"/>
  <c r="B103" i="15"/>
  <c r="C123" i="15" s="1"/>
  <c r="D106" i="15"/>
  <c r="B107" i="15"/>
  <c r="V47" i="15"/>
  <c r="C93" i="15"/>
  <c r="C97" i="15"/>
  <c r="C96" i="15"/>
  <c r="V48" i="15"/>
  <c r="B98" i="15"/>
  <c r="B95" i="15"/>
  <c r="C122" i="15" s="1"/>
  <c r="B96" i="15"/>
  <c r="V43" i="15"/>
  <c r="V46" i="15"/>
  <c r="V44" i="15"/>
  <c r="C129" i="15" l="1"/>
  <c r="C136" i="15" s="1"/>
  <c r="E35" i="9"/>
  <c r="E36" i="9"/>
  <c r="G146" i="15"/>
  <c r="C103" i="15"/>
  <c r="D123" i="15" s="1"/>
  <c r="D130" i="15"/>
  <c r="D137" i="15" s="1"/>
  <c r="F151" i="15" s="1"/>
  <c r="D104" i="15"/>
  <c r="F145" i="15"/>
  <c r="F146" i="15"/>
  <c r="B165" i="15" s="1" a="1"/>
  <c r="B165" i="15" s="1"/>
  <c r="C130" i="15"/>
  <c r="C137" i="15" s="1"/>
  <c r="E152" i="15" s="1"/>
  <c r="D72" i="9"/>
  <c r="D70" i="9"/>
  <c r="D69" i="9"/>
  <c r="C89" i="9" s="1"/>
  <c r="C106" i="9" s="1"/>
  <c r="C73" i="9"/>
  <c r="C72" i="9"/>
  <c r="D71" i="9"/>
  <c r="C90" i="9" s="1"/>
  <c r="C107" i="9" s="1"/>
  <c r="E127" i="9" s="1"/>
  <c r="D68" i="9"/>
  <c r="C71" i="9"/>
  <c r="C69" i="9"/>
  <c r="C70" i="9"/>
  <c r="C84" i="9" s="1"/>
  <c r="C101" i="9" s="1"/>
  <c r="E120" i="9" s="1"/>
  <c r="B29" i="9"/>
  <c r="B68" i="9" s="1"/>
  <c r="B166" i="15" a="1"/>
  <c r="B166" i="15" s="1"/>
  <c r="C86" i="15"/>
  <c r="D86" i="15"/>
  <c r="C107" i="15"/>
  <c r="C73" i="15"/>
  <c r="D73" i="15"/>
  <c r="C106" i="15"/>
  <c r="D107" i="15"/>
  <c r="C84" i="15"/>
  <c r="D84" i="15"/>
  <c r="B82" i="15"/>
  <c r="E52" i="15"/>
  <c r="D52" i="15"/>
  <c r="C52" i="15"/>
  <c r="D105" i="15"/>
  <c r="D103" i="15"/>
  <c r="E123" i="15" s="1"/>
  <c r="E130" i="15" s="1"/>
  <c r="E137" i="15" s="1"/>
  <c r="C87" i="15"/>
  <c r="D87" i="15"/>
  <c r="C85" i="15"/>
  <c r="D85" i="15"/>
  <c r="C105" i="15"/>
  <c r="C83" i="15"/>
  <c r="D83" i="15"/>
  <c r="C104" i="15"/>
  <c r="C102" i="15"/>
  <c r="D102" i="15"/>
  <c r="E145" i="15" l="1"/>
  <c r="E146" i="15"/>
  <c r="G151" i="15"/>
  <c r="G152" i="15"/>
  <c r="E151" i="15"/>
  <c r="D164" i="15" s="1" a="1"/>
  <c r="D164" i="15" s="1"/>
  <c r="F133" i="9" a="1"/>
  <c r="F133" i="9" s="1"/>
  <c r="C85" i="9"/>
  <c r="C102" i="9" s="1"/>
  <c r="E121" i="9" s="1"/>
  <c r="D133" i="9" s="1" a="1"/>
  <c r="D133" i="9" s="1"/>
  <c r="F152" i="15"/>
  <c r="D165" i="15" s="1" a="1"/>
  <c r="D165" i="15" s="1"/>
  <c r="B72" i="9"/>
  <c r="B70" i="9"/>
  <c r="C79" i="9" s="1"/>
  <c r="C96" i="9" s="1"/>
  <c r="E114" i="9" s="1"/>
  <c r="B73" i="9"/>
  <c r="B69" i="9"/>
  <c r="B71" i="9"/>
  <c r="B164" i="15" a="1"/>
  <c r="B164" i="15" s="1"/>
  <c r="D166" i="15" a="1"/>
  <c r="D166" i="15" s="1"/>
  <c r="D58" i="15"/>
  <c r="C111" i="15" s="1"/>
  <c r="C82" i="15"/>
  <c r="D82" i="15"/>
  <c r="E58" i="15"/>
  <c r="D111" i="15" s="1"/>
  <c r="C58" i="15"/>
  <c r="B111" i="15"/>
  <c r="C80" i="9" l="1"/>
  <c r="C97" i="9"/>
  <c r="E115" i="9" s="1"/>
  <c r="B133" i="9" s="1" a="1"/>
  <c r="B133" i="9" s="1"/>
  <c r="D116" i="15"/>
  <c r="D113" i="15"/>
  <c r="D114" i="15"/>
  <c r="D115" i="15"/>
  <c r="D112" i="15"/>
  <c r="E124" i="15" s="1"/>
  <c r="B113" i="15"/>
  <c r="B114" i="15"/>
  <c r="B116" i="15"/>
  <c r="B112" i="15"/>
  <c r="C124" i="15" s="1"/>
  <c r="B115" i="15"/>
  <c r="C113" i="15"/>
  <c r="C115" i="15"/>
  <c r="C112" i="15"/>
  <c r="D124" i="15" s="1"/>
  <c r="C116" i="15"/>
  <c r="C114" i="15"/>
  <c r="E158" i="15" l="1"/>
  <c r="D131" i="15"/>
  <c r="D138" i="15" s="1"/>
  <c r="E131" i="15"/>
  <c r="E138" i="15" s="1"/>
  <c r="F157" i="15"/>
  <c r="F158" i="15"/>
  <c r="G157" i="15" l="1"/>
  <c r="G158" i="15"/>
  <c r="F166" i="15" s="1" a="1"/>
  <c r="F166" i="15" s="1"/>
  <c r="F165" i="15" a="1"/>
  <c r="F165" i="1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<sst xmlns="http://schemas.openxmlformats.org/spreadsheetml/2006/main" count="2216" uniqueCount="665">
  <si>
    <t>Assessing the Feasibility of the Inflation Reduction Act’s EV Critical Mineral Targets</t>
  </si>
  <si>
    <r>
      <t>Jenna N. Trost</t>
    </r>
    <r>
      <rPr>
        <i/>
        <vertAlign val="superscript"/>
        <sz val="11"/>
        <color theme="1"/>
        <rFont val="Calibri (Body)"/>
      </rPr>
      <t>1</t>
    </r>
    <r>
      <rPr>
        <i/>
        <sz val="11"/>
        <color theme="1"/>
        <rFont val="Calibri"/>
        <family val="2"/>
        <scheme val="minor"/>
      </rPr>
      <t>, Jennifer B. Dunn</t>
    </r>
    <r>
      <rPr>
        <i/>
        <vertAlign val="superscript"/>
        <sz val="11"/>
        <color theme="1"/>
        <rFont val="Calibri (Body)"/>
      </rPr>
      <t>1,2*</t>
    </r>
  </si>
  <si>
    <t xml:space="preserve">1. Department of Chemical and Biological Engineering, Northwestern University, Evanston, Illinois, USA </t>
  </si>
  <si>
    <t xml:space="preserve">2. Center for Engineering Sustainability and Resilience, Northwestern University, Evanston, Illinois, USA </t>
  </si>
  <si>
    <t>*Corresponding Author: Jennifer B. Dunn (email: jennifer.dunn1@northwestern.edu)</t>
  </si>
  <si>
    <t>Table S0A</t>
  </si>
  <si>
    <t>List of Assumptions Used In Analysis</t>
  </si>
  <si>
    <t>Assumption</t>
  </si>
  <si>
    <t>1 </t>
  </si>
  <si>
    <t>Production and import numbers of critical minerals by the US and FTCs are constant from 2022 to 2027 </t>
  </si>
  <si>
    <t>2 </t>
  </si>
  <si>
    <t>Percentage of critical mineral resources used in battery manufacturing is constant from 2022 to 2027 </t>
  </si>
  <si>
    <t>3 </t>
  </si>
  <si>
    <t>Market values are constant </t>
  </si>
  <si>
    <t>4 </t>
  </si>
  <si>
    <t>Each battery from a given chemistry has the exact weight and composition as defined in GREET </t>
  </si>
  <si>
    <t>5 </t>
  </si>
  <si>
    <t>Mineral content in a product is constant (i.e. lithium in spodumene is the same for all global spodumene production);
If mineral content is not specified within USGS or in other literature, it is assumed to be 100% </t>
  </si>
  <si>
    <t>6 </t>
  </si>
  <si>
    <t>Minerals from different sources and ores perform equivalently (e.g., lithium from LiOH versus Li2CO3 or nickel from laterite versus ferronickel).
Processes to produce cathode materials vary in cost depending on the source of metal; one source of a metal may be preferred over the other. Stoichiometric calculations were performed to standardize the mass and market value of minerals. </t>
  </si>
  <si>
    <t>Table S0B</t>
  </si>
  <si>
    <t>Acroynyms</t>
  </si>
  <si>
    <t>BEV</t>
  </si>
  <si>
    <t>Battery Electric Vehicle</t>
  </si>
  <si>
    <t>EV</t>
  </si>
  <si>
    <t>Electric Vehicle</t>
  </si>
  <si>
    <t>LFP</t>
  </si>
  <si>
    <t>Lithium Iron Phosphate</t>
  </si>
  <si>
    <t>LMO</t>
  </si>
  <si>
    <t>Lithium Manganese Oxide</t>
  </si>
  <si>
    <t>NCA</t>
  </si>
  <si>
    <t>Nickel Cobalt Aluminum</t>
  </si>
  <si>
    <t>NMC</t>
  </si>
  <si>
    <t>Nickel Manganese Cobalt</t>
  </si>
  <si>
    <t>PHEV</t>
  </si>
  <si>
    <t>Plug-in Hybrid Electric Vehicle</t>
  </si>
  <si>
    <t>Table S0C</t>
  </si>
  <si>
    <t>Table List</t>
  </si>
  <si>
    <t>Table Number</t>
  </si>
  <si>
    <t>Content</t>
  </si>
  <si>
    <t>Tab</t>
  </si>
  <si>
    <t>S0A</t>
  </si>
  <si>
    <t>Assumptions</t>
  </si>
  <si>
    <t>0. Cover Sheet &amp; Assumptions</t>
  </si>
  <si>
    <t>S0B</t>
  </si>
  <si>
    <t>Acronyms</t>
  </si>
  <si>
    <t>S0C</t>
  </si>
  <si>
    <t>S1A</t>
  </si>
  <si>
    <t>Number of Electric Vehicles Sold in 2027</t>
  </si>
  <si>
    <t>1. EV Forecast</t>
  </si>
  <si>
    <t>S2A</t>
  </si>
  <si>
    <t>Battery Weight by Battery Type</t>
  </si>
  <si>
    <t>2. BEV Battery Chemistry Stats</t>
  </si>
  <si>
    <t>S2B</t>
  </si>
  <si>
    <t>Battery Material Composition (kg material/kg battery)</t>
  </si>
  <si>
    <t>S2C</t>
  </si>
  <si>
    <t>Cathode Critical Mineral Composition by Battery Type (kg material/kg battery cathode)</t>
  </si>
  <si>
    <t>S2D</t>
  </si>
  <si>
    <t>Cathode Critical Mineral Mixture Composition by Battery Type (kg material/kg battery)</t>
  </si>
  <si>
    <t>S2E</t>
  </si>
  <si>
    <t>Molar Masses of Battery Chemistry Minerals</t>
  </si>
  <si>
    <t>S2F</t>
  </si>
  <si>
    <t>Material Mass Requirement per Battery by Battery Type</t>
  </si>
  <si>
    <t>S2G</t>
  </si>
  <si>
    <t>Summary Mineral Mass Contribution by Mineral by Battery Type (kg/battery)</t>
  </si>
  <si>
    <t>S2H</t>
  </si>
  <si>
    <t>Summary Mineral Mass Contribution by Mineral by Battery Type (kg/battery) - LFP, NCA, NMC Only</t>
  </si>
  <si>
    <t>S3A</t>
  </si>
  <si>
    <t>3. PHEV Battery Chemistry Stats</t>
  </si>
  <si>
    <t>S3B</t>
  </si>
  <si>
    <t>S3C</t>
  </si>
  <si>
    <t>S3D</t>
  </si>
  <si>
    <t>S3E</t>
  </si>
  <si>
    <t>S3F</t>
  </si>
  <si>
    <t>S3G</t>
  </si>
  <si>
    <t>S3H</t>
  </si>
  <si>
    <t>S4A</t>
  </si>
  <si>
    <t>Aluminum Content Percentages</t>
  </si>
  <si>
    <t>4. Mineral Content Percentages</t>
  </si>
  <si>
    <t>S4B</t>
  </si>
  <si>
    <t>Cobalt Content Percentages</t>
  </si>
  <si>
    <t>S4C</t>
  </si>
  <si>
    <t>Graphite Content Percentages</t>
  </si>
  <si>
    <t>S4D</t>
  </si>
  <si>
    <t>Lithium Content Percentages</t>
  </si>
  <si>
    <t>S4E</t>
  </si>
  <si>
    <t>Manganese Content Percentages</t>
  </si>
  <si>
    <t>S4F</t>
  </si>
  <si>
    <t>Nickel Content Percentages</t>
  </si>
  <si>
    <t>S5A</t>
  </si>
  <si>
    <t>Maximum Mass Fraction of Mineral Supply to Batteries</t>
  </si>
  <si>
    <t>5. Mineral to Battery Stats</t>
  </si>
  <si>
    <t>S6A</t>
  </si>
  <si>
    <t>Aluminum Total Production (metric tons)</t>
  </si>
  <si>
    <t>6. Global Mineral Production</t>
  </si>
  <si>
    <t>S6B</t>
  </si>
  <si>
    <t>Cobalt Total Production (metric tons)</t>
  </si>
  <si>
    <t>S6C</t>
  </si>
  <si>
    <t>Natural Graphite Total Production (metric tons)</t>
  </si>
  <si>
    <t>S6D</t>
  </si>
  <si>
    <t>Synthetic Graphite Total Production (metric tons)</t>
  </si>
  <si>
    <t>S6E</t>
  </si>
  <si>
    <t>Lithium Total Production (metric tons)</t>
  </si>
  <si>
    <t>S6F</t>
  </si>
  <si>
    <t>Manganese Total Production (metric tons)</t>
  </si>
  <si>
    <t>S6G</t>
  </si>
  <si>
    <t>Nickel Total Production (metric tons)</t>
  </si>
  <si>
    <t>S6H</t>
  </si>
  <si>
    <t>Total Global Production Summary Table (metric tons)</t>
  </si>
  <si>
    <t>S6I</t>
  </si>
  <si>
    <t>Total Maximum Availability to Batteries (metric tons)</t>
  </si>
  <si>
    <t>S7A</t>
  </si>
  <si>
    <t>Aluminum US Production (metric tons)</t>
  </si>
  <si>
    <t>7. US Mineral Production &amp; Imports</t>
  </si>
  <si>
    <t>S7B</t>
  </si>
  <si>
    <t>Aluminum Imports (metric tons)</t>
  </si>
  <si>
    <t>S7C</t>
  </si>
  <si>
    <t>Cobalt US Production (metric tons)</t>
  </si>
  <si>
    <t>S7D</t>
  </si>
  <si>
    <t>Cobalt Imports (metric tons)</t>
  </si>
  <si>
    <t>S7E</t>
  </si>
  <si>
    <t>Natural Graphite US Production (metric tons)</t>
  </si>
  <si>
    <t>S7F</t>
  </si>
  <si>
    <t>Natural Graphite Imports (metric tons)</t>
  </si>
  <si>
    <t>S7G</t>
  </si>
  <si>
    <t>Synthetic Graphite US Production (metric tons)</t>
  </si>
  <si>
    <t>S7H</t>
  </si>
  <si>
    <t>Synthetic Graphite Imports (metric tons)</t>
  </si>
  <si>
    <t>S7I</t>
  </si>
  <si>
    <t>Lithium US Production (metric tons)</t>
  </si>
  <si>
    <t>S7J</t>
  </si>
  <si>
    <t>Lithium Imports (metric tons)</t>
  </si>
  <si>
    <t>S7K</t>
  </si>
  <si>
    <t>Manganese US Production (metric tons)</t>
  </si>
  <si>
    <t>S7L</t>
  </si>
  <si>
    <t>Manganese Imports (metric tons)</t>
  </si>
  <si>
    <t>S7M</t>
  </si>
  <si>
    <t>Nickel US Production (metric tons)</t>
  </si>
  <si>
    <t>S7N</t>
  </si>
  <si>
    <t>Nickel Imports (metric tons)</t>
  </si>
  <si>
    <t>S7O</t>
  </si>
  <si>
    <t>Total US Production and Imports Summary Table (metric tons)</t>
  </si>
  <si>
    <t>S7P</t>
  </si>
  <si>
    <t>Total US Production and Imports to Batteries (metric tons)</t>
  </si>
  <si>
    <t>S8A</t>
  </si>
  <si>
    <t>Aluminum Prices</t>
  </si>
  <si>
    <t>8. Mineral Market Values</t>
  </si>
  <si>
    <t>S8B</t>
  </si>
  <si>
    <t>Cobalt Prices</t>
  </si>
  <si>
    <t>S8C</t>
  </si>
  <si>
    <t>Natural Graphite Prices</t>
  </si>
  <si>
    <t>S8D</t>
  </si>
  <si>
    <t>Synthetic Graphite Prices</t>
  </si>
  <si>
    <t>S8E</t>
  </si>
  <si>
    <t>Graphite Prices - Calculated, Using 2019 US Production and Imports</t>
  </si>
  <si>
    <t>S8F</t>
  </si>
  <si>
    <t>Lithium Prices</t>
  </si>
  <si>
    <t>S8G</t>
  </si>
  <si>
    <t>Manganese Prices</t>
  </si>
  <si>
    <t>S8H</t>
  </si>
  <si>
    <t>Nickel Prices</t>
  </si>
  <si>
    <t>S8I</t>
  </si>
  <si>
    <t>Mineral Price Rangers ($USD/metric ton)</t>
  </si>
  <si>
    <t>S9A</t>
  </si>
  <si>
    <t>BEV Predictions</t>
  </si>
  <si>
    <t>9. Calculations - Mass (BEV)</t>
  </si>
  <si>
    <t>S9B</t>
  </si>
  <si>
    <t>Available Minerals</t>
  </si>
  <si>
    <t>S9C</t>
  </si>
  <si>
    <t>Summary Mineral Mass Contribution by Battery Type (kg/battery) - LFP, NCA, NMC Only</t>
  </si>
  <si>
    <t>S9D</t>
  </si>
  <si>
    <t>Number of Tax-Credit Eligible Batteries Calculations by Mass</t>
  </si>
  <si>
    <t>S9E</t>
  </si>
  <si>
    <t>Mineral Mass Shares by Battery Type (%) - LFP, NCA, NMC Only</t>
  </si>
  <si>
    <t>S9F</t>
  </si>
  <si>
    <t>Limiting Mass Mineral by Battery Type</t>
  </si>
  <si>
    <t>S9G</t>
  </si>
  <si>
    <t>Mass Required Mineral by Battery Type to Reach 80% of Total Mass of Battery from FTCs (kg/battery)</t>
  </si>
  <si>
    <t>S9H</t>
  </si>
  <si>
    <t>Number of Tax-Credit Eligible Batteries by Battery Type/Limiting Mass Mineral</t>
  </si>
  <si>
    <t>S9I</t>
  </si>
  <si>
    <t>Number of Tax-Eligible Batteries (in millions) by Battery Type/Limiting Market Value Mineral</t>
  </si>
  <si>
    <t>S10A</t>
  </si>
  <si>
    <t>PHEV Predictions</t>
  </si>
  <si>
    <t>10. Calculations - Mass (PHEV)</t>
  </si>
  <si>
    <t>S10B</t>
  </si>
  <si>
    <t>S10C</t>
  </si>
  <si>
    <t>Summary Mineral Mass Contribution by Battery Type (kg/battery) - LFP, LMO, NMC111 Only</t>
  </si>
  <si>
    <t>S10D</t>
  </si>
  <si>
    <t>Number of Tax-Credit Eligible Batteries Calculations by Mineral</t>
  </si>
  <si>
    <t>S10E</t>
  </si>
  <si>
    <t>Mineral Mass Shares by Battery Type (%) - LFP, LMO, NMC111 Only</t>
  </si>
  <si>
    <t>S10F</t>
  </si>
  <si>
    <t>S10G</t>
  </si>
  <si>
    <t>S10H</t>
  </si>
  <si>
    <t>S10I</t>
  </si>
  <si>
    <t>S11A</t>
  </si>
  <si>
    <t>11. Calculations - MV (BEV)</t>
  </si>
  <si>
    <t>S11B</t>
  </si>
  <si>
    <t>S11C</t>
  </si>
  <si>
    <t>Mineral Market Value Prices ($USD/metric tons)</t>
  </si>
  <si>
    <t>S11D</t>
  </si>
  <si>
    <t>Total Critical Mineral Market Value Per Battery ($USD/battery)</t>
  </si>
  <si>
    <t>S11E</t>
  </si>
  <si>
    <t>Total Mineral Requirements to Make 1 Million Batteries by Battery Type (metric tons)</t>
  </si>
  <si>
    <t>S11F</t>
  </si>
  <si>
    <t>Mineral Market Value Percent Shares by Battery Type (%)</t>
  </si>
  <si>
    <t>S11G</t>
  </si>
  <si>
    <t>Limiting Market Value Mineral by Battery Type</t>
  </si>
  <si>
    <t>S11H</t>
  </si>
  <si>
    <t>Limiting Mineral Market Value Required by Battery Type to Reach 80% of Total Market Value of Battery from FTCs ($USD/ton)</t>
  </si>
  <si>
    <t>S11I</t>
  </si>
  <si>
    <t>Limiting Market Value Mineral Adjusted Mineral Requirement by Battery Type (metric ton/battery)</t>
  </si>
  <si>
    <t>S11J</t>
  </si>
  <si>
    <t>Number of Tax-Credit Elegible Batteries by Battery Type/Limiting Market Value Mineral</t>
  </si>
  <si>
    <t>S11K</t>
  </si>
  <si>
    <t>S12A</t>
  </si>
  <si>
    <t>12. Calculations - MV (PHEV)</t>
  </si>
  <si>
    <t>S12B</t>
  </si>
  <si>
    <t>S12C</t>
  </si>
  <si>
    <t>S12D</t>
  </si>
  <si>
    <t>S12E</t>
  </si>
  <si>
    <t>Total Mineral Requirements to Make 0.5 Million Batteries by Battery Type (metric tons)</t>
  </si>
  <si>
    <t>S12F</t>
  </si>
  <si>
    <t>S12G</t>
  </si>
  <si>
    <t>S12H</t>
  </si>
  <si>
    <t>S12I</t>
  </si>
  <si>
    <t>S12J</t>
  </si>
  <si>
    <t>Number of Tax-Credit Eligible Batteries by Battery Type/Limiting Market Value Mineral</t>
  </si>
  <si>
    <t>S12K</t>
  </si>
  <si>
    <t>S13A</t>
  </si>
  <si>
    <t>Full List of References Used in Spreadsheet</t>
  </si>
  <si>
    <t>13. Full List of References</t>
  </si>
  <si>
    <t>Table 1A</t>
  </si>
  <si>
    <t>Sources for This Sheet:</t>
  </si>
  <si>
    <t>Range</t>
  </si>
  <si>
    <t>Source</t>
  </si>
  <si>
    <t>1. IEA. Global EV Outlook 2021. 101 (2021).</t>
  </si>
  <si>
    <t>Low</t>
  </si>
  <si>
    <t>High</t>
  </si>
  <si>
    <t>Table 2A</t>
  </si>
  <si>
    <r>
      <t>Battery Weight by Battery Type</t>
    </r>
    <r>
      <rPr>
        <b/>
        <vertAlign val="superscript"/>
        <sz val="11"/>
        <color theme="1"/>
        <rFont val="Calibri (Body)"/>
      </rPr>
      <t>1</t>
    </r>
  </si>
  <si>
    <t>Battery Type</t>
  </si>
  <si>
    <t>lb/car</t>
  </si>
  <si>
    <t>kg/car</t>
  </si>
  <si>
    <t>ton/car</t>
  </si>
  <si>
    <t>1. Argonne National Laboratory. The Greenhouse gases, Regulated Emissions, and Energy use in Technologies Model (GREET). (2021).</t>
  </si>
  <si>
    <t>NMC111</t>
  </si>
  <si>
    <t>NMC532</t>
  </si>
  <si>
    <t>NMC622</t>
  </si>
  <si>
    <t>NMC811</t>
  </si>
  <si>
    <t>Table 2B</t>
  </si>
  <si>
    <r>
      <t>Battery Material Composition (kg material/kg battery)</t>
    </r>
    <r>
      <rPr>
        <b/>
        <vertAlign val="superscript"/>
        <sz val="11"/>
        <color theme="1"/>
        <rFont val="Calibri (Body)"/>
      </rPr>
      <t>1</t>
    </r>
  </si>
  <si>
    <t>Cathode</t>
  </si>
  <si>
    <t>Graphite</t>
  </si>
  <si>
    <t>Wrought Aluminum</t>
  </si>
  <si>
    <t>Table 2C</t>
  </si>
  <si>
    <r>
      <t>Cathode Critical Mineral Composition by Battery Type (kg material/kg battery cathode)</t>
    </r>
    <r>
      <rPr>
        <b/>
        <vertAlign val="superscript"/>
        <sz val="11"/>
        <color theme="1"/>
        <rFont val="Calibri (Body)"/>
      </rPr>
      <t>1</t>
    </r>
  </si>
  <si>
    <t>Li2CO3</t>
  </si>
  <si>
    <t>Mineral Mixture</t>
  </si>
  <si>
    <t>Mn2O3</t>
  </si>
  <si>
    <t>Notes</t>
  </si>
  <si>
    <t>** LiOH</t>
  </si>
  <si>
    <t>Table 2D</t>
  </si>
  <si>
    <r>
      <t>Cathode Critical Mineral Mixture Composition by Battery Type (kg material/kg battery)</t>
    </r>
    <r>
      <rPr>
        <b/>
        <vertAlign val="superscript"/>
        <sz val="11"/>
        <color theme="1"/>
        <rFont val="Calibri (Body)"/>
      </rPr>
      <t>1</t>
    </r>
  </si>
  <si>
    <t>NiSO4</t>
  </si>
  <si>
    <t>CoSO4</t>
  </si>
  <si>
    <t>MnSO4</t>
  </si>
  <si>
    <t>(Al)2(SO4)3</t>
  </si>
  <si>
    <t>Table 2E</t>
  </si>
  <si>
    <t>Molar Masses of Battery Chemistry Minerals (Used for Stoichiometry)</t>
  </si>
  <si>
    <t>Mineral</t>
  </si>
  <si>
    <t>g/mol</t>
  </si>
  <si>
    <t>kg/mol</t>
  </si>
  <si>
    <t>Al</t>
  </si>
  <si>
    <t>Al2(SO4)3</t>
  </si>
  <si>
    <t>Co</t>
  </si>
  <si>
    <t>Fe</t>
  </si>
  <si>
    <t>FeSO4</t>
  </si>
  <si>
    <t>Li</t>
  </si>
  <si>
    <t>LiOH</t>
  </si>
  <si>
    <t>Mn</t>
  </si>
  <si>
    <t>Ni</t>
  </si>
  <si>
    <t>Table 2F</t>
  </si>
  <si>
    <r>
      <t>Material Mass Requirement per Battery by Battery Type</t>
    </r>
    <r>
      <rPr>
        <b/>
        <vertAlign val="superscript"/>
        <sz val="11"/>
        <color theme="1"/>
        <rFont val="Calibri (Body)"/>
      </rPr>
      <t>1</t>
    </r>
  </si>
  <si>
    <t>Material</t>
  </si>
  <si>
    <t>Aluminum</t>
  </si>
  <si>
    <t>Lithium</t>
  </si>
  <si>
    <t>Nickel</t>
  </si>
  <si>
    <t>Manganese</t>
  </si>
  <si>
    <t>Cobalt</t>
  </si>
  <si>
    <t>NMC - Average</t>
  </si>
  <si>
    <t>Table 2G</t>
  </si>
  <si>
    <t>Summary Mineral Mass Contribution by Critical Mineral by Battery Type (kg/battery)</t>
  </si>
  <si>
    <r>
      <t>Aluminum</t>
    </r>
    <r>
      <rPr>
        <sz val="11"/>
        <color rgb="FF000000"/>
        <rFont val="Calibri"/>
        <family val="2"/>
      </rPr>
      <t> </t>
    </r>
  </si>
  <si>
    <r>
      <t>Cobalt</t>
    </r>
    <r>
      <rPr>
        <sz val="11"/>
        <color rgb="FF000000"/>
        <rFont val="Calibri"/>
        <family val="2"/>
      </rPr>
      <t> </t>
    </r>
  </si>
  <si>
    <r>
      <t>Graphite</t>
    </r>
    <r>
      <rPr>
        <sz val="11"/>
        <color rgb="FF000000"/>
        <rFont val="Calibri"/>
        <family val="2"/>
      </rPr>
      <t> </t>
    </r>
  </si>
  <si>
    <r>
      <t>Lithium</t>
    </r>
    <r>
      <rPr>
        <sz val="11"/>
        <color rgb="FF000000"/>
        <rFont val="Calibri"/>
        <family val="2"/>
      </rPr>
      <t> </t>
    </r>
  </si>
  <si>
    <r>
      <t>Manganese</t>
    </r>
    <r>
      <rPr>
        <sz val="11"/>
        <color rgb="FF000000"/>
        <rFont val="Calibri"/>
        <family val="2"/>
      </rPr>
      <t> </t>
    </r>
  </si>
  <si>
    <r>
      <t>Nickel</t>
    </r>
    <r>
      <rPr>
        <sz val="11"/>
        <color rgb="FF000000"/>
        <rFont val="Calibri"/>
        <family val="2"/>
      </rPr>
      <t> </t>
    </r>
  </si>
  <si>
    <t>NMC6111</t>
  </si>
  <si>
    <t>Table 2H</t>
  </si>
  <si>
    <t>Critical Mineral</t>
  </si>
  <si>
    <t>Aluminum </t>
  </si>
  <si>
    <t>Cobalt </t>
  </si>
  <si>
    <t>Graphite </t>
  </si>
  <si>
    <t>Lithium </t>
  </si>
  <si>
    <t>Manganese </t>
  </si>
  <si>
    <t>Nickel </t>
  </si>
  <si>
    <t>Table 3A</t>
  </si>
  <si>
    <t>Table 3B</t>
  </si>
  <si>
    <t>Table 3C</t>
  </si>
  <si>
    <t>Table 3D</t>
  </si>
  <si>
    <t>Table 3E</t>
  </si>
  <si>
    <t>Table 3F</t>
  </si>
  <si>
    <t>Table 3G</t>
  </si>
  <si>
    <t xml:space="preserve">Summary Mineral Mass Contribution by Battery Type (kg/battery) </t>
  </si>
  <si>
    <t>Table 3H</t>
  </si>
  <si>
    <t>Table 4A</t>
  </si>
  <si>
    <t>Content Percentage</t>
  </si>
  <si>
    <t>1. JR Davis. Aluminum and Aluminum Alloys. 351–416 https://materialsdata.nist.gov/bitstream/handle/11115/173/Aluminum%20and%20Aluminum%20Alloys%20Davis.pdf (2001).</t>
  </si>
  <si>
    <t>Alloys</t>
  </si>
  <si>
    <t xml:space="preserve"> </t>
  </si>
  <si>
    <t>2. Gopienko, V. G. Production of Aluminum Powders. in Handbook of Non-Ferrous Metal Powders 459–480 (Elsevier, 2019). doi:10.1016/B978-0-08-100543-9.00015-4.</t>
  </si>
  <si>
    <t>Scrap</t>
  </si>
  <si>
    <t>3. Xiao, J. et al. Extraction of Nickel from Garnierite Laterite Ore Using Roasting and Magnetic Separation with Calcium Chloride and Iron Concentrate. Minerals 10, 352 (2020).</t>
  </si>
  <si>
    <t>4. Gilpin R. Robinson Jr., Jane M. Hammarstrom, &amp; Donald W. Olson. Graphite. https://pubs.usgs.gov/pp/1802/j/pp1802j.pdf (2017).</t>
  </si>
  <si>
    <t>Table 4B</t>
  </si>
  <si>
    <t>5. Aylmore, M. G. et al. Assessment of a spodumene ore by advanced analytical and mass spectrometry techniques to determine its amenability to processing for the extraction of lithium. Minerals Engineering 119, 137–148 (2018).</t>
  </si>
  <si>
    <t>6. Lee, Y. E. Ferroalloys: Production and use in Steel-making. in Encyclopedia of Materials: Science and Technology 3039–3044 (Elsevier, 2001). doi:10.1016/B0-08-043152-6/00544-1.</t>
  </si>
  <si>
    <t>7. Crundwell, F. K., Moats, M. S., Ramachandran, V., Robinson, T. G. &amp; Davenport, W. G. Smelting of Laterite Ores to Ferronickel. in Extractive Metallurgy of Nickel, Cobalt and Platinum Group Metals 67–83 (Elsevier, 2011). doi:10.1016/B978-0-08-096809-4.10006-1.</t>
  </si>
  <si>
    <t>Laterite</t>
  </si>
  <si>
    <t>8. Wang, G. C. Nonferrous metal extraction and nonferrous slags. in The Utilization of Slag in Civil Infrastructure Construction 35–61 (Elsevier, 2016). doi:10.1016/B978-0-08-100381-7.00003-3.</t>
  </si>
  <si>
    <t>9. Nokhrina, O. I., Rozhikhina, I. D. &amp; Proshunin, I. E. Direct Alloying of Steel with Nickel Concentrate. IOP Conf. Ser.: Mater. Sci. Eng. 142, 012067 (2016).</t>
  </si>
  <si>
    <t>Table 4C</t>
  </si>
  <si>
    <t>Amorphous</t>
  </si>
  <si>
    <t>Flake</t>
  </si>
  <si>
    <t>Synthetic</t>
  </si>
  <si>
    <t>Table 4D</t>
  </si>
  <si>
    <t>Lithium Carbonate</t>
  </si>
  <si>
    <t>Stoichiometry</t>
  </si>
  <si>
    <t>Lithium Hydroxide</t>
  </si>
  <si>
    <t>Spodumene</t>
  </si>
  <si>
    <t>Lithium Chloride</t>
  </si>
  <si>
    <t>Table 4E</t>
  </si>
  <si>
    <t>Ferromanganese</t>
  </si>
  <si>
    <t>Silicomanganese</t>
  </si>
  <si>
    <t>MnO2</t>
  </si>
  <si>
    <t>KMnO4</t>
  </si>
  <si>
    <t>Table 4F</t>
  </si>
  <si>
    <t>Ferronickel</t>
  </si>
  <si>
    <t>Sulfide ore</t>
  </si>
  <si>
    <t>Concentrate</t>
  </si>
  <si>
    <t>Hydroxide</t>
  </si>
  <si>
    <t>Table 5A</t>
  </si>
  <si>
    <t>Maximum Mass Fraction of Mineral Supply to Batteries (%)</t>
  </si>
  <si>
    <t>Percentage</t>
  </si>
  <si>
    <t>1. USGS. Mineral Commodity Summaries 2022 - Aluminum. 2 https://pubs.usgs.gov/periodicals/mcs2022/mcs2022-aluminum.pdf (2022).</t>
  </si>
  <si>
    <t>2. USGS. Mineral Commodity Summaries 2022 - Cobalt. 2 https://pubs.usgs.gov/periodicals/mcs2022/mcs2022-cobalt.pdf (2022).</t>
  </si>
  <si>
    <t>3. Gilpin R. Robinson Jr., Jane M. Hammarstrom, &amp; Donald W. Olson. Graphite. https://pubs.usgs.gov/pp/1802/j/pp1802j.pdf (2017).</t>
  </si>
  <si>
    <t>Graphite Natural</t>
  </si>
  <si>
    <t>4. USGS. Mineral Commodity Summaries 2022 - Lithium. 2 https://pubs.usgs.gov/periodicals/mcs2022/mcs2022-lithium.pdf (2022).</t>
  </si>
  <si>
    <t>Graphite Synthetic</t>
  </si>
  <si>
    <t>5. National Minerals Information Center. Manganese Statistics and Information. (2022).</t>
  </si>
  <si>
    <t>6. Michele E. McRay. 2017 Minerals Yearbook - Nickel [Advance Release]. https://d9-wret.s3.us-west-2.amazonaws.com/assets/palladium/production/atoms/files/myb1-2017-nickel-2.pdf (2017).</t>
  </si>
  <si>
    <t>Table 6A</t>
  </si>
  <si>
    <t>FTC</t>
  </si>
  <si>
    <t>Primary Production</t>
  </si>
  <si>
    <t>Secondary Production</t>
  </si>
  <si>
    <t>1. USGS. Mineral Commodity Summaries 2022. http://pubs.er.usgs.gov/publication/mcs2022 (2022) doi:10.3133/mcs2022.</t>
  </si>
  <si>
    <t>United States</t>
  </si>
  <si>
    <t>2, Table 1</t>
  </si>
  <si>
    <t>2. USGS. Aluminum - Mineral Yearbook 2020. (2021).</t>
  </si>
  <si>
    <t>Australia</t>
  </si>
  <si>
    <t>1, Page 23</t>
  </si>
  <si>
    <t>3. USGS. Cobalt - Mineral Yearbook 2019. (2021).</t>
  </si>
  <si>
    <t>Bahrain</t>
  </si>
  <si>
    <t>2, Table 13</t>
  </si>
  <si>
    <t>4. USGS. Graphite - Mineral Yearbook 2019. (2022).</t>
  </si>
  <si>
    <t>Canada</t>
  </si>
  <si>
    <t>5. USGS. Lithium - Mineral Yearbook 2019. (2021).</t>
  </si>
  <si>
    <t>Oman</t>
  </si>
  <si>
    <t>6. USGS. Manganese - Mineral Yearbook 2020. (2021).</t>
  </si>
  <si>
    <t>Total</t>
  </si>
  <si>
    <t>7. USGS. Nickel - Mineral Yearbook 2018. (2021).</t>
  </si>
  <si>
    <t>Total Aluminum Content</t>
  </si>
  <si>
    <t>Grand Total:
Aluminum Content</t>
  </si>
  <si>
    <t>Table 6B</t>
  </si>
  <si>
    <t>*Cobalt Content</t>
  </si>
  <si>
    <t>3, Table 1; 1, Page 52</t>
  </si>
  <si>
    <t>Australia*</t>
  </si>
  <si>
    <t>3, Table 7</t>
  </si>
  <si>
    <t>Canada*</t>
  </si>
  <si>
    <t>Mexico*</t>
  </si>
  <si>
    <t>Morocco*</t>
  </si>
  <si>
    <t>Total Cobalt Content</t>
  </si>
  <si>
    <t>Grand Total:
Cobalt Content</t>
  </si>
  <si>
    <t>Table 6C</t>
  </si>
  <si>
    <t xml:space="preserve"> Natural Graphite Total Production (metric tons)</t>
  </si>
  <si>
    <t>Crystalline Flake</t>
  </si>
  <si>
    <t>4, Table 1</t>
  </si>
  <si>
    <t>4, Table 9</t>
  </si>
  <si>
    <t>Mexico</t>
  </si>
  <si>
    <t>Total Graph Content</t>
  </si>
  <si>
    <t>Grand Total:
Graphite Content</t>
  </si>
  <si>
    <t>Table 6D</t>
  </si>
  <si>
    <t xml:space="preserve"> Synthetic Graphite Total Production (metric tons)</t>
  </si>
  <si>
    <t>Table 6E</t>
  </si>
  <si>
    <t xml:space="preserve"> Lithium Total Production (metric tons)</t>
  </si>
  <si>
    <t>Carbonate</t>
  </si>
  <si>
    <t>Chloride</t>
  </si>
  <si>
    <t>5, Table 1</t>
  </si>
  <si>
    <t>5, Table 4</t>
  </si>
  <si>
    <t>Chile</t>
  </si>
  <si>
    <t>Total Li Content</t>
  </si>
  <si>
    <t>Grand Total:
Lithium Content</t>
  </si>
  <si>
    <t>Table 6F</t>
  </si>
  <si>
    <t xml:space="preserve"> Manganese Total Production (metric tons)</t>
  </si>
  <si>
    <t>Ore*</t>
  </si>
  <si>
    <t>*Manganese Content</t>
  </si>
  <si>
    <t>6, Table 1</t>
  </si>
  <si>
    <t>6, Tables 7 &amp; 8</t>
  </si>
  <si>
    <t>Korea, Republic of</t>
  </si>
  <si>
    <t>Morocco</t>
  </si>
  <si>
    <t>6, Table 8</t>
  </si>
  <si>
    <t>Total Manganese Content</t>
  </si>
  <si>
    <t>Grand Total:
Manganese Content</t>
  </si>
  <si>
    <t>Table 6G</t>
  </si>
  <si>
    <t>Sulfide Ore</t>
  </si>
  <si>
    <t>Laterite Ore</t>
  </si>
  <si>
    <t>Metal</t>
  </si>
  <si>
    <t>Ferrous Scrap</t>
  </si>
  <si>
    <t>Nonferrous Scrap</t>
  </si>
  <si>
    <t>Purchased Scrap</t>
  </si>
  <si>
    <t>Undifferentiated</t>
  </si>
  <si>
    <t>7, Table 10</t>
  </si>
  <si>
    <t>7, Tables 10 &amp; 12</t>
  </si>
  <si>
    <t>Colombia</t>
  </si>
  <si>
    <t>Dominican Republic</t>
  </si>
  <si>
    <t>Guatemala</t>
  </si>
  <si>
    <t>Total Nickel Content</t>
  </si>
  <si>
    <t>Grand Total:
Nickel Content</t>
  </si>
  <si>
    <t>Table 6H</t>
  </si>
  <si>
    <t>Grand Total: Content</t>
  </si>
  <si>
    <t>Table 6I</t>
  </si>
  <si>
    <t>Table 7A</t>
  </si>
  <si>
    <t>Source, Location</t>
  </si>
  <si>
    <t>Total Al Content</t>
  </si>
  <si>
    <t>Table 7B</t>
  </si>
  <si>
    <t>Metal and alloys, crude</t>
  </si>
  <si>
    <t>Plates, sheets, strip, etc.</t>
  </si>
  <si>
    <t>2, Table 12</t>
  </si>
  <si>
    <t>Table 7C</t>
  </si>
  <si>
    <t>Primary Production*</t>
  </si>
  <si>
    <t>Secondary Production*</t>
  </si>
  <si>
    <t>3, Page 52</t>
  </si>
  <si>
    <t>Table 7D</t>
  </si>
  <si>
    <t>Metal*</t>
  </si>
  <si>
    <t>Oxides and hydroxides*</t>
  </si>
  <si>
    <t>Other*</t>
  </si>
  <si>
    <t>2, Table 4</t>
  </si>
  <si>
    <t>Table 7E</t>
  </si>
  <si>
    <t xml:space="preserve"> Natural Graphite US Production (metric tons)</t>
  </si>
  <si>
    <t>Table 7F</t>
  </si>
  <si>
    <t xml:space="preserve"> Natural Graphite Imports (metric tons)</t>
  </si>
  <si>
    <t>Other, high purity</t>
  </si>
  <si>
    <t>4, Table 6</t>
  </si>
  <si>
    <t>Table 7G</t>
  </si>
  <si>
    <t xml:space="preserve"> Synthetic Graphite US Production (metric tons)</t>
  </si>
  <si>
    <t>Table 7H</t>
  </si>
  <si>
    <t xml:space="preserve"> Synthetic Graphite Imports (metric tons)</t>
  </si>
  <si>
    <t>4, Table 8</t>
  </si>
  <si>
    <t>Table 7I</t>
  </si>
  <si>
    <t>** USGS does not report a domestic lithium production value</t>
  </si>
  <si>
    <t>Table 7J</t>
  </si>
  <si>
    <t xml:space="preserve"> Lithium Imports (metric tons)</t>
  </si>
  <si>
    <t>5, Table 3</t>
  </si>
  <si>
    <t>Table 7K</t>
  </si>
  <si>
    <t>Ore</t>
  </si>
  <si>
    <t>Table 7L</t>
  </si>
  <si>
    <t xml:space="preserve"> Manganese Imports (metric tons)</t>
  </si>
  <si>
    <t>Ferromanganese*</t>
  </si>
  <si>
    <t>Silicomanganese*</t>
  </si>
  <si>
    <t>Dioxide</t>
  </si>
  <si>
    <t>Potassium Permanganate</t>
  </si>
  <si>
    <t>6, Table 6</t>
  </si>
  <si>
    <t>Singapore</t>
  </si>
  <si>
    <t>Table 7M</t>
  </si>
  <si>
    <t>7, Table 1</t>
  </si>
  <si>
    <t>Table 7N</t>
  </si>
  <si>
    <t xml:space="preserve"> Nickel Imports (metric tons)*</t>
  </si>
  <si>
    <t>Unwrought</t>
  </si>
  <si>
    <t>Powder and Flakes</t>
  </si>
  <si>
    <t>Metallurgical-grade oxide</t>
  </si>
  <si>
    <t>Waste and scrap</t>
  </si>
  <si>
    <t>Stainless steel scrap</t>
  </si>
  <si>
    <t>Chemicals</t>
  </si>
  <si>
    <t>*Nickel Content</t>
  </si>
  <si>
    <t>7, Table 9</t>
  </si>
  <si>
    <t>Table 7O</t>
  </si>
  <si>
    <t>Table 7P</t>
  </si>
  <si>
    <t>Table 8A</t>
  </si>
  <si>
    <t>Units</t>
  </si>
  <si>
    <t>1. USGS. Aluminum - Mineral Yearbook 2020. (2021).</t>
  </si>
  <si>
    <t>US cents/lb</t>
  </si>
  <si>
    <t>1, Table 1</t>
  </si>
  <si>
    <t>2. USGS. Cobalt - Mineral Yearbook 2019. (2021).</t>
  </si>
  <si>
    <t>$US/ton (metric)</t>
  </si>
  <si>
    <t>3. USGS. Graphite - Mineral Yearbook 2019. (2022).</t>
  </si>
  <si>
    <t>4. USGS. Mineral Commodity Summaries 2022. http://pubs.er.usgs.gov/publication/mcs2022 (2022) doi:10.3133/mcs2022.</t>
  </si>
  <si>
    <t>Table 8B</t>
  </si>
  <si>
    <t>5. USGS. Nickel - Mineral Yearbook 2018. (2021).</t>
  </si>
  <si>
    <t>$US/lb</t>
  </si>
  <si>
    <t>$US/ton metric</t>
  </si>
  <si>
    <t>Table 8C</t>
  </si>
  <si>
    <t>3, Table 1</t>
  </si>
  <si>
    <t>Graphite Content: Amorphous + Crystallline Flake (Weighted Average on 2019 Imports)</t>
  </si>
  <si>
    <t>Table 8D</t>
  </si>
  <si>
    <t>Table 8E</t>
  </si>
  <si>
    <t>Average</t>
  </si>
  <si>
    <t>Standard Deviation</t>
  </si>
  <si>
    <t>Low Range</t>
  </si>
  <si>
    <t>High Range</t>
  </si>
  <si>
    <t>Natural</t>
  </si>
  <si>
    <t>Weighted Average</t>
  </si>
  <si>
    <t>Table 8F</t>
  </si>
  <si>
    <t>$US/ton lithium carbonate (metric)</t>
  </si>
  <si>
    <t>4, Page 100</t>
  </si>
  <si>
    <t>$US/ton lithium (metric)</t>
  </si>
  <si>
    <t>Table 8G</t>
  </si>
  <si>
    <t>$US/ton unit (metric)</t>
  </si>
  <si>
    <t>4, Page 106</t>
  </si>
  <si>
    <t>Table 8H</t>
  </si>
  <si>
    <t>Table 8I</t>
  </si>
  <si>
    <t>Mineral Price Ranges ($USD/metric ton)</t>
  </si>
  <si>
    <t>Average Price</t>
  </si>
  <si>
    <t>Range Low</t>
  </si>
  <si>
    <t>Range High</t>
  </si>
  <si>
    <t>Table 9A</t>
  </si>
  <si>
    <t>Prediction</t>
  </si>
  <si>
    <t>Number of BEVs Sold in 2027</t>
  </si>
  <si>
    <t>Table 9B</t>
  </si>
  <si>
    <t>Maximum Availability</t>
  </si>
  <si>
    <t>Baseline Imports</t>
  </si>
  <si>
    <t>Total Mineral Content Mass (kg)</t>
  </si>
  <si>
    <t>CALCULATIONS FOR NUMBER OF TAX-CREDIT ELIGIBLE BATTERIES BY MINERAL AVAILABILITY FROM US AND FTCS</t>
  </si>
  <si>
    <t>Table 9C</t>
  </si>
  <si>
    <t>Table 9D</t>
  </si>
  <si>
    <t>Available Amount Scenario</t>
  </si>
  <si>
    <t>Available Minerals (kg)</t>
  </si>
  <si>
    <t>Low Prediction (millions)</t>
  </si>
  <si>
    <t>High Prediction (millions)</t>
  </si>
  <si>
    <t>LFP (millions)</t>
  </si>
  <si>
    <t>NCA (millions)</t>
  </si>
  <si>
    <t>NMC (millions)</t>
  </si>
  <si>
    <t>High Prediction</t>
  </si>
  <si>
    <t>CALCULATIONS FOR NUMBER OF TAX-CREDIT ELIGIBLE BATTERIES BY LIMITING MINERAL</t>
  </si>
  <si>
    <t>Table 9E</t>
  </si>
  <si>
    <t>Table 9F</t>
  </si>
  <si>
    <t>Limiting Mass Mineral by Battery Type - Determined by Lowest Number of Tax-Credit Eligible Batteries (Table S9D)</t>
  </si>
  <si>
    <t>Availability Scenario</t>
  </si>
  <si>
    <t>Limiting Mineral</t>
  </si>
  <si>
    <t>Minimum Percent of Battery Critical Mineral Mass to Meet 80% Mass Target</t>
  </si>
  <si>
    <t>** Lithium is the first limiter, then graphite</t>
  </si>
  <si>
    <t>** Lithium is the first limiter, then cobalt, then graphite</t>
  </si>
  <si>
    <t>** Cobalt is the first limiter, then graphite</t>
  </si>
  <si>
    <t>Table 9G</t>
  </si>
  <si>
    <t>Mass Required (kg/battery)</t>
  </si>
  <si>
    <t>Table 9H</t>
  </si>
  <si>
    <t>Number of Tax-Eligible Batteries by Battery Type/Limiting Mass Mineral</t>
  </si>
  <si>
    <t>LFP/Graphite</t>
  </si>
  <si>
    <t>Number of Batteries (millions)</t>
  </si>
  <si>
    <t>Graphite Available (kg)</t>
  </si>
  <si>
    <t>Limiting Mass Mineral (millions)</t>
  </si>
  <si>
    <t>NCA/Graphite</t>
  </si>
  <si>
    <t>NMC/Graphite</t>
  </si>
  <si>
    <t>Table 9I</t>
  </si>
  <si>
    <t>Number of Tax-Eligible Batteries (in millions) by Battery Type/Limiting Mass Mineral (Reorganized to Make Figure)</t>
  </si>
  <si>
    <t>Calculation</t>
  </si>
  <si>
    <t>Low EV Demand</t>
  </si>
  <si>
    <t>High EV Demand</t>
  </si>
  <si>
    <t>Table 10A</t>
  </si>
  <si>
    <t>Number of PHEVs Sold in 2027</t>
  </si>
  <si>
    <t>Table 10B</t>
  </si>
  <si>
    <t>Table 10C</t>
  </si>
  <si>
    <t>Summary Mineral Mass Contribution by Battery Type (kg/battery) - LFP, LMO, NMC111111 Only</t>
  </si>
  <si>
    <t>NMC111111</t>
  </si>
  <si>
    <t>Table 10D</t>
  </si>
  <si>
    <t>LMO (millions)</t>
  </si>
  <si>
    <t>NMC111 (millions)</t>
  </si>
  <si>
    <t>Table 10E</t>
  </si>
  <si>
    <t>Table 10F</t>
  </si>
  <si>
    <t>Limiting Mass Mineral by Battery Type - Determined by Lowest Number of Tax-Credit Eligible Batteries (Table S10D)</t>
  </si>
  <si>
    <t>** Lithium is the first limiter, then manganese</t>
  </si>
  <si>
    <t>Table 10G</t>
  </si>
  <si>
    <t>Mass Required Mineral by Battery Type to Reach 80% of Total Market Value of Battery from FTCs (kg/battery)</t>
  </si>
  <si>
    <t>Table 10H</t>
  </si>
  <si>
    <t>LMO/Graphite</t>
  </si>
  <si>
    <t>LMO/Mangaese</t>
  </si>
  <si>
    <t>NMC111/Graphite</t>
  </si>
  <si>
    <t>Table 10I</t>
  </si>
  <si>
    <t>Table 11A</t>
  </si>
  <si>
    <t>Table 11B</t>
  </si>
  <si>
    <t>Total Mineral Content Mass (metric tons)</t>
  </si>
  <si>
    <t>Table 11C</t>
  </si>
  <si>
    <t>Mineral Market Values ($USD/metric tons)</t>
  </si>
  <si>
    <t>Table 11D</t>
  </si>
  <si>
    <t>Mass Required (metric tons/battery)</t>
  </si>
  <si>
    <t>Average Market Value ($USD/battery)</t>
  </si>
  <si>
    <t>Range Low Market Value ($USD/battery)</t>
  </si>
  <si>
    <t>Range High Market Value ($USD/battery)</t>
  </si>
  <si>
    <t>How much cobalt left</t>
  </si>
  <si>
    <t>How many batteries with remaining cobalt</t>
  </si>
  <si>
    <t>US + FTC Total batteries</t>
  </si>
  <si>
    <t>eligible</t>
  </si>
  <si>
    <t>max</t>
  </si>
  <si>
    <t>% MV NCA</t>
  </si>
  <si>
    <t>.15 * tons/battery</t>
  </si>
  <si>
    <t>number of batterys</t>
  </si>
  <si>
    <t>numbers of batterys</t>
  </si>
  <si>
    <t>Table 11E</t>
  </si>
  <si>
    <t>Total Mineral Requirements to Make 1 Million Batteries by Battery Type (metric tons) - Determines Limiting Mineral</t>
  </si>
  <si>
    <t>Mineral Requirement (metric tons)</t>
  </si>
  <si>
    <t>Remaining Minerals - Maximum Availability</t>
  </si>
  <si>
    <t>Remaining Minerals - Baseline Imports</t>
  </si>
  <si>
    <t>Table 11F</t>
  </si>
  <si>
    <t>Mineral Market Value Shares by Battery Type (%)</t>
  </si>
  <si>
    <t>Average Market Value</t>
  </si>
  <si>
    <t>Range Low Market Value</t>
  </si>
  <si>
    <t>Range High Market Value</t>
  </si>
  <si>
    <t>Table 11G</t>
  </si>
  <si>
    <t>Minimum Percent of Battery Critical Mineral Market Value to Meet 80% Market Value Target</t>
  </si>
  <si>
    <t>Under Average Mineral Market Value</t>
  </si>
  <si>
    <t>Under Low Mineral Market Value</t>
  </si>
  <si>
    <t>Under High Mineral Market Value</t>
  </si>
  <si>
    <t>Table 11H</t>
  </si>
  <si>
    <t>Limiting Mineral Market Value Required Mineral by Battery Type to Reach 80% of Total Market Value of Battery from FTCs ($USD/battery)</t>
  </si>
  <si>
    <t>Table 11I</t>
  </si>
  <si>
    <t>Table 11J</t>
  </si>
  <si>
    <t>Number of Tax-Eligible Batteries by Battery Type/Limiting Market Value Mineral</t>
  </si>
  <si>
    <t>Graphite Available (metric tons)</t>
  </si>
  <si>
    <t>NCA/Cobalt</t>
  </si>
  <si>
    <t>Cobalt Available (metric tons)</t>
  </si>
  <si>
    <t>NMC/Cobalt</t>
  </si>
  <si>
    <t>Table 11K</t>
  </si>
  <si>
    <t>Number of Tax-Eligible Batteries (in millions) by Battery Type/Limiting Market Value Mineral (Reorganized to Make Figure)</t>
  </si>
  <si>
    <t>Table 12A</t>
  </si>
  <si>
    <t>Table 12B</t>
  </si>
  <si>
    <t>Table 12C</t>
  </si>
  <si>
    <t>Table 12D</t>
  </si>
  <si>
    <t>% MV LMO</t>
  </si>
  <si>
    <t>Table 12E</t>
  </si>
  <si>
    <t>Total Mineral Requirements to Make 0.5 Million Batteries by Battery Type (metric tons) - Determines Limiting Mineral</t>
  </si>
  <si>
    <t>Table 12F</t>
  </si>
  <si>
    <t xml:space="preserve"> Mineral Market Value Shares by Battery Type (%)</t>
  </si>
  <si>
    <t>Table 12G</t>
  </si>
  <si>
    <t>Table 12H</t>
  </si>
  <si>
    <t>Limiting Mineral Market Value Required  by Battery Type to Reach 80% of Total Market Value of Battery from FTCs ($USD/battery)</t>
  </si>
  <si>
    <t>Table 12I</t>
  </si>
  <si>
    <t>Table 12J</t>
  </si>
  <si>
    <t>LMO/Manganese</t>
  </si>
  <si>
    <t>NMC111/Cobalt</t>
  </si>
  <si>
    <t>Table 12K</t>
  </si>
  <si>
    <t>Table S13A</t>
  </si>
  <si>
    <t>Full List of References Used In Excel Spreadsheet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</si>
</sst>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_(* #,##0_);_(* \(#,##0\);_(* &quot;-&quot;??_);_(@_)"/>
    <numFmt numFmtId="166" formatCode="0.00000"/>
    <numFmt numFmtId="167" formatCode="0.0000"/>
    <numFmt numFmtId="168" formatCode="0.0"/>
  </numFmts>
  <fonts count="12">
    <font>
      <sz val="11"/>
      <color theme="1"/>
      <name val="Calibri"/>
      <family val="2"/>
      <scheme val="minor"/>
    </font>
    <font>
      <b/>
      <sz val="11"/>
      <color rgb="FF000000"/>
      <name val="Calibri"/>
      <family val="2"/>
      <scheme val="minor"/>
    </font>
    <font>
      <sz val="11"/>
      <color rgb="FF000000"/>
      <name val="Calibri"/>
      <family val="2"/>
      <scheme val="minor"/>
    </font>
    <font>
      <b/>
      <sz val="11"/>
      <color theme="1"/>
      <name val="Calibri"/>
      <family val="2"/>
      <scheme val="minor"/>
    </font>
    <font>
      <sz val="11"/>
      <color rgb="FF000000"/>
      <name val="Calibri"/>
      <family val="2"/>
    </font>
    <font>
      <b/>
      <sz val="11"/>
      <color rgb="FF000000"/>
      <name val="Calibri"/>
      <family val="2"/>
    </font>
    <font>
      <sz val="8"/>
      <name val="Calibri"/>
      <family val="2"/>
      <scheme val="minor"/>
    </font>
    <font>
      <i/>
      <sz val="11"/>
      <color theme="1"/>
      <name val="Calibri"/>
      <family val="2"/>
      <scheme val="minor"/>
    </font>
    <font>
      <sz val="11"/>
      <color theme="1"/>
      <name val="Calibri"/>
      <family val="2"/>
      <scheme val="minor"/>
    </font>
    <font>
      <b/>
      <vertAlign val="superscript"/>
      <sz val="11"/>
      <color theme="1"/>
      <name val="Calibri (Body)"/>
    </font>
    <font>
      <sz val="15"/>
      <color theme="1"/>
      <name val="Calibri"/>
      <family val="2"/>
      <scheme val="minor"/>
    </font>
    <font>
      <i/>
      <vertAlign val="superscript"/>
      <sz val="11"/>
      <color theme="1"/>
      <name val="Calibri (Body)"/>
    </font>
  </fonts>
  <fills count="5">
    <fill>
      <patternFill patternType="none"/>
    </fill>
    <fill>
      <patternFill patternType="gray125"/>
    </fill>
    <fill>
      <patternFill patternType="solid">
        <fgColor theme="2"/>
        <bgColor indexed="64"/>
      </patternFill>
    </fill>
    <fill>
      <patternFill patternType="solid">
        <fgColor theme="3" tint="0.79998168889431442"/>
        <bgColor indexed="64"/>
      </patternFill>
    </fill>
    <fill>
      <patternFill patternType="solid">
        <fgColor theme="5" tint="0.79998168889431442"/>
        <bgColor indexed="64"/>
      </patternFill>
    </fill>
  </fills>
  <borders count="38">
    <border>
      <left/>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rgb="FF000000"/>
      </bottom>
      <diagonal/>
    </border>
  </borders>
  <cellStyleXfs count="2">
    <xf numFmtId="0" fontId="0" fillId="0" borderId="0"/>
    <xf numFmtId="43" fontId="8" fillId="0" borderId="0" applyFont="0" applyFill="0" applyBorder="0" applyAlignment="0" applyProtection="0"/>
  </cellStyleXfs>
  <cellXfs count="275">
    <xf numFmtId="0" fontId="0" fillId="0" borderId="0" xfId="0"/>
    <xf numFmtId="0" fontId="1" fillId="0" borderId="0" xfId="0" applyFont="1"/>
    <xf numFmtId="0" fontId="2" fillId="0" borderId="0" xfId="0" applyFont="1"/>
    <xf numFmtId="164" fontId="0" fillId="0" borderId="0" xfId="0" applyNumberFormat="1"/>
    <xf numFmtId="2" fontId="0" fillId="0" borderId="0" xfId="0" applyNumberFormat="1"/>
    <xf numFmtId="0" fontId="3" fillId="0" borderId="0" xfId="0" applyFont="1"/>
    <xf numFmtId="0" fontId="0" fillId="0" borderId="1" xfId="0" applyBorder="1"/>
    <xf numFmtId="0" fontId="0" fillId="0" borderId="9" xfId="0" applyBorder="1"/>
    <xf numFmtId="0" fontId="0" fillId="0" borderId="0" xfId="0" applyAlignment="1">
      <alignment vertical="center"/>
    </xf>
    <xf numFmtId="0" fontId="3" fillId="0" borderId="2"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0" xfId="0" applyFont="1" applyAlignment="1">
      <alignment vertical="center"/>
    </xf>
    <xf numFmtId="0" fontId="0" fillId="0" borderId="14" xfId="0" applyBorder="1" applyAlignment="1">
      <alignment vertical="center"/>
    </xf>
    <xf numFmtId="3" fontId="0" fillId="0" borderId="0" xfId="0" applyNumberFormat="1" applyAlignment="1">
      <alignment vertical="center"/>
    </xf>
    <xf numFmtId="0" fontId="0" fillId="0" borderId="7" xfId="0" applyBorder="1" applyAlignment="1">
      <alignment vertical="center"/>
    </xf>
    <xf numFmtId="0" fontId="3" fillId="0" borderId="14" xfId="0" applyFont="1" applyBorder="1" applyAlignment="1">
      <alignment vertical="center"/>
    </xf>
    <xf numFmtId="3" fontId="0" fillId="0" borderId="4" xfId="0" applyNumberFormat="1" applyBorder="1" applyAlignment="1">
      <alignment vertical="center"/>
    </xf>
    <xf numFmtId="0" fontId="0" fillId="0" borderId="5" xfId="0" applyBorder="1" applyAlignment="1">
      <alignment vertical="center"/>
    </xf>
    <xf numFmtId="0" fontId="3" fillId="0" borderId="15" xfId="0" applyFont="1" applyBorder="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1" fillId="0" borderId="0" xfId="0" applyFont="1" applyAlignment="1">
      <alignment vertical="center" wrapText="1"/>
    </xf>
    <xf numFmtId="0" fontId="1" fillId="0" borderId="0" xfId="0" applyFont="1" applyAlignment="1">
      <alignment vertical="center"/>
    </xf>
    <xf numFmtId="1" fontId="0" fillId="0" borderId="0" xfId="0" applyNumberFormat="1" applyAlignment="1">
      <alignment vertical="center"/>
    </xf>
    <xf numFmtId="0" fontId="2" fillId="0" borderId="0" xfId="0" applyFont="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0" fillId="0" borderId="6" xfId="0" applyBorder="1" applyAlignment="1">
      <alignment vertical="center"/>
    </xf>
    <xf numFmtId="3" fontId="0" fillId="0" borderId="9" xfId="0" applyNumberFormat="1" applyBorder="1" applyAlignment="1">
      <alignment vertical="center"/>
    </xf>
    <xf numFmtId="0" fontId="0" fillId="0" borderId="10" xfId="0" applyBorder="1" applyAlignment="1">
      <alignment vertical="center"/>
    </xf>
    <xf numFmtId="0" fontId="3" fillId="0" borderId="11" xfId="0" applyFont="1" applyBorder="1" applyAlignment="1">
      <alignment vertical="center"/>
    </xf>
    <xf numFmtId="0" fontId="0" fillId="0" borderId="15" xfId="0" applyBorder="1" applyAlignment="1">
      <alignment vertical="center"/>
    </xf>
    <xf numFmtId="0" fontId="3" fillId="0" borderId="16" xfId="0" applyFont="1" applyBorder="1" applyAlignment="1">
      <alignment vertical="center" wrapText="1"/>
    </xf>
    <xf numFmtId="0" fontId="3" fillId="0" borderId="3" xfId="0" applyFont="1" applyBorder="1" applyAlignment="1">
      <alignment vertical="center"/>
    </xf>
    <xf numFmtId="0" fontId="3" fillId="0" borderId="8" xfId="0" applyFont="1" applyBorder="1" applyAlignment="1">
      <alignment vertical="center"/>
    </xf>
    <xf numFmtId="0" fontId="3" fillId="0" borderId="16" xfId="0" applyFont="1" applyBorder="1" applyAlignment="1">
      <alignment vertical="center"/>
    </xf>
    <xf numFmtId="3" fontId="0" fillId="0" borderId="8" xfId="0" applyNumberFormat="1" applyBorder="1" applyAlignment="1">
      <alignment vertical="center"/>
    </xf>
    <xf numFmtId="0" fontId="0" fillId="0" borderId="9" xfId="0"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0" fillId="0" borderId="3" xfId="0" applyBorder="1" applyAlignment="1">
      <alignment vertical="center"/>
    </xf>
    <xf numFmtId="3" fontId="0" fillId="0" borderId="11" xfId="0" applyNumberFormat="1" applyBorder="1" applyAlignment="1">
      <alignment vertical="center"/>
    </xf>
    <xf numFmtId="0" fontId="0" fillId="0" borderId="2" xfId="0" applyBorder="1" applyAlignment="1">
      <alignment vertical="center"/>
    </xf>
    <xf numFmtId="0" fontId="0" fillId="0" borderId="11" xfId="0" applyBorder="1" applyAlignment="1">
      <alignment vertical="center"/>
    </xf>
    <xf numFmtId="3" fontId="0" fillId="0" borderId="3" xfId="0" applyNumberFormat="1"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1" fontId="2" fillId="0" borderId="4" xfId="0" applyNumberFormat="1" applyFont="1" applyBorder="1" applyAlignment="1">
      <alignment vertical="center"/>
    </xf>
    <xf numFmtId="1" fontId="0" fillId="0" borderId="4" xfId="0" applyNumberFormat="1" applyBorder="1" applyAlignment="1">
      <alignment vertical="center"/>
    </xf>
    <xf numFmtId="0" fontId="2" fillId="0" borderId="5" xfId="0" applyFont="1" applyBorder="1" applyAlignment="1">
      <alignment vertical="center"/>
    </xf>
    <xf numFmtId="1" fontId="0" fillId="0" borderId="9" xfId="0" applyNumberFormat="1" applyBorder="1" applyAlignment="1">
      <alignment vertical="center"/>
    </xf>
    <xf numFmtId="0" fontId="2" fillId="0" borderId="10" xfId="0" applyFont="1" applyBorder="1" applyAlignment="1">
      <alignment vertical="center"/>
    </xf>
    <xf numFmtId="0" fontId="3" fillId="0" borderId="8" xfId="0" applyFont="1" applyBorder="1" applyAlignment="1">
      <alignment vertical="center" wrapText="1"/>
    </xf>
    <xf numFmtId="0" fontId="1" fillId="0" borderId="2" xfId="0" applyFont="1" applyBorder="1" applyAlignment="1">
      <alignment vertical="center"/>
    </xf>
    <xf numFmtId="0" fontId="0" fillId="0" borderId="16" xfId="0" applyBorder="1" applyAlignment="1">
      <alignment vertical="center"/>
    </xf>
    <xf numFmtId="1" fontId="0" fillId="0" borderId="6" xfId="0" applyNumberFormat="1" applyBorder="1" applyAlignment="1">
      <alignment vertical="center"/>
    </xf>
    <xf numFmtId="1" fontId="0" fillId="0" borderId="8" xfId="0" applyNumberFormat="1" applyBorder="1" applyAlignment="1">
      <alignment vertical="center"/>
    </xf>
    <xf numFmtId="1" fontId="0" fillId="0" borderId="10" xfId="0" applyNumberFormat="1" applyBorder="1" applyAlignment="1">
      <alignment vertical="center"/>
    </xf>
    <xf numFmtId="1" fontId="0" fillId="0" borderId="3" xfId="0" applyNumberFormat="1" applyBorder="1" applyAlignment="1">
      <alignment vertical="center"/>
    </xf>
    <xf numFmtId="1" fontId="0" fillId="0" borderId="5" xfId="0" applyNumberFormat="1" applyBorder="1" applyAlignment="1">
      <alignment vertical="center"/>
    </xf>
    <xf numFmtId="0" fontId="1" fillId="0" borderId="14" xfId="0" applyFont="1" applyBorder="1" applyAlignment="1">
      <alignment vertical="center"/>
    </xf>
    <xf numFmtId="0" fontId="1" fillId="0" borderId="16" xfId="0" applyFont="1" applyBorder="1" applyAlignment="1">
      <alignment vertical="center" wrapText="1"/>
    </xf>
    <xf numFmtId="165" fontId="0" fillId="0" borderId="0" xfId="1" applyNumberFormat="1" applyFont="1" applyFill="1" applyBorder="1" applyAlignment="1">
      <alignment vertical="center"/>
    </xf>
    <xf numFmtId="165" fontId="0" fillId="0" borderId="9" xfId="1" applyNumberFormat="1" applyFont="1" applyFill="1" applyBorder="1" applyAlignment="1">
      <alignment vertical="center"/>
    </xf>
    <xf numFmtId="3" fontId="0" fillId="0" borderId="6" xfId="0" applyNumberFormat="1" applyBorder="1" applyAlignment="1">
      <alignment vertical="center"/>
    </xf>
    <xf numFmtId="3" fontId="0" fillId="0" borderId="7" xfId="0" applyNumberFormat="1" applyBorder="1" applyAlignment="1">
      <alignment vertical="center"/>
    </xf>
    <xf numFmtId="1" fontId="0" fillId="0" borderId="9" xfId="0" applyNumberFormat="1" applyBorder="1" applyAlignment="1">
      <alignment vertical="center" wrapText="1"/>
    </xf>
    <xf numFmtId="165" fontId="0" fillId="0" borderId="7" xfId="1" applyNumberFormat="1" applyFont="1" applyFill="1" applyBorder="1" applyAlignment="1">
      <alignment vertical="center"/>
    </xf>
    <xf numFmtId="165" fontId="0" fillId="0" borderId="10" xfId="1" applyNumberFormat="1" applyFont="1" applyFill="1" applyBorder="1" applyAlignment="1">
      <alignment vertical="center"/>
    </xf>
    <xf numFmtId="0" fontId="3" fillId="0" borderId="6" xfId="0" applyFont="1" applyBorder="1"/>
    <xf numFmtId="0" fontId="3" fillId="0" borderId="7" xfId="0" applyFont="1" applyBorder="1"/>
    <xf numFmtId="0" fontId="0" fillId="0" borderId="6" xfId="0" applyBorder="1"/>
    <xf numFmtId="0" fontId="0" fillId="0" borderId="7" xfId="0" applyBorder="1"/>
    <xf numFmtId="0" fontId="0" fillId="0" borderId="8" xfId="0" applyBorder="1"/>
    <xf numFmtId="0" fontId="0" fillId="0" borderId="10" xfId="0" applyBorder="1"/>
    <xf numFmtId="0" fontId="3" fillId="0" borderId="11" xfId="0" applyFont="1" applyBorder="1"/>
    <xf numFmtId="0" fontId="3" fillId="0" borderId="12" xfId="0" applyFont="1" applyBorder="1"/>
    <xf numFmtId="0" fontId="3" fillId="0" borderId="13" xfId="0" applyFont="1" applyBorder="1"/>
    <xf numFmtId="0" fontId="7" fillId="0" borderId="6" xfId="0" applyFont="1" applyBorder="1"/>
    <xf numFmtId="2" fontId="0" fillId="0" borderId="6" xfId="0" applyNumberFormat="1" applyBorder="1"/>
    <xf numFmtId="0" fontId="7" fillId="0" borderId="8" xfId="0" applyFont="1" applyBorder="1"/>
    <xf numFmtId="2" fontId="0" fillId="0" borderId="9" xfId="0" applyNumberFormat="1" applyBorder="1"/>
    <xf numFmtId="0" fontId="0" fillId="0" borderId="11" xfId="0" applyBorder="1"/>
    <xf numFmtId="2" fontId="0" fillId="0" borderId="8" xfId="0" applyNumberFormat="1" applyBorder="1"/>
    <xf numFmtId="2" fontId="0" fillId="0" borderId="7" xfId="0" applyNumberFormat="1" applyBorder="1"/>
    <xf numFmtId="2" fontId="0" fillId="0" borderId="10" xfId="0" applyNumberFormat="1" applyBorder="1"/>
    <xf numFmtId="0" fontId="7" fillId="0" borderId="3" xfId="0" applyFont="1" applyBorder="1"/>
    <xf numFmtId="0" fontId="0" fillId="0" borderId="4" xfId="0" applyBorder="1"/>
    <xf numFmtId="0" fontId="0" fillId="0" borderId="5" xfId="0" applyBorder="1"/>
    <xf numFmtId="0" fontId="7" fillId="0" borderId="0" xfId="0" applyFont="1"/>
    <xf numFmtId="0" fontId="1" fillId="3" borderId="16" xfId="0" applyFont="1" applyFill="1" applyBorder="1" applyAlignment="1">
      <alignment vertical="center" wrapText="1"/>
    </xf>
    <xf numFmtId="0" fontId="1" fillId="3" borderId="8" xfId="0" applyFont="1" applyFill="1" applyBorder="1" applyAlignment="1">
      <alignment vertical="center" wrapText="1"/>
    </xf>
    <xf numFmtId="0" fontId="3" fillId="3" borderId="16" xfId="0" applyFont="1" applyFill="1" applyBorder="1" applyAlignment="1">
      <alignment vertical="center" wrapText="1"/>
    </xf>
    <xf numFmtId="0" fontId="3" fillId="3" borderId="8" xfId="0" applyFont="1" applyFill="1" applyBorder="1" applyAlignment="1">
      <alignment vertical="center" wrapText="1"/>
    </xf>
    <xf numFmtId="1" fontId="0" fillId="0" borderId="7" xfId="0" applyNumberFormat="1" applyBorder="1"/>
    <xf numFmtId="1" fontId="0" fillId="0" borderId="10" xfId="0" applyNumberFormat="1" applyBorder="1"/>
    <xf numFmtId="1" fontId="0" fillId="0" borderId="7" xfId="1" applyNumberFormat="1" applyFont="1" applyBorder="1"/>
    <xf numFmtId="1" fontId="0" fillId="0" borderId="10" xfId="1" applyNumberFormat="1" applyFont="1" applyBorder="1"/>
    <xf numFmtId="0" fontId="3" fillId="0" borderId="4" xfId="0" applyFont="1" applyBorder="1"/>
    <xf numFmtId="0" fontId="3" fillId="0" borderId="5" xfId="0" applyFont="1" applyBorder="1"/>
    <xf numFmtId="0" fontId="3" fillId="0" borderId="3" xfId="0" applyFont="1" applyBorder="1"/>
    <xf numFmtId="2" fontId="3" fillId="0" borderId="6" xfId="0" applyNumberFormat="1" applyFont="1" applyBorder="1"/>
    <xf numFmtId="2" fontId="3" fillId="0" borderId="7" xfId="0" applyNumberFormat="1" applyFont="1" applyBorder="1"/>
    <xf numFmtId="2" fontId="3" fillId="0" borderId="11" xfId="0" applyNumberFormat="1" applyFont="1" applyBorder="1"/>
    <xf numFmtId="2" fontId="7" fillId="0" borderId="0" xfId="0" applyNumberFormat="1" applyFont="1"/>
    <xf numFmtId="1" fontId="0" fillId="0" borderId="0" xfId="0" applyNumberFormat="1"/>
    <xf numFmtId="0" fontId="2" fillId="0" borderId="6" xfId="0" applyFont="1" applyBorder="1"/>
    <xf numFmtId="0" fontId="1" fillId="0" borderId="6" xfId="0" applyFont="1" applyBorder="1"/>
    <xf numFmtId="2" fontId="2" fillId="0" borderId="9" xfId="0" applyNumberFormat="1" applyFont="1" applyBorder="1"/>
    <xf numFmtId="165" fontId="0" fillId="0" borderId="0" xfId="1" applyNumberFormat="1" applyFont="1"/>
    <xf numFmtId="165" fontId="0" fillId="0" borderId="0" xfId="0" applyNumberFormat="1"/>
    <xf numFmtId="1" fontId="0" fillId="0" borderId="0" xfId="1" applyNumberFormat="1" applyFont="1"/>
    <xf numFmtId="43" fontId="0" fillId="0" borderId="0" xfId="0" applyNumberFormat="1"/>
    <xf numFmtId="166" fontId="0" fillId="0" borderId="0" xfId="0" applyNumberFormat="1"/>
    <xf numFmtId="165" fontId="0" fillId="0" borderId="0" xfId="1" applyNumberFormat="1" applyFont="1" applyBorder="1"/>
    <xf numFmtId="43" fontId="0" fillId="0" borderId="0" xfId="1" applyFont="1" applyBorder="1"/>
    <xf numFmtId="167" fontId="0" fillId="0" borderId="0" xfId="0" applyNumberFormat="1"/>
    <xf numFmtId="1" fontId="3" fillId="0" borderId="0" xfId="0" applyNumberFormat="1" applyFont="1"/>
    <xf numFmtId="2" fontId="3" fillId="0" borderId="0" xfId="0" applyNumberFormat="1" applyFont="1"/>
    <xf numFmtId="43" fontId="0" fillId="0" borderId="7" xfId="1" applyFont="1" applyBorder="1"/>
    <xf numFmtId="165" fontId="0" fillId="0" borderId="7" xfId="1" applyNumberFormat="1" applyFont="1" applyBorder="1"/>
    <xf numFmtId="1" fontId="0" fillId="0" borderId="9" xfId="0" applyNumberFormat="1" applyBorder="1"/>
    <xf numFmtId="43" fontId="0" fillId="0" borderId="9" xfId="1" applyFont="1" applyBorder="1"/>
    <xf numFmtId="43" fontId="0" fillId="0" borderId="10" xfId="1" applyFont="1" applyBorder="1"/>
    <xf numFmtId="0" fontId="0" fillId="0" borderId="0" xfId="1" applyNumberFormat="1" applyFont="1" applyBorder="1"/>
    <xf numFmtId="0" fontId="0" fillId="0" borderId="9" xfId="1" applyNumberFormat="1" applyFont="1" applyBorder="1"/>
    <xf numFmtId="164" fontId="0" fillId="0" borderId="9" xfId="0" applyNumberFormat="1" applyBorder="1"/>
    <xf numFmtId="0" fontId="2" fillId="0" borderId="8" xfId="0" applyFont="1" applyBorder="1"/>
    <xf numFmtId="164" fontId="0" fillId="0" borderId="7" xfId="0" applyNumberFormat="1" applyBorder="1"/>
    <xf numFmtId="164" fontId="0" fillId="0" borderId="10" xfId="0" applyNumberFormat="1" applyBorder="1"/>
    <xf numFmtId="2" fontId="1" fillId="0" borderId="0" xfId="0" applyNumberFormat="1" applyFont="1"/>
    <xf numFmtId="2" fontId="5" fillId="0" borderId="0" xfId="0" applyNumberFormat="1" applyFont="1" applyAlignment="1">
      <alignment wrapText="1"/>
    </xf>
    <xf numFmtId="0" fontId="5" fillId="0" borderId="0" xfId="0" applyFont="1" applyAlignment="1">
      <alignment wrapText="1"/>
    </xf>
    <xf numFmtId="0" fontId="5" fillId="0" borderId="7" xfId="0" applyFont="1" applyBorder="1" applyAlignment="1">
      <alignment wrapText="1"/>
    </xf>
    <xf numFmtId="2" fontId="0" fillId="0" borderId="0" xfId="1" applyNumberFormat="1" applyFont="1" applyBorder="1"/>
    <xf numFmtId="2" fontId="0" fillId="0" borderId="9" xfId="1" applyNumberFormat="1" applyFont="1" applyBorder="1"/>
    <xf numFmtId="0" fontId="2" fillId="0" borderId="9" xfId="0" applyFont="1" applyBorder="1"/>
    <xf numFmtId="0" fontId="4" fillId="0" borderId="0" xfId="0" applyFont="1"/>
    <xf numFmtId="0" fontId="1" fillId="0" borderId="7" xfId="0" applyFont="1" applyBorder="1"/>
    <xf numFmtId="164" fontId="2" fillId="0" borderId="7" xfId="0" applyNumberFormat="1" applyFont="1" applyBorder="1"/>
    <xf numFmtId="2" fontId="2" fillId="0" borderId="0" xfId="0" applyNumberFormat="1" applyFont="1"/>
    <xf numFmtId="164" fontId="2" fillId="0" borderId="10" xfId="0" applyNumberFormat="1" applyFont="1" applyBorder="1"/>
    <xf numFmtId="0" fontId="1" fillId="3" borderId="2" xfId="0" applyFont="1" applyFill="1" applyBorder="1" applyAlignment="1">
      <alignment vertical="center" wrapText="1"/>
    </xf>
    <xf numFmtId="165" fontId="0" fillId="0" borderId="10" xfId="1" applyNumberFormat="1" applyFont="1" applyBorder="1"/>
    <xf numFmtId="0" fontId="0" fillId="0" borderId="0" xfId="0" applyAlignment="1">
      <alignment horizontal="center"/>
    </xf>
    <xf numFmtId="0" fontId="2" fillId="0" borderId="10" xfId="0" applyFont="1" applyBorder="1"/>
    <xf numFmtId="43" fontId="0" fillId="0" borderId="0" xfId="1" applyFont="1"/>
    <xf numFmtId="0" fontId="4" fillId="0" borderId="6" xfId="0" applyFont="1" applyBorder="1"/>
    <xf numFmtId="0" fontId="4" fillId="0" borderId="8" xfId="0" applyFont="1" applyBorder="1"/>
    <xf numFmtId="0" fontId="3" fillId="0" borderId="14" xfId="0" applyFont="1" applyBorder="1"/>
    <xf numFmtId="0" fontId="4" fillId="0" borderId="15" xfId="0" applyFont="1" applyBorder="1"/>
    <xf numFmtId="0" fontId="4" fillId="0" borderId="15" xfId="0" applyFont="1" applyBorder="1" applyAlignment="1">
      <alignment wrapText="1"/>
    </xf>
    <xf numFmtId="0" fontId="4" fillId="0" borderId="16" xfId="0" applyFont="1" applyBorder="1" applyAlignment="1">
      <alignment wrapText="1"/>
    </xf>
    <xf numFmtId="0" fontId="0" fillId="0" borderId="17" xfId="0" applyBorder="1"/>
    <xf numFmtId="0" fontId="0" fillId="0" borderId="18" xfId="0" applyBorder="1"/>
    <xf numFmtId="0" fontId="0" fillId="0" borderId="19" xfId="0" applyBorder="1"/>
    <xf numFmtId="0" fontId="10" fillId="0" borderId="0" xfId="0" applyFont="1" applyAlignment="1">
      <alignment vertical="center"/>
    </xf>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3" fontId="0" fillId="0" borderId="0" xfId="0" applyNumberFormat="1"/>
    <xf numFmtId="3" fontId="0" fillId="0" borderId="7" xfId="0" applyNumberFormat="1" applyBorder="1"/>
    <xf numFmtId="3" fontId="0" fillId="0" borderId="9" xfId="0" applyNumberFormat="1" applyBorder="1"/>
    <xf numFmtId="3" fontId="0" fillId="0" borderId="10" xfId="0" applyNumberFormat="1" applyBorder="1"/>
    <xf numFmtId="3" fontId="0" fillId="0" borderId="7" xfId="1" applyNumberFormat="1" applyFont="1" applyBorder="1"/>
    <xf numFmtId="3" fontId="0" fillId="0" borderId="10" xfId="1" applyNumberFormat="1" applyFont="1" applyBorder="1"/>
    <xf numFmtId="3" fontId="0" fillId="0" borderId="0" xfId="1" applyNumberFormat="1" applyFont="1" applyBorder="1"/>
    <xf numFmtId="3" fontId="0" fillId="0" borderId="9" xfId="1" applyNumberFormat="1" applyFont="1" applyBorder="1"/>
    <xf numFmtId="1" fontId="0" fillId="0" borderId="12" xfId="0" applyNumberFormat="1" applyBorder="1"/>
    <xf numFmtId="1" fontId="0" fillId="0" borderId="13" xfId="0" applyNumberFormat="1" applyBorder="1"/>
    <xf numFmtId="168" fontId="0" fillId="0" borderId="0" xfId="0" applyNumberFormat="1"/>
    <xf numFmtId="43" fontId="0" fillId="0" borderId="0" xfId="1" applyFont="1" applyFill="1"/>
    <xf numFmtId="0" fontId="3" fillId="4" borderId="0" xfId="0" applyFont="1" applyFill="1"/>
    <xf numFmtId="0" fontId="3" fillId="0" borderId="25" xfId="0" applyFont="1" applyBorder="1"/>
    <xf numFmtId="0" fontId="3" fillId="0" borderId="26" xfId="0" applyFont="1" applyBorder="1"/>
    <xf numFmtId="0" fontId="3" fillId="0" borderId="27" xfId="0" applyFont="1" applyBorder="1"/>
    <xf numFmtId="0" fontId="0" fillId="0" borderId="3"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7" xfId="1" applyNumberFormat="1" applyFont="1" applyBorder="1"/>
    <xf numFmtId="0" fontId="3" fillId="2" borderId="11" xfId="0" applyFont="1" applyFill="1" applyBorder="1" applyAlignment="1">
      <alignment horizontal="center"/>
    </xf>
    <xf numFmtId="0" fontId="3" fillId="2" borderId="13" xfId="0" applyFont="1" applyFill="1" applyBorder="1" applyAlignment="1">
      <alignment horizontal="center"/>
    </xf>
    <xf numFmtId="0" fontId="3" fillId="2" borderId="12" xfId="0" applyFont="1" applyFill="1" applyBorder="1" applyAlignment="1">
      <alignment horizont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7" fillId="0" borderId="6" xfId="0" applyFont="1" applyBorder="1" applyAlignment="1">
      <alignment horizontal="center"/>
    </xf>
    <xf numFmtId="0" fontId="7" fillId="0" borderId="7" xfId="0" applyFont="1" applyBorder="1" applyAlignment="1">
      <alignment horizontal="center"/>
    </xf>
    <xf numFmtId="0" fontId="0" fillId="0" borderId="6" xfId="0" applyBorder="1" applyAlignment="1">
      <alignment horizontal="center" wrapText="1"/>
    </xf>
    <xf numFmtId="0" fontId="0" fillId="0" borderId="7" xfId="0"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0" fillId="2" borderId="13" xfId="0" applyFill="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2" borderId="28" xfId="0" applyFont="1" applyFill="1" applyBorder="1" applyAlignment="1">
      <alignment horizontal="center"/>
    </xf>
    <xf numFmtId="0" fontId="3" fillId="2" borderId="29" xfId="0" applyFont="1" applyFill="1" applyBorder="1" applyAlignment="1">
      <alignment horizontal="center"/>
    </xf>
    <xf numFmtId="0" fontId="3" fillId="2" borderId="30"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1" fontId="0" fillId="3" borderId="11" xfId="0" applyNumberFormat="1" applyFill="1" applyBorder="1" applyAlignment="1">
      <alignment horizontal="center" vertical="center"/>
    </xf>
    <xf numFmtId="1" fontId="0" fillId="3" borderId="12" xfId="0" applyNumberFormat="1" applyFill="1" applyBorder="1" applyAlignment="1">
      <alignment horizontal="center" vertical="center"/>
    </xf>
    <xf numFmtId="1" fontId="0" fillId="3" borderId="13" xfId="0" applyNumberForma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3" borderId="11" xfId="1" applyNumberFormat="1" applyFont="1" applyFill="1" applyBorder="1" applyAlignment="1">
      <alignment horizontal="center" vertical="center"/>
    </xf>
    <xf numFmtId="0" fontId="0" fillId="3" borderId="12" xfId="1" applyNumberFormat="1" applyFont="1" applyFill="1" applyBorder="1" applyAlignment="1">
      <alignment horizontal="center" vertical="center"/>
    </xf>
    <xf numFmtId="0" fontId="0" fillId="3" borderId="13" xfId="1" applyNumberFormat="1" applyFont="1" applyFill="1" applyBorder="1" applyAlignment="1">
      <alignment horizontal="center"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3" fontId="0" fillId="3" borderId="11" xfId="0" applyNumberFormat="1" applyFill="1" applyBorder="1" applyAlignment="1">
      <alignment horizontal="center" vertical="center"/>
    </xf>
    <xf numFmtId="3" fontId="0" fillId="3" borderId="12" xfId="0" applyNumberFormat="1" applyFill="1" applyBorder="1" applyAlignment="1">
      <alignment horizontal="center" vertical="center"/>
    </xf>
    <xf numFmtId="3" fontId="0" fillId="3" borderId="13" xfId="0" applyNumberFormat="1" applyFill="1" applyBorder="1" applyAlignment="1">
      <alignment horizontal="center" vertic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2" fontId="0" fillId="0" borderId="11" xfId="0" applyNumberFormat="1" applyBorder="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2" fontId="0" fillId="0" borderId="3" xfId="0" applyNumberFormat="1" applyBorder="1" applyAlignment="1">
      <alignment horizontal="center"/>
    </xf>
    <xf numFmtId="2" fontId="0" fillId="0" borderId="4" xfId="0" applyNumberFormat="1" applyBorder="1" applyAlignment="1">
      <alignment horizontal="center"/>
    </xf>
    <xf numFmtId="2" fontId="0" fillId="0" borderId="5" xfId="0" applyNumberForma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4"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3" fillId="0" borderId="4" xfId="0" applyFont="1" applyBorder="1" applyAlignment="1">
      <alignment horizontal="left"/>
    </xf>
    <xf numFmtId="2" fontId="0" fillId="0" borderId="6" xfId="0" applyNumberFormat="1" applyBorder="1" applyAlignment="1">
      <alignment horizontal="center"/>
    </xf>
    <xf numFmtId="2" fontId="0" fillId="0" borderId="0" xfId="0" applyNumberFormat="1" applyAlignment="1">
      <alignment horizontal="center"/>
    </xf>
    <xf numFmtId="2" fontId="0" fillId="0" borderId="7" xfId="0" applyNumberFormat="1" applyBorder="1" applyAlignment="1">
      <alignment horizontal="center"/>
    </xf>
    <xf numFmtId="0" fontId="0" fillId="0" borderId="0" xfId="0" applyAlignment="1">
      <alignment horizontal="center"/>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'9. Calculations - Mass (BEV)'!$A$133</c:f>
              <c:strCache>
                <c:ptCount val="1"/>
                <c:pt idx="0">
                  <c:v>Calculation</c:v>
                </c:pt>
              </c:strCache>
            </c:strRef>
          </c:tx>
          <c:spPr>
            <a:solidFill>
              <a:schemeClr val="accent1"/>
            </a:solidFill>
            <a:ln>
              <a:noFill/>
            </a:ln>
            <a:effectLst/>
          </c:spPr>
          <c:invertIfNegative val="0"/>
          <c:cat>
            <c:multiLvlStrRef>
              <c:f>'9. Calculations - Mass (BEV)'!$B$131:$G$132</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'9. Calculations - Mass (BEV)'!$B$133:$G$133</c:f>
              <c:numCache>
                <c:formatCode>0.00</c:formatCode>
                <c:ptCount val="6"/>
                <c:pt idx="0">
                  <c:v>0.51376979407748979</c:v>
                </c:pt>
                <c:pt idx="1">
                  <c:v>0.2618153441936093</c:v>
                </c:pt>
                <c:pt idx="2">
                  <c:v>0.80614974939230211</c:v>
                </c:pt>
                <c:pt idx="3">
                  <c:v>0.30735016482500022</c:v>
                </c:pt>
                <c:pt idx="4">
                  <c:v>0.56349038704179855</c:v>
                </c:pt>
                <c:pt idx="5">
                  <c:v>0.28015250138816022</c:v>
                </c:pt>
              </c:numCache>
            </c:numRef>
          </c:val>
          <c:extLst>
            <c:ext xmlns:c16="http://schemas.microsoft.com/office/drawing/2014/chart" uri="{C3380CC4-5D6E-409C-BE32-E72D297353CC}">
              <c16:uniqueId val="{00000000-6FFB-A84C-940F-124A15D9C2C5}"/>
            </c:ext>
          </c:extLst>
        </c:ser>
        <c:dLbls>
          <c:showLegendKey val="0"/>
          <c:showVal val="0"/>
          <c:showCatName val="0"/>
          <c:showSerName val="0"/>
          <c:showPercent val="0"/>
          <c:showBubbleSize val="0"/>
        </c:dLbls>
        <c:gapWidth val="219"/>
        <c:overlap val="-27"/>
        <c:axId val="724165552"/>
        <c:axId val="670648527"/>
      </c:barChart>
      <c:lineChart>
        <c:grouping val="standard"/>
        <c:varyColors val="0"/>
        <c:ser>
          <c:idx val="1"/>
          <c:order val="1"/>
          <c:tx>
            <c:strRef>
              <c:f>'9. Calculations - Mass (BEV)'!$A$134</c:f>
              <c:strCache>
                <c:ptCount val="1"/>
                <c:pt idx="0">
                  <c:v>Low EV Demand</c:v>
                </c:pt>
              </c:strCache>
            </c:strRef>
          </c:tx>
          <c:spPr>
            <a:ln w="28575" cap="rnd">
              <a:solidFill>
                <a:schemeClr val="accent2"/>
              </a:solidFill>
              <a:round/>
            </a:ln>
            <a:effectLst/>
          </c:spPr>
          <c:marker>
            <c:symbol val="none"/>
          </c:marker>
          <c:cat>
            <c:multiLvlStrRef>
              <c:f>'9. Calculations - Mass (BEV)'!$B$131:$G$132</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'9. Calculations - Mass (BEV)'!$B$134:$G$134</c:f>
              <c:numCache>
                <c:formatCode>0.00</c:formatCode>
                <c:ptCount val="6"/>
                <c:pt idx="0">
                  <c:v>1</c:v>
                </c:pt>
                <c:pt idx="1">
                  <c:v>1</c:v>
                </c:pt>
                <c:pt idx="2">
                  <c:v>1</c:v>
                </c:pt>
                <c:pt idx="3">
                  <c:v>1</c:v>
                </c:pt>
                <c:pt idx="4">
                  <c:v>1</c:v>
                </c:pt>
                <c:pt idx="5">
                  <c:v>1</c:v>
                </c:pt>
              </c:numCache>
            </c:numRef>
          </c:val>
          <c:smooth val="0"/>
          <c:extLst>
            <c:ext xmlns:c16="http://schemas.microsoft.com/office/drawing/2014/chart" uri="{C3380CC4-5D6E-409C-BE32-E72D297353CC}">
              <c16:uniqueId val="{00000001-6FFB-A84C-940F-124A15D9C2C5}"/>
            </c:ext>
          </c:extLst>
        </c:ser>
        <c:ser>
          <c:idx val="2"/>
          <c:order val="2"/>
          <c:tx>
            <c:strRef>
              <c:f>'9. Calculations - Mass (BEV)'!$A$135</c:f>
              <c:strCache>
                <c:ptCount val="1"/>
                <c:pt idx="0">
                  <c:v>High EV Demand</c:v>
                </c:pt>
              </c:strCache>
            </c:strRef>
          </c:tx>
          <c:spPr>
            <a:ln w="28575" cap="rnd">
              <a:solidFill>
                <a:schemeClr val="accent3"/>
              </a:solidFill>
              <a:round/>
            </a:ln>
            <a:effectLst/>
          </c:spPr>
          <c:marker>
            <c:symbol val="none"/>
          </c:marker>
          <c:cat>
            <c:multiLvlStrRef>
              <c:f>'9. Calculations - Mass (BEV)'!$B$131:$G$132</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'9. Calculations - Mass (BEV)'!$B$135:$G$135</c:f>
              <c:numCache>
                <c:formatCode>0.00</c:formatCode>
                <c:ptCount val="6"/>
                <c:pt idx="0">
                  <c:v>2</c:v>
                </c:pt>
                <c:pt idx="1">
                  <c:v>2</c:v>
                </c:pt>
                <c:pt idx="2">
                  <c:v>2</c:v>
                </c:pt>
                <c:pt idx="3">
                  <c:v>2</c:v>
                </c:pt>
                <c:pt idx="4">
                  <c:v>2</c:v>
                </c:pt>
                <c:pt idx="5">
                  <c:v>2</c:v>
                </c:pt>
              </c:numCache>
            </c:numRef>
          </c:val>
          <c:smooth val="0"/>
          <c:extLst>
            <c:ext xmlns:c16="http://schemas.microsoft.com/office/drawing/2014/chart" uri="{C3380CC4-5D6E-409C-BE32-E72D297353CC}">
              <c16:uniqueId val="{00000002-6FFB-A84C-940F-124A15D9C2C5}"/>
            </c:ext>
          </c:extLst>
        </c:ser>
        <c:dLbls>
          <c:showLegendKey val="0"/>
          <c:showVal val="0"/>
          <c:showCatName val="0"/>
          <c:showSerName val="0"/>
          <c:showPercent val="0"/>
          <c:showBubbleSize val="0"/>
        </c:dLbls>
        <c:marker val="1"/>
        <c:smooth val="0"/>
        <c:axId val="724165552"/>
        <c:axId val="670648527"/>
      </c:lineChart>
      <c:catAx>
        <c:axId val="724165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0648527"/>
        <c:crosses val="autoZero"/>
        <c:auto val="1"/>
        <c:lblAlgn val="ctr"/>
        <c:lblOffset val="100"/>
        <c:noMultiLvlLbl val="0"/>
      </c:catAx>
      <c:valAx>
        <c:axId val="670648527"/>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1655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'9. Calculations - Mass (BEV)'!$E$34</c:f>
              <c:strCache>
                <c:ptCount val="1"/>
                <c:pt idx="0">
                  <c:v>LFP (millions)</c:v>
                </c:pt>
              </c:strCache>
            </c:strRef>
          </c:tx>
          <c:spPr>
            <a:solidFill>
              <a:schemeClr val="accent3"/>
            </a:solidFill>
            <a:ln>
              <a:noFill/>
            </a:ln>
            <a:effectLst/>
          </c:spPr>
          <c:invertIfNegative val="0"/>
          <c:cat>
            <c:strRef>
              <c:f>'9. Calculations - Mass (BEV)'!$A$35:$A$36</c:f>
              <c:strCache>
                <c:ptCount val="2"/>
                <c:pt idx="0">
                  <c:v>Maximum Availability</c:v>
                </c:pt>
                <c:pt idx="1">
                  <c:v>Baseline Imports</c:v>
                </c:pt>
              </c:strCache>
            </c:strRef>
          </c:cat>
          <c:val>
            <c:numRef>
              <c:f>'9. Calculations - Mass (BEV)'!$E$35:$E$36</c:f>
              <c:numCache>
                <c:formatCode>_(* #,##0.00_);_(* \(#,##0.00\);_(* "-"??_);_(@_)</c:formatCode>
                <c:ptCount val="2"/>
                <c:pt idx="0">
                  <c:v>11.359967806841048</c:v>
                </c:pt>
                <c:pt idx="1">
                  <c:v>7.3981755602414507</c:v>
                </c:pt>
              </c:numCache>
            </c:numRef>
          </c:val>
          <c:extLst>
            <c:ext xmlns:c16="http://schemas.microsoft.com/office/drawing/2014/chart" uri="{C3380CC4-5D6E-409C-BE32-E72D297353CC}">
              <c16:uniqueId val="{00000002-6994-3C4B-A7F4-41B5CD5E91A9}"/>
            </c:ext>
          </c:extLst>
        </c:ser>
        <c:ser>
          <c:idx val="3"/>
          <c:order val="3"/>
          <c:tx>
            <c:strRef>
              <c:f>'9. Calculations - Mass (BEV)'!$F$34</c:f>
              <c:strCache>
                <c:ptCount val="1"/>
                <c:pt idx="0">
                  <c:v>NCA (millions)</c:v>
                </c:pt>
              </c:strCache>
            </c:strRef>
          </c:tx>
          <c:spPr>
            <a:solidFill>
              <a:schemeClr val="accent4"/>
            </a:solidFill>
            <a:ln>
              <a:noFill/>
            </a:ln>
            <a:effectLst/>
          </c:spPr>
          <c:invertIfNegative val="0"/>
          <c:cat>
            <c:strRef>
              <c:f>'9. Calculations - Mass (BEV)'!$A$35:$A$36</c:f>
              <c:strCache>
                <c:ptCount val="2"/>
                <c:pt idx="0">
                  <c:v>Maximum Availability</c:v>
                </c:pt>
                <c:pt idx="1">
                  <c:v>Baseline Imports</c:v>
                </c:pt>
              </c:strCache>
            </c:strRef>
          </c:cat>
          <c:val>
            <c:numRef>
              <c:f>'9. Calculations - Mass (BEV)'!$F$35:$F$36</c:f>
              <c:numCache>
                <c:formatCode>_(* #,##0.00_);_(* \(#,##0.00\);_(* "-"??_);_(@_)</c:formatCode>
                <c:ptCount val="2"/>
                <c:pt idx="0">
                  <c:v>15.512286002021076</c:v>
                </c:pt>
                <c:pt idx="1">
                  <c:v>10.102371515042242</c:v>
                </c:pt>
              </c:numCache>
            </c:numRef>
          </c:val>
          <c:extLst>
            <c:ext xmlns:c16="http://schemas.microsoft.com/office/drawing/2014/chart" uri="{C3380CC4-5D6E-409C-BE32-E72D297353CC}">
              <c16:uniqueId val="{00000003-6994-3C4B-A7F4-41B5CD5E91A9}"/>
            </c:ext>
          </c:extLst>
        </c:ser>
        <c:ser>
          <c:idx val="4"/>
          <c:order val="4"/>
          <c:tx>
            <c:strRef>
              <c:f>'9. Calculations - Mass (BEV)'!$G$34</c:f>
              <c:strCache>
                <c:ptCount val="1"/>
                <c:pt idx="0">
                  <c:v>NMC (millions)</c:v>
                </c:pt>
              </c:strCache>
            </c:strRef>
          </c:tx>
          <c:spPr>
            <a:solidFill>
              <a:schemeClr val="accent5"/>
            </a:solidFill>
            <a:ln>
              <a:noFill/>
            </a:ln>
            <a:effectLst/>
          </c:spPr>
          <c:invertIfNegative val="0"/>
          <c:cat>
            <c:strRef>
              <c:f>'9. Calculations - Mass (BEV)'!$A$35:$A$36</c:f>
              <c:strCache>
                <c:ptCount val="2"/>
                <c:pt idx="0">
                  <c:v>Maximum Availability</c:v>
                </c:pt>
                <c:pt idx="1">
                  <c:v>Baseline Imports</c:v>
                </c:pt>
              </c:strCache>
            </c:strRef>
          </c:cat>
          <c:val>
            <c:numRef>
              <c:f>'9. Calculations - Mass (BEV)'!$G$35:$G$36</c:f>
              <c:numCache>
                <c:formatCode>_(* #,##0.00_);_(* \(#,##0.00\);_(* "-"??_);_(@_)</c:formatCode>
                <c:ptCount val="2"/>
                <c:pt idx="0">
                  <c:v>14.937702951785447</c:v>
                </c:pt>
                <c:pt idx="1">
                  <c:v>9.728174479288116</c:v>
                </c:pt>
              </c:numCache>
            </c:numRef>
          </c:val>
          <c:extLst>
            <c:ext xmlns:c16="http://schemas.microsoft.com/office/drawing/2014/chart" uri="{C3380CC4-5D6E-409C-BE32-E72D297353CC}">
              <c16:uniqueId val="{00000004-6994-3C4B-A7F4-41B5CD5E91A9}"/>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'9. Calculations - Mass (BEV)'!$C$34</c:f>
              <c:strCache>
                <c:ptCount val="1"/>
                <c:pt idx="0">
                  <c:v>Low Prediction (millions)</c:v>
                </c:pt>
              </c:strCache>
            </c:strRef>
          </c:tx>
          <c:spPr>
            <a:ln w="28575" cap="rnd">
              <a:solidFill>
                <a:schemeClr val="accent1"/>
              </a:solidFill>
              <a:round/>
            </a:ln>
            <a:effectLst/>
          </c:spPr>
          <c:marker>
            <c:symbol val="none"/>
          </c:marker>
          <c:cat>
            <c:strRef>
              <c:f>'9. Calculations - Mass (BEV)'!$A$35:$A$36</c:f>
              <c:strCache>
                <c:ptCount val="2"/>
                <c:pt idx="0">
                  <c:v>Maximum Availability</c:v>
                </c:pt>
                <c:pt idx="1">
                  <c:v>Baseline Imports</c:v>
                </c:pt>
              </c:strCache>
            </c:strRef>
          </c:cat>
          <c:val>
            <c:numRef>
              <c:f>'9. Calculations - Mass (BEV)'!$C$35:$C$36</c:f>
              <c:numCache>
                <c:formatCode>0.00</c:formatCode>
                <c:ptCount val="2"/>
                <c:pt idx="0">
                  <c:v>1</c:v>
                </c:pt>
                <c:pt idx="1">
                  <c:v>1</c:v>
                </c:pt>
              </c:numCache>
            </c:numRef>
          </c:val>
          <c:smooth val="0"/>
          <c:extLst>
            <c:ext xmlns:c16="http://schemas.microsoft.com/office/drawing/2014/chart" uri="{C3380CC4-5D6E-409C-BE32-E72D297353CC}">
              <c16:uniqueId val="{00000000-6994-3C4B-A7F4-41B5CD5E91A9}"/>
            </c:ext>
          </c:extLst>
        </c:ser>
        <c:ser>
          <c:idx val="1"/>
          <c:order val="1"/>
          <c:tx>
            <c:strRef>
              <c:f>'9. Calculations - Mass (BEV)'!$D$34</c:f>
              <c:strCache>
                <c:ptCount val="1"/>
                <c:pt idx="0">
                  <c:v>High Prediction (millions)</c:v>
                </c:pt>
              </c:strCache>
            </c:strRef>
          </c:tx>
          <c:spPr>
            <a:ln w="28575" cap="rnd">
              <a:solidFill>
                <a:schemeClr val="accent2"/>
              </a:solidFill>
              <a:round/>
            </a:ln>
            <a:effectLst/>
          </c:spPr>
          <c:marker>
            <c:symbol val="none"/>
          </c:marker>
          <c:cat>
            <c:strRef>
              <c:f>'9. Calculations - Mass (BEV)'!$A$35:$A$36</c:f>
              <c:strCache>
                <c:ptCount val="2"/>
                <c:pt idx="0">
                  <c:v>Maximum Availability</c:v>
                </c:pt>
                <c:pt idx="1">
                  <c:v>Baseline Imports</c:v>
                </c:pt>
              </c:strCache>
            </c:strRef>
          </c:cat>
          <c:val>
            <c:numRef>
              <c:f>'9. Calculations - Mass (BEV)'!$D$35:$D$36</c:f>
              <c:numCache>
                <c:formatCode>0.00</c:formatCode>
                <c:ptCount val="2"/>
                <c:pt idx="0">
                  <c:v>2</c:v>
                </c:pt>
                <c:pt idx="1">
                  <c:v>2</c:v>
                </c:pt>
              </c:numCache>
            </c:numRef>
          </c:val>
          <c:smooth val="0"/>
          <c:extLst>
            <c:ext xmlns:c16="http://schemas.microsoft.com/office/drawing/2014/chart" uri="{C3380CC4-5D6E-409C-BE32-E72D297353CC}">
              <c16:uniqueId val="{00000001-6994-3C4B-A7F4-41B5CD5E91A9}"/>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'9. Calculations - Mass (BEV)'!$E$34</c:f>
              <c:strCache>
                <c:ptCount val="1"/>
                <c:pt idx="0">
                  <c:v>LFP (millions)</c:v>
                </c:pt>
              </c:strCache>
            </c:strRef>
          </c:tx>
          <c:spPr>
            <a:solidFill>
              <a:schemeClr val="accent3"/>
            </a:solidFill>
            <a:ln>
              <a:noFill/>
            </a:ln>
            <a:effectLst/>
          </c:spPr>
          <c:invertIfNegative val="0"/>
          <c:cat>
            <c:strRef>
              <c:f>'9. Calculations - Mass (BEV)'!$A$40:$A$41</c:f>
              <c:strCache>
                <c:ptCount val="2"/>
                <c:pt idx="0">
                  <c:v>Maximum Availability</c:v>
                </c:pt>
                <c:pt idx="1">
                  <c:v>Baseline Imports</c:v>
                </c:pt>
              </c:strCache>
            </c:strRef>
          </c:cat>
          <c:val>
            <c:numRef>
              <c:f>'9. Calculations - Mass (BEV)'!$E$40:$E$41</c:f>
              <c:numCache>
                <c:formatCode>General</c:formatCode>
                <c:ptCount val="2"/>
                <c:pt idx="0">
                  <c:v>0</c:v>
                </c:pt>
                <c:pt idx="1">
                  <c:v>0</c:v>
                </c:pt>
              </c:numCache>
            </c:numRef>
          </c:val>
          <c:extLst>
            <c:ext xmlns:c16="http://schemas.microsoft.com/office/drawing/2014/chart" uri="{C3380CC4-5D6E-409C-BE32-E72D297353CC}">
              <c16:uniqueId val="{00000000-03CF-1941-8AC8-6381EB7A7DAA}"/>
            </c:ext>
          </c:extLst>
        </c:ser>
        <c:ser>
          <c:idx val="3"/>
          <c:order val="3"/>
          <c:tx>
            <c:strRef>
              <c:f>'9. Calculations - Mass (BEV)'!$F$34</c:f>
              <c:strCache>
                <c:ptCount val="1"/>
                <c:pt idx="0">
                  <c:v>NCA (millions)</c:v>
                </c:pt>
              </c:strCache>
            </c:strRef>
          </c:tx>
          <c:spPr>
            <a:solidFill>
              <a:schemeClr val="accent4"/>
            </a:solidFill>
            <a:ln>
              <a:noFill/>
            </a:ln>
            <a:effectLst/>
          </c:spPr>
          <c:invertIfNegative val="0"/>
          <c:cat>
            <c:strRef>
              <c:f>'9. Calculations - Mass (BEV)'!$A$40:$A$41</c:f>
              <c:strCache>
                <c:ptCount val="2"/>
                <c:pt idx="0">
                  <c:v>Maximum Availability</c:v>
                </c:pt>
                <c:pt idx="1">
                  <c:v>Baseline Imports</c:v>
                </c:pt>
              </c:strCache>
            </c:strRef>
          </c:cat>
          <c:val>
            <c:numRef>
              <c:f>'9. Calculations - Mass (BEV)'!$F$40:$F$41</c:f>
              <c:numCache>
                <c:formatCode>_(* #,##0.00_);_(* \(#,##0.00\);_(* "-"??_);_(@_)</c:formatCode>
                <c:ptCount val="2"/>
                <c:pt idx="0">
                  <c:v>0.4198944998789626</c:v>
                </c:pt>
                <c:pt idx="1">
                  <c:v>0.16809418468560985</c:v>
                </c:pt>
              </c:numCache>
            </c:numRef>
          </c:val>
          <c:extLst>
            <c:ext xmlns:c16="http://schemas.microsoft.com/office/drawing/2014/chart" uri="{C3380CC4-5D6E-409C-BE32-E72D297353CC}">
              <c16:uniqueId val="{00000001-03CF-1941-8AC8-6381EB7A7DAA}"/>
            </c:ext>
          </c:extLst>
        </c:ser>
        <c:ser>
          <c:idx val="4"/>
          <c:order val="4"/>
          <c:tx>
            <c:strRef>
              <c:f>'9. Calculations - Mass (BEV)'!$G$34</c:f>
              <c:strCache>
                <c:ptCount val="1"/>
                <c:pt idx="0">
                  <c:v>NMC (millions)</c:v>
                </c:pt>
              </c:strCache>
            </c:strRef>
          </c:tx>
          <c:spPr>
            <a:solidFill>
              <a:schemeClr val="accent5"/>
            </a:solidFill>
            <a:ln>
              <a:noFill/>
            </a:ln>
            <a:effectLst/>
          </c:spPr>
          <c:invertIfNegative val="0"/>
          <c:cat>
            <c:strRef>
              <c:f>'9. Calculations - Mass (BEV)'!$A$40:$A$41</c:f>
              <c:strCache>
                <c:ptCount val="2"/>
                <c:pt idx="0">
                  <c:v>Maximum Availability</c:v>
                </c:pt>
                <c:pt idx="1">
                  <c:v>Baseline Imports</c:v>
                </c:pt>
              </c:strCache>
            </c:strRef>
          </c:cat>
          <c:val>
            <c:numRef>
              <c:f>'9. Calculations - Mass (BEV)'!$G$40:$G$41</c:f>
              <c:numCache>
                <c:formatCode>_(* #,##0.00_);_(* \(#,##0.00\);_(* "-"??_);_(@_)</c:formatCode>
                <c:ptCount val="2"/>
                <c:pt idx="0">
                  <c:v>0.25975712320584571</c:v>
                </c:pt>
                <c:pt idx="1">
                  <c:v>0.10398722025211686</c:v>
                </c:pt>
              </c:numCache>
            </c:numRef>
          </c:val>
          <c:extLst>
            <c:ext xmlns:c16="http://schemas.microsoft.com/office/drawing/2014/chart" uri="{C3380CC4-5D6E-409C-BE32-E72D297353CC}">
              <c16:uniqueId val="{00000002-03CF-1941-8AC8-6381EB7A7DAA}"/>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'9. Calculations - Mass (BEV)'!$C$34</c:f>
              <c:strCache>
                <c:ptCount val="1"/>
                <c:pt idx="0">
                  <c:v>Low Prediction (millions)</c:v>
                </c:pt>
              </c:strCache>
            </c:strRef>
          </c:tx>
          <c:spPr>
            <a:ln w="28575" cap="rnd">
              <a:solidFill>
                <a:schemeClr val="accent1"/>
              </a:solidFill>
              <a:round/>
            </a:ln>
            <a:effectLst/>
          </c:spPr>
          <c:marker>
            <c:symbol val="none"/>
          </c:marker>
          <c:cat>
            <c:strRef>
              <c:f>'9. Calculations - Mass (BEV)'!$A$40:$A$41</c:f>
              <c:strCache>
                <c:ptCount val="2"/>
                <c:pt idx="0">
                  <c:v>Maximum Availability</c:v>
                </c:pt>
                <c:pt idx="1">
                  <c:v>Baseline Imports</c:v>
                </c:pt>
              </c:strCache>
            </c:strRef>
          </c:cat>
          <c:val>
            <c:numRef>
              <c:f>'9. Calculations - Mass (BEV)'!$C$40:$C$41</c:f>
              <c:numCache>
                <c:formatCode>0.00</c:formatCode>
                <c:ptCount val="2"/>
                <c:pt idx="0">
                  <c:v>1</c:v>
                </c:pt>
                <c:pt idx="1">
                  <c:v>1</c:v>
                </c:pt>
              </c:numCache>
            </c:numRef>
          </c:val>
          <c:smooth val="0"/>
          <c:extLst>
            <c:ext xmlns:c16="http://schemas.microsoft.com/office/drawing/2014/chart" uri="{C3380CC4-5D6E-409C-BE32-E72D297353CC}">
              <c16:uniqueId val="{00000003-03CF-1941-8AC8-6381EB7A7DAA}"/>
            </c:ext>
          </c:extLst>
        </c:ser>
        <c:ser>
          <c:idx val="1"/>
          <c:order val="1"/>
          <c:tx>
            <c:strRef>
              <c:f>'9. Calculations - Mass (BEV)'!$D$34</c:f>
              <c:strCache>
                <c:ptCount val="1"/>
                <c:pt idx="0">
                  <c:v>High Prediction (millions)</c:v>
                </c:pt>
              </c:strCache>
            </c:strRef>
          </c:tx>
          <c:spPr>
            <a:ln w="28575" cap="rnd">
              <a:solidFill>
                <a:schemeClr val="accent2"/>
              </a:solidFill>
              <a:round/>
            </a:ln>
            <a:effectLst/>
          </c:spPr>
          <c:marker>
            <c:symbol val="none"/>
          </c:marker>
          <c:cat>
            <c:strRef>
              <c:f>'9. Calculations - Mass (BEV)'!$A$40:$A$41</c:f>
              <c:strCache>
                <c:ptCount val="2"/>
                <c:pt idx="0">
                  <c:v>Maximum Availability</c:v>
                </c:pt>
                <c:pt idx="1">
                  <c:v>Baseline Imports</c:v>
                </c:pt>
              </c:strCache>
            </c:strRef>
          </c:cat>
          <c:val>
            <c:numRef>
              <c:f>'9. Calculations - Mass (BEV)'!$D$40:$D$41</c:f>
              <c:numCache>
                <c:formatCode>0.00</c:formatCode>
                <c:ptCount val="2"/>
                <c:pt idx="0">
                  <c:v>2</c:v>
                </c:pt>
                <c:pt idx="1">
                  <c:v>2</c:v>
                </c:pt>
              </c:numCache>
            </c:numRef>
          </c:val>
          <c:smooth val="0"/>
          <c:extLst>
            <c:ext xmlns:c16="http://schemas.microsoft.com/office/drawing/2014/chart" uri="{C3380CC4-5D6E-409C-BE32-E72D297353CC}">
              <c16:uniqueId val="{00000004-03CF-1941-8AC8-6381EB7A7DAA}"/>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'9. Calculations - Mass (BEV)'!$E$34</c:f>
              <c:strCache>
                <c:ptCount val="1"/>
                <c:pt idx="0">
                  <c:v>LFP (millions)</c:v>
                </c:pt>
              </c:strCache>
            </c:strRef>
          </c:tx>
          <c:spPr>
            <a:solidFill>
              <a:schemeClr val="accent3"/>
            </a:solidFill>
            <a:ln>
              <a:noFill/>
            </a:ln>
            <a:effectLst/>
          </c:spPr>
          <c:invertIfNegative val="0"/>
          <c:cat>
            <c:strRef>
              <c:f>'9. Calculations - Mass (BEV)'!$A$45:$A$46</c:f>
              <c:strCache>
                <c:ptCount val="2"/>
                <c:pt idx="0">
                  <c:v>Maximum Availability</c:v>
                </c:pt>
                <c:pt idx="1">
                  <c:v>Baseline Imports</c:v>
                </c:pt>
              </c:strCache>
            </c:strRef>
          </c:cat>
          <c:val>
            <c:numRef>
              <c:f>'9. Calculations - Mass (BEV)'!$E$45:$E$46</c:f>
              <c:numCache>
                <c:formatCode>_(* #,##0.00_);_(* \(#,##0.00\);_(* "-"??_);_(@_)</c:formatCode>
                <c:ptCount val="2"/>
                <c:pt idx="0">
                  <c:v>0.30711963227883882</c:v>
                </c:pt>
                <c:pt idx="1">
                  <c:v>0.18134971695794316</c:v>
                </c:pt>
              </c:numCache>
            </c:numRef>
          </c:val>
          <c:extLst>
            <c:ext xmlns:c16="http://schemas.microsoft.com/office/drawing/2014/chart" uri="{C3380CC4-5D6E-409C-BE32-E72D297353CC}">
              <c16:uniqueId val="{00000000-E3B6-2F42-A290-504D8D71C469}"/>
            </c:ext>
          </c:extLst>
        </c:ser>
        <c:ser>
          <c:idx val="3"/>
          <c:order val="3"/>
          <c:tx>
            <c:strRef>
              <c:f>'9. Calculations - Mass (BEV)'!$F$34</c:f>
              <c:strCache>
                <c:ptCount val="1"/>
                <c:pt idx="0">
                  <c:v>NCA (millions)</c:v>
                </c:pt>
              </c:strCache>
            </c:strRef>
          </c:tx>
          <c:spPr>
            <a:solidFill>
              <a:schemeClr val="accent4"/>
            </a:solidFill>
            <a:ln>
              <a:noFill/>
            </a:ln>
            <a:effectLst/>
          </c:spPr>
          <c:invertIfNegative val="0"/>
          <c:cat>
            <c:strRef>
              <c:f>'9. Calculations - Mass (BEV)'!$A$45:$A$46</c:f>
              <c:strCache>
                <c:ptCount val="2"/>
                <c:pt idx="0">
                  <c:v>Maximum Availability</c:v>
                </c:pt>
                <c:pt idx="1">
                  <c:v>Baseline Imports</c:v>
                </c:pt>
              </c:strCache>
            </c:strRef>
          </c:cat>
          <c:val>
            <c:numRef>
              <c:f>'9. Calculations - Mass (BEV)'!$F$45:$F$46</c:f>
              <c:numCache>
                <c:formatCode>_(* #,##0.00_);_(* \(#,##0.00\);_(* "-"??_);_(@_)</c:formatCode>
                <c:ptCount val="2"/>
                <c:pt idx="0">
                  <c:v>0.3612197556048185</c:v>
                </c:pt>
                <c:pt idx="1">
                  <c:v>0.21329506014475916</c:v>
                </c:pt>
              </c:numCache>
            </c:numRef>
          </c:val>
          <c:extLst>
            <c:ext xmlns:c16="http://schemas.microsoft.com/office/drawing/2014/chart" uri="{C3380CC4-5D6E-409C-BE32-E72D297353CC}">
              <c16:uniqueId val="{00000001-E3B6-2F42-A290-504D8D71C469}"/>
            </c:ext>
          </c:extLst>
        </c:ser>
        <c:ser>
          <c:idx val="4"/>
          <c:order val="4"/>
          <c:tx>
            <c:strRef>
              <c:f>'9. Calculations - Mass (BEV)'!$G$34</c:f>
              <c:strCache>
                <c:ptCount val="1"/>
                <c:pt idx="0">
                  <c:v>NMC (millions)</c:v>
                </c:pt>
              </c:strCache>
            </c:strRef>
          </c:tx>
          <c:spPr>
            <a:solidFill>
              <a:schemeClr val="accent5"/>
            </a:solidFill>
            <a:ln>
              <a:noFill/>
            </a:ln>
            <a:effectLst/>
          </c:spPr>
          <c:invertIfNegative val="0"/>
          <c:cat>
            <c:strRef>
              <c:f>'9. Calculations - Mass (BEV)'!$A$45:$A$46</c:f>
              <c:strCache>
                <c:ptCount val="2"/>
                <c:pt idx="0">
                  <c:v>Maximum Availability</c:v>
                </c:pt>
                <c:pt idx="1">
                  <c:v>Baseline Imports</c:v>
                </c:pt>
              </c:strCache>
            </c:strRef>
          </c:cat>
          <c:val>
            <c:numRef>
              <c:f>'9. Calculations - Mass (BEV)'!$G$45:$G$46</c:f>
              <c:numCache>
                <c:formatCode>_(* #,##0.00_);_(* \(#,##0.00\);_(* "-"??_);_(@_)</c:formatCode>
                <c:ptCount val="2"/>
                <c:pt idx="0">
                  <c:v>0.35840174861632418</c:v>
                </c:pt>
                <c:pt idx="1">
                  <c:v>0.21163106762836742</c:v>
                </c:pt>
              </c:numCache>
            </c:numRef>
          </c:val>
          <c:extLst>
            <c:ext xmlns:c16="http://schemas.microsoft.com/office/drawing/2014/chart" uri="{C3380CC4-5D6E-409C-BE32-E72D297353CC}">
              <c16:uniqueId val="{00000002-E3B6-2F42-A290-504D8D71C469}"/>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'9. Calculations - Mass (BEV)'!$C$34</c:f>
              <c:strCache>
                <c:ptCount val="1"/>
                <c:pt idx="0">
                  <c:v>Low Prediction (millions)</c:v>
                </c:pt>
              </c:strCache>
            </c:strRef>
          </c:tx>
          <c:spPr>
            <a:ln w="28575" cap="rnd">
              <a:solidFill>
                <a:schemeClr val="accent1"/>
              </a:solidFill>
              <a:round/>
            </a:ln>
            <a:effectLst/>
          </c:spPr>
          <c:marker>
            <c:symbol val="none"/>
          </c:marker>
          <c:cat>
            <c:strRef>
              <c:f>'9. Calculations - Mass (BEV)'!$A$45:$A$46</c:f>
              <c:strCache>
                <c:ptCount val="2"/>
                <c:pt idx="0">
                  <c:v>Maximum Availability</c:v>
                </c:pt>
                <c:pt idx="1">
                  <c:v>Baseline Imports</c:v>
                </c:pt>
              </c:strCache>
            </c:strRef>
          </c:cat>
          <c:val>
            <c:numRef>
              <c:f>'9. Calculations - Mass (BEV)'!$C$45:$C$46</c:f>
              <c:numCache>
                <c:formatCode>0.00</c:formatCode>
                <c:ptCount val="2"/>
                <c:pt idx="0">
                  <c:v>1</c:v>
                </c:pt>
                <c:pt idx="1">
                  <c:v>1</c:v>
                </c:pt>
              </c:numCache>
            </c:numRef>
          </c:val>
          <c:smooth val="0"/>
          <c:extLst>
            <c:ext xmlns:c16="http://schemas.microsoft.com/office/drawing/2014/chart" uri="{C3380CC4-5D6E-409C-BE32-E72D297353CC}">
              <c16:uniqueId val="{00000003-E3B6-2F42-A290-504D8D71C469}"/>
            </c:ext>
          </c:extLst>
        </c:ser>
        <c:ser>
          <c:idx val="1"/>
          <c:order val="1"/>
          <c:tx>
            <c:strRef>
              <c:f>'9. Calculations - Mass (BEV)'!$D$34</c:f>
              <c:strCache>
                <c:ptCount val="1"/>
                <c:pt idx="0">
                  <c:v>High Prediction (millions)</c:v>
                </c:pt>
              </c:strCache>
            </c:strRef>
          </c:tx>
          <c:spPr>
            <a:ln w="28575" cap="rnd">
              <a:solidFill>
                <a:schemeClr val="accent2"/>
              </a:solidFill>
              <a:round/>
            </a:ln>
            <a:effectLst/>
          </c:spPr>
          <c:marker>
            <c:symbol val="none"/>
          </c:marker>
          <c:cat>
            <c:strRef>
              <c:f>'9. Calculations - Mass (BEV)'!$A$45:$A$46</c:f>
              <c:strCache>
                <c:ptCount val="2"/>
                <c:pt idx="0">
                  <c:v>Maximum Availability</c:v>
                </c:pt>
                <c:pt idx="1">
                  <c:v>Baseline Imports</c:v>
                </c:pt>
              </c:strCache>
            </c:strRef>
          </c:cat>
          <c:val>
            <c:numRef>
              <c:f>'9. Calculations - Mass (BEV)'!$D$45:$D$46</c:f>
              <c:numCache>
                <c:formatCode>0.00</c:formatCode>
                <c:ptCount val="2"/>
                <c:pt idx="0">
                  <c:v>2</c:v>
                </c:pt>
                <c:pt idx="1">
                  <c:v>2</c:v>
                </c:pt>
              </c:numCache>
            </c:numRef>
          </c:val>
          <c:smooth val="0"/>
          <c:extLst>
            <c:ext xmlns:c16="http://schemas.microsoft.com/office/drawing/2014/chart" uri="{C3380CC4-5D6E-409C-BE32-E72D297353CC}">
              <c16:uniqueId val="{00000004-E3B6-2F42-A290-504D8D71C469}"/>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'9. Calculations - Mass (BEV)'!$E$34</c:f>
              <c:strCache>
                <c:ptCount val="1"/>
                <c:pt idx="0">
                  <c:v>LFP (millions)</c:v>
                </c:pt>
              </c:strCache>
            </c:strRef>
          </c:tx>
          <c:spPr>
            <a:solidFill>
              <a:schemeClr val="accent3"/>
            </a:solidFill>
            <a:ln>
              <a:noFill/>
            </a:ln>
            <a:effectLst/>
          </c:spPr>
          <c:invertIfNegative val="0"/>
          <c:cat>
            <c:strRef>
              <c:f>'9. Calculations - Mass (BEV)'!$A$50:$A$51</c:f>
              <c:strCache>
                <c:ptCount val="2"/>
                <c:pt idx="0">
                  <c:v>Maximum Availability</c:v>
                </c:pt>
                <c:pt idx="1">
                  <c:v>Baseline Imports</c:v>
                </c:pt>
              </c:strCache>
            </c:strRef>
          </c:cat>
          <c:val>
            <c:numRef>
              <c:f>'9. Calculations - Mass (BEV)'!$E$50:$E$51</c:f>
              <c:numCache>
                <c:formatCode>_(* #,##0.00_);_(* \(#,##0.00\);_(* "-"??_);_(@_)</c:formatCode>
                <c:ptCount val="2"/>
                <c:pt idx="0">
                  <c:v>6.2762594049369937</c:v>
                </c:pt>
                <c:pt idx="1">
                  <c:v>7.6024807602064676E-2</c:v>
                </c:pt>
              </c:numCache>
            </c:numRef>
          </c:val>
          <c:extLst>
            <c:ext xmlns:c16="http://schemas.microsoft.com/office/drawing/2014/chart" uri="{C3380CC4-5D6E-409C-BE32-E72D297353CC}">
              <c16:uniqueId val="{00000000-659D-E946-B866-B255BB7854B4}"/>
            </c:ext>
          </c:extLst>
        </c:ser>
        <c:ser>
          <c:idx val="3"/>
          <c:order val="3"/>
          <c:tx>
            <c:strRef>
              <c:f>'9. Calculations - Mass (BEV)'!$F$34</c:f>
              <c:strCache>
                <c:ptCount val="1"/>
                <c:pt idx="0">
                  <c:v>NCA (millions)</c:v>
                </c:pt>
              </c:strCache>
            </c:strRef>
          </c:tx>
          <c:spPr>
            <a:solidFill>
              <a:schemeClr val="accent4"/>
            </a:solidFill>
            <a:ln>
              <a:noFill/>
            </a:ln>
            <a:effectLst/>
          </c:spPr>
          <c:invertIfNegative val="0"/>
          <c:cat>
            <c:strRef>
              <c:f>'9. Calculations - Mass (BEV)'!$A$50:$A$51</c:f>
              <c:strCache>
                <c:ptCount val="2"/>
                <c:pt idx="0">
                  <c:v>Maximum Availability</c:v>
                </c:pt>
                <c:pt idx="1">
                  <c:v>Baseline Imports</c:v>
                </c:pt>
              </c:strCache>
            </c:strRef>
          </c:cat>
          <c:val>
            <c:numRef>
              <c:f>'9. Calculations - Mass (BEV)'!$F$50:$F$51</c:f>
              <c:numCache>
                <c:formatCode>_(* #,##0.00_);_(* \(#,##0.00\);_(* "-"??_);_(@_)</c:formatCode>
                <c:ptCount val="2"/>
                <c:pt idx="0">
                  <c:v>6.5390167120921587</c:v>
                </c:pt>
                <c:pt idx="1">
                  <c:v>7.9207606851374623E-2</c:v>
                </c:pt>
              </c:numCache>
            </c:numRef>
          </c:val>
          <c:extLst>
            <c:ext xmlns:c16="http://schemas.microsoft.com/office/drawing/2014/chart" uri="{C3380CC4-5D6E-409C-BE32-E72D297353CC}">
              <c16:uniqueId val="{00000001-659D-E946-B866-B255BB7854B4}"/>
            </c:ext>
          </c:extLst>
        </c:ser>
        <c:ser>
          <c:idx val="4"/>
          <c:order val="4"/>
          <c:tx>
            <c:strRef>
              <c:f>'9. Calculations - Mass (BEV)'!$G$34</c:f>
              <c:strCache>
                <c:ptCount val="1"/>
                <c:pt idx="0">
                  <c:v>NMC (millions)</c:v>
                </c:pt>
              </c:strCache>
            </c:strRef>
          </c:tx>
          <c:spPr>
            <a:solidFill>
              <a:schemeClr val="accent5"/>
            </a:solidFill>
            <a:ln>
              <a:noFill/>
            </a:ln>
            <a:effectLst/>
          </c:spPr>
          <c:invertIfNegative val="0"/>
          <c:cat>
            <c:strRef>
              <c:f>'9. Calculations - Mass (BEV)'!$A$50:$A$51</c:f>
              <c:strCache>
                <c:ptCount val="2"/>
                <c:pt idx="0">
                  <c:v>Maximum Availability</c:v>
                </c:pt>
                <c:pt idx="1">
                  <c:v>Baseline Imports</c:v>
                </c:pt>
              </c:strCache>
            </c:strRef>
          </c:cat>
          <c:val>
            <c:numRef>
              <c:f>'9. Calculations - Mass (BEV)'!$G$50:$G$51</c:f>
              <c:numCache>
                <c:formatCode>_(* #,##0.00_);_(* \(#,##0.00\);_(* "-"??_);_(@_)</c:formatCode>
                <c:ptCount val="2"/>
                <c:pt idx="0">
                  <c:v>5.8217273073323224</c:v>
                </c:pt>
                <c:pt idx="1">
                  <c:v>7.0519025727884016E-2</c:v>
                </c:pt>
              </c:numCache>
            </c:numRef>
          </c:val>
          <c:extLst>
            <c:ext xmlns:c16="http://schemas.microsoft.com/office/drawing/2014/chart" uri="{C3380CC4-5D6E-409C-BE32-E72D297353CC}">
              <c16:uniqueId val="{00000002-659D-E946-B866-B255BB7854B4}"/>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'9. Calculations - Mass (BEV)'!$C$34</c:f>
              <c:strCache>
                <c:ptCount val="1"/>
                <c:pt idx="0">
                  <c:v>Low Prediction (millions)</c:v>
                </c:pt>
              </c:strCache>
            </c:strRef>
          </c:tx>
          <c:spPr>
            <a:ln w="28575" cap="rnd">
              <a:solidFill>
                <a:schemeClr val="accent1"/>
              </a:solidFill>
              <a:round/>
            </a:ln>
            <a:effectLst/>
          </c:spPr>
          <c:marker>
            <c:symbol val="none"/>
          </c:marker>
          <c:cat>
            <c:strRef>
              <c:f>'9. Calculations - Mass (BEV)'!$A$50:$A$51</c:f>
              <c:strCache>
                <c:ptCount val="2"/>
                <c:pt idx="0">
                  <c:v>Maximum Availability</c:v>
                </c:pt>
                <c:pt idx="1">
                  <c:v>Baseline Imports</c:v>
                </c:pt>
              </c:strCache>
            </c:strRef>
          </c:cat>
          <c:val>
            <c:numRef>
              <c:f>'9. Calculations - Mass (BEV)'!$C$50:$C$51</c:f>
              <c:numCache>
                <c:formatCode>0.00</c:formatCode>
                <c:ptCount val="2"/>
                <c:pt idx="0">
                  <c:v>1</c:v>
                </c:pt>
                <c:pt idx="1">
                  <c:v>1</c:v>
                </c:pt>
              </c:numCache>
            </c:numRef>
          </c:val>
          <c:smooth val="0"/>
          <c:extLst>
            <c:ext xmlns:c16="http://schemas.microsoft.com/office/drawing/2014/chart" uri="{C3380CC4-5D6E-409C-BE32-E72D297353CC}">
              <c16:uniqueId val="{00000003-659D-E946-B866-B255BB7854B4}"/>
            </c:ext>
          </c:extLst>
        </c:ser>
        <c:ser>
          <c:idx val="1"/>
          <c:order val="1"/>
          <c:tx>
            <c:strRef>
              <c:f>'9. Calculations - Mass (BEV)'!$D$34</c:f>
              <c:strCache>
                <c:ptCount val="1"/>
                <c:pt idx="0">
                  <c:v>High Prediction (millions)</c:v>
                </c:pt>
              </c:strCache>
            </c:strRef>
          </c:tx>
          <c:spPr>
            <a:ln w="28575" cap="rnd">
              <a:solidFill>
                <a:schemeClr val="accent2"/>
              </a:solidFill>
              <a:round/>
            </a:ln>
            <a:effectLst/>
          </c:spPr>
          <c:marker>
            <c:symbol val="none"/>
          </c:marker>
          <c:cat>
            <c:strRef>
              <c:f>'9. Calculations - Mass (BEV)'!$A$50:$A$51</c:f>
              <c:strCache>
                <c:ptCount val="2"/>
                <c:pt idx="0">
                  <c:v>Maximum Availability</c:v>
                </c:pt>
                <c:pt idx="1">
                  <c:v>Baseline Imports</c:v>
                </c:pt>
              </c:strCache>
            </c:strRef>
          </c:cat>
          <c:val>
            <c:numRef>
              <c:f>'9. Calculations - Mass (BEV)'!$D$50:$D$51</c:f>
              <c:numCache>
                <c:formatCode>0.00</c:formatCode>
                <c:ptCount val="2"/>
                <c:pt idx="0">
                  <c:v>2</c:v>
                </c:pt>
                <c:pt idx="1">
                  <c:v>2</c:v>
                </c:pt>
              </c:numCache>
            </c:numRef>
          </c:val>
          <c:smooth val="0"/>
          <c:extLst>
            <c:ext xmlns:c16="http://schemas.microsoft.com/office/drawing/2014/chart" uri="{C3380CC4-5D6E-409C-BE32-E72D297353CC}">
              <c16:uniqueId val="{00000004-659D-E946-B866-B255BB7854B4}"/>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'9. Calculations - Mass (BEV)'!$E$34</c:f>
              <c:strCache>
                <c:ptCount val="1"/>
                <c:pt idx="0">
                  <c:v>LFP (millions)</c:v>
                </c:pt>
              </c:strCache>
            </c:strRef>
          </c:tx>
          <c:spPr>
            <a:solidFill>
              <a:schemeClr val="accent3"/>
            </a:solidFill>
            <a:ln>
              <a:noFill/>
            </a:ln>
            <a:effectLst/>
          </c:spPr>
          <c:invertIfNegative val="0"/>
          <c:cat>
            <c:strRef>
              <c:f>'9. Calculations - Mass (BEV)'!$A$55:$A$56</c:f>
              <c:strCache>
                <c:ptCount val="2"/>
                <c:pt idx="0">
                  <c:v>Maximum Availability</c:v>
                </c:pt>
                <c:pt idx="1">
                  <c:v>Baseline Imports</c:v>
                </c:pt>
              </c:strCache>
            </c:strRef>
          </c:cat>
          <c:val>
            <c:numRef>
              <c:f>'9. Calculations - Mass (BEV)'!$E$55:$E$56</c:f>
              <c:numCache>
                <c:formatCode>General</c:formatCode>
                <c:ptCount val="2"/>
                <c:pt idx="0">
                  <c:v>0</c:v>
                </c:pt>
                <c:pt idx="1">
                  <c:v>0</c:v>
                </c:pt>
              </c:numCache>
            </c:numRef>
          </c:val>
          <c:extLst>
            <c:ext xmlns:c16="http://schemas.microsoft.com/office/drawing/2014/chart" uri="{C3380CC4-5D6E-409C-BE32-E72D297353CC}">
              <c16:uniqueId val="{00000000-6A57-E741-B379-2FF38EF79C86}"/>
            </c:ext>
          </c:extLst>
        </c:ser>
        <c:ser>
          <c:idx val="3"/>
          <c:order val="3"/>
          <c:tx>
            <c:strRef>
              <c:f>'9. Calculations - Mass (BEV)'!$F$34</c:f>
              <c:strCache>
                <c:ptCount val="1"/>
                <c:pt idx="0">
                  <c:v>NCA (millions)</c:v>
                </c:pt>
              </c:strCache>
            </c:strRef>
          </c:tx>
          <c:spPr>
            <a:solidFill>
              <a:schemeClr val="accent4"/>
            </a:solidFill>
            <a:ln>
              <a:noFill/>
            </a:ln>
            <a:effectLst/>
          </c:spPr>
          <c:invertIfNegative val="0"/>
          <c:cat>
            <c:strRef>
              <c:f>'9. Calculations - Mass (BEV)'!$A$55:$A$56</c:f>
              <c:strCache>
                <c:ptCount val="2"/>
                <c:pt idx="0">
                  <c:v>Maximum Availability</c:v>
                </c:pt>
                <c:pt idx="1">
                  <c:v>Baseline Imports</c:v>
                </c:pt>
              </c:strCache>
            </c:strRef>
          </c:cat>
          <c:val>
            <c:numRef>
              <c:f>'9. Calculations - Mass (BEV)'!$F$55:$F$56</c:f>
              <c:numCache>
                <c:formatCode>General</c:formatCode>
                <c:ptCount val="2"/>
                <c:pt idx="0">
                  <c:v>0</c:v>
                </c:pt>
                <c:pt idx="1">
                  <c:v>0</c:v>
                </c:pt>
              </c:numCache>
            </c:numRef>
          </c:val>
          <c:extLst>
            <c:ext xmlns:c16="http://schemas.microsoft.com/office/drawing/2014/chart" uri="{C3380CC4-5D6E-409C-BE32-E72D297353CC}">
              <c16:uniqueId val="{00000001-6A57-E741-B379-2FF38EF79C86}"/>
            </c:ext>
          </c:extLst>
        </c:ser>
        <c:ser>
          <c:idx val="4"/>
          <c:order val="4"/>
          <c:tx>
            <c:strRef>
              <c:f>'9. Calculations - Mass (BEV)'!$G$34</c:f>
              <c:strCache>
                <c:ptCount val="1"/>
                <c:pt idx="0">
                  <c:v>NMC (millions)</c:v>
                </c:pt>
              </c:strCache>
            </c:strRef>
          </c:tx>
          <c:spPr>
            <a:solidFill>
              <a:schemeClr val="accent5"/>
            </a:solidFill>
            <a:ln>
              <a:noFill/>
            </a:ln>
            <a:effectLst/>
          </c:spPr>
          <c:invertIfNegative val="0"/>
          <c:cat>
            <c:strRef>
              <c:f>'9. Calculations - Mass (BEV)'!$A$55:$A$56</c:f>
              <c:strCache>
                <c:ptCount val="2"/>
                <c:pt idx="0">
                  <c:v>Maximum Availability</c:v>
                </c:pt>
                <c:pt idx="1">
                  <c:v>Baseline Imports</c:v>
                </c:pt>
              </c:strCache>
            </c:strRef>
          </c:cat>
          <c:val>
            <c:numRef>
              <c:f>'9. Calculations - Mass (BEV)'!$G$55:$G$56</c:f>
              <c:numCache>
                <c:formatCode>_(* #,##0.00_);_(* \(#,##0.00\);_(* "-"??_);_(@_)</c:formatCode>
                <c:ptCount val="2"/>
                <c:pt idx="0">
                  <c:v>22.605192323730023</c:v>
                </c:pt>
                <c:pt idx="1">
                  <c:v>0.77159871001127212</c:v>
                </c:pt>
              </c:numCache>
            </c:numRef>
          </c:val>
          <c:extLst>
            <c:ext xmlns:c16="http://schemas.microsoft.com/office/drawing/2014/chart" uri="{C3380CC4-5D6E-409C-BE32-E72D297353CC}">
              <c16:uniqueId val="{00000002-6A57-E741-B379-2FF38EF79C86}"/>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'9. Calculations - Mass (BEV)'!$C$34</c:f>
              <c:strCache>
                <c:ptCount val="1"/>
                <c:pt idx="0">
                  <c:v>Low Prediction (millions)</c:v>
                </c:pt>
              </c:strCache>
            </c:strRef>
          </c:tx>
          <c:spPr>
            <a:ln w="28575" cap="rnd">
              <a:solidFill>
                <a:schemeClr val="accent1"/>
              </a:solidFill>
              <a:round/>
            </a:ln>
            <a:effectLst/>
          </c:spPr>
          <c:marker>
            <c:symbol val="none"/>
          </c:marker>
          <c:cat>
            <c:strRef>
              <c:f>'9. Calculations - Mass (BEV)'!$A$55:$A$56</c:f>
              <c:strCache>
                <c:ptCount val="2"/>
                <c:pt idx="0">
                  <c:v>Maximum Availability</c:v>
                </c:pt>
                <c:pt idx="1">
                  <c:v>Baseline Imports</c:v>
                </c:pt>
              </c:strCache>
            </c:strRef>
          </c:cat>
          <c:val>
            <c:numRef>
              <c:f>'9. Calculations - Mass (BEV)'!$C$55:$C$56</c:f>
              <c:numCache>
                <c:formatCode>0.00</c:formatCode>
                <c:ptCount val="2"/>
                <c:pt idx="0">
                  <c:v>1</c:v>
                </c:pt>
                <c:pt idx="1">
                  <c:v>1</c:v>
                </c:pt>
              </c:numCache>
            </c:numRef>
          </c:val>
          <c:smooth val="0"/>
          <c:extLst>
            <c:ext xmlns:c16="http://schemas.microsoft.com/office/drawing/2014/chart" uri="{C3380CC4-5D6E-409C-BE32-E72D297353CC}">
              <c16:uniqueId val="{00000003-6A57-E741-B379-2FF38EF79C86}"/>
            </c:ext>
          </c:extLst>
        </c:ser>
        <c:ser>
          <c:idx val="1"/>
          <c:order val="1"/>
          <c:tx>
            <c:strRef>
              <c:f>'9. Calculations - Mass (BEV)'!$D$34</c:f>
              <c:strCache>
                <c:ptCount val="1"/>
                <c:pt idx="0">
                  <c:v>High Prediction (millions)</c:v>
                </c:pt>
              </c:strCache>
            </c:strRef>
          </c:tx>
          <c:spPr>
            <a:ln w="28575" cap="rnd">
              <a:solidFill>
                <a:schemeClr val="accent2"/>
              </a:solidFill>
              <a:round/>
            </a:ln>
            <a:effectLst/>
          </c:spPr>
          <c:marker>
            <c:symbol val="none"/>
          </c:marker>
          <c:cat>
            <c:strRef>
              <c:f>'9. Calculations - Mass (BEV)'!$A$55:$A$56</c:f>
              <c:strCache>
                <c:ptCount val="2"/>
                <c:pt idx="0">
                  <c:v>Maximum Availability</c:v>
                </c:pt>
                <c:pt idx="1">
                  <c:v>Baseline Imports</c:v>
                </c:pt>
              </c:strCache>
            </c:strRef>
          </c:cat>
          <c:val>
            <c:numRef>
              <c:f>'9. Calculations - Mass (BEV)'!$D$55:$D$56</c:f>
              <c:numCache>
                <c:formatCode>0.00</c:formatCode>
                <c:ptCount val="2"/>
                <c:pt idx="0">
                  <c:v>2</c:v>
                </c:pt>
                <c:pt idx="1">
                  <c:v>2</c:v>
                </c:pt>
              </c:numCache>
            </c:numRef>
          </c:val>
          <c:smooth val="0"/>
          <c:extLst>
            <c:ext xmlns:c16="http://schemas.microsoft.com/office/drawing/2014/chart" uri="{C3380CC4-5D6E-409C-BE32-E72D297353CC}">
              <c16:uniqueId val="{00000004-6A57-E741-B379-2FF38EF79C86}"/>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'9. Calculations - Mass (BEV)'!$E$34</c:f>
              <c:strCache>
                <c:ptCount val="1"/>
                <c:pt idx="0">
                  <c:v>LFP (millions)</c:v>
                </c:pt>
              </c:strCache>
            </c:strRef>
          </c:tx>
          <c:spPr>
            <a:solidFill>
              <a:schemeClr val="accent3"/>
            </a:solidFill>
            <a:ln>
              <a:noFill/>
            </a:ln>
            <a:effectLst/>
          </c:spPr>
          <c:invertIfNegative val="0"/>
          <c:cat>
            <c:strRef>
              <c:f>'9. Calculations - Mass (BEV)'!$A$60:$A$61</c:f>
              <c:strCache>
                <c:ptCount val="2"/>
                <c:pt idx="0">
                  <c:v>Maximum Availability</c:v>
                </c:pt>
                <c:pt idx="1">
                  <c:v>Baseline Imports</c:v>
                </c:pt>
              </c:strCache>
            </c:strRef>
          </c:cat>
          <c:val>
            <c:numRef>
              <c:f>'9. Calculations - Mass (BEV)'!$E$60:$E$61</c:f>
              <c:numCache>
                <c:formatCode>General</c:formatCode>
                <c:ptCount val="2"/>
                <c:pt idx="0">
                  <c:v>0</c:v>
                </c:pt>
                <c:pt idx="1">
                  <c:v>0</c:v>
                </c:pt>
              </c:numCache>
            </c:numRef>
          </c:val>
          <c:extLst>
            <c:ext xmlns:c16="http://schemas.microsoft.com/office/drawing/2014/chart" uri="{C3380CC4-5D6E-409C-BE32-E72D297353CC}">
              <c16:uniqueId val="{00000000-557B-EB4B-A638-954C5E35C319}"/>
            </c:ext>
          </c:extLst>
        </c:ser>
        <c:ser>
          <c:idx val="3"/>
          <c:order val="3"/>
          <c:tx>
            <c:strRef>
              <c:f>'9. Calculations - Mass (BEV)'!$F$34</c:f>
              <c:strCache>
                <c:ptCount val="1"/>
                <c:pt idx="0">
                  <c:v>NCA (millions)</c:v>
                </c:pt>
              </c:strCache>
            </c:strRef>
          </c:tx>
          <c:spPr>
            <a:solidFill>
              <a:schemeClr val="accent4"/>
            </a:solidFill>
            <a:ln>
              <a:noFill/>
            </a:ln>
            <a:effectLst/>
          </c:spPr>
          <c:invertIfNegative val="0"/>
          <c:cat>
            <c:strRef>
              <c:f>'9. Calculations - Mass (BEV)'!$A$60:$A$61</c:f>
              <c:strCache>
                <c:ptCount val="2"/>
                <c:pt idx="0">
                  <c:v>Maximum Availability</c:v>
                </c:pt>
                <c:pt idx="1">
                  <c:v>Baseline Imports</c:v>
                </c:pt>
              </c:strCache>
            </c:strRef>
          </c:cat>
          <c:val>
            <c:numRef>
              <c:f>'9. Calculations - Mass (BEV)'!$F$60:$F$61</c:f>
              <c:numCache>
                <c:formatCode>_(* #,##0.00_);_(* \(#,##0.00\);_(* "-"??_);_(@_)</c:formatCode>
                <c:ptCount val="2"/>
                <c:pt idx="0">
                  <c:v>2.6907899882769408</c:v>
                </c:pt>
                <c:pt idx="1">
                  <c:v>1.1251611732380056</c:v>
                </c:pt>
              </c:numCache>
            </c:numRef>
          </c:val>
          <c:extLst>
            <c:ext xmlns:c16="http://schemas.microsoft.com/office/drawing/2014/chart" uri="{C3380CC4-5D6E-409C-BE32-E72D297353CC}">
              <c16:uniqueId val="{00000001-557B-EB4B-A638-954C5E35C319}"/>
            </c:ext>
          </c:extLst>
        </c:ser>
        <c:ser>
          <c:idx val="4"/>
          <c:order val="4"/>
          <c:tx>
            <c:strRef>
              <c:f>'9. Calculations - Mass (BEV)'!$G$34</c:f>
              <c:strCache>
                <c:ptCount val="1"/>
                <c:pt idx="0">
                  <c:v>NMC (millions)</c:v>
                </c:pt>
              </c:strCache>
            </c:strRef>
          </c:tx>
          <c:spPr>
            <a:solidFill>
              <a:schemeClr val="accent5"/>
            </a:solidFill>
            <a:ln>
              <a:noFill/>
            </a:ln>
            <a:effectLst/>
          </c:spPr>
          <c:invertIfNegative val="0"/>
          <c:cat>
            <c:strRef>
              <c:f>'9. Calculations - Mass (BEV)'!$A$60:$A$61</c:f>
              <c:strCache>
                <c:ptCount val="2"/>
                <c:pt idx="0">
                  <c:v>Maximum Availability</c:v>
                </c:pt>
                <c:pt idx="1">
                  <c:v>Baseline Imports</c:v>
                </c:pt>
              </c:strCache>
            </c:strRef>
          </c:cat>
          <c:val>
            <c:numRef>
              <c:f>'9. Calculations - Mass (BEV)'!$G$60:$G$61</c:f>
              <c:numCache>
                <c:formatCode>_(* #,##0.00_);_(* \(#,##0.00\);_(* "-"??_);_(@_)</c:formatCode>
                <c:ptCount val="2"/>
                <c:pt idx="0">
                  <c:v>3.5425250112674598</c:v>
                </c:pt>
                <c:pt idx="1">
                  <c:v>1.4813164963702983</c:v>
                </c:pt>
              </c:numCache>
            </c:numRef>
          </c:val>
          <c:extLst>
            <c:ext xmlns:c16="http://schemas.microsoft.com/office/drawing/2014/chart" uri="{C3380CC4-5D6E-409C-BE32-E72D297353CC}">
              <c16:uniqueId val="{00000002-557B-EB4B-A638-954C5E35C319}"/>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'9. Calculations - Mass (BEV)'!$C$34</c:f>
              <c:strCache>
                <c:ptCount val="1"/>
                <c:pt idx="0">
                  <c:v>Low Prediction (millions)</c:v>
                </c:pt>
              </c:strCache>
            </c:strRef>
          </c:tx>
          <c:spPr>
            <a:ln w="28575" cap="rnd">
              <a:solidFill>
                <a:schemeClr val="accent1"/>
              </a:solidFill>
              <a:round/>
            </a:ln>
            <a:effectLst/>
          </c:spPr>
          <c:marker>
            <c:symbol val="none"/>
          </c:marker>
          <c:cat>
            <c:strRef>
              <c:f>'9. Calculations - Mass (BEV)'!$A$60:$A$61</c:f>
              <c:strCache>
                <c:ptCount val="2"/>
                <c:pt idx="0">
                  <c:v>Maximum Availability</c:v>
                </c:pt>
                <c:pt idx="1">
                  <c:v>Baseline Imports</c:v>
                </c:pt>
              </c:strCache>
            </c:strRef>
          </c:cat>
          <c:val>
            <c:numRef>
              <c:f>'9. Calculations - Mass (BEV)'!$C$60:$C$61</c:f>
              <c:numCache>
                <c:formatCode>0.00</c:formatCode>
                <c:ptCount val="2"/>
                <c:pt idx="0">
                  <c:v>1</c:v>
                </c:pt>
                <c:pt idx="1">
                  <c:v>1</c:v>
                </c:pt>
              </c:numCache>
            </c:numRef>
          </c:val>
          <c:smooth val="0"/>
          <c:extLst>
            <c:ext xmlns:c16="http://schemas.microsoft.com/office/drawing/2014/chart" uri="{C3380CC4-5D6E-409C-BE32-E72D297353CC}">
              <c16:uniqueId val="{00000003-557B-EB4B-A638-954C5E35C319}"/>
            </c:ext>
          </c:extLst>
        </c:ser>
        <c:ser>
          <c:idx val="1"/>
          <c:order val="1"/>
          <c:tx>
            <c:strRef>
              <c:f>'9. Calculations - Mass (BEV)'!$D$34</c:f>
              <c:strCache>
                <c:ptCount val="1"/>
                <c:pt idx="0">
                  <c:v>High Prediction (millions)</c:v>
                </c:pt>
              </c:strCache>
            </c:strRef>
          </c:tx>
          <c:spPr>
            <a:ln w="28575" cap="rnd">
              <a:solidFill>
                <a:schemeClr val="accent2"/>
              </a:solidFill>
              <a:round/>
            </a:ln>
            <a:effectLst/>
          </c:spPr>
          <c:marker>
            <c:symbol val="none"/>
          </c:marker>
          <c:cat>
            <c:strRef>
              <c:f>'9. Calculations - Mass (BEV)'!$A$60:$A$61</c:f>
              <c:strCache>
                <c:ptCount val="2"/>
                <c:pt idx="0">
                  <c:v>Maximum Availability</c:v>
                </c:pt>
                <c:pt idx="1">
                  <c:v>Baseline Imports</c:v>
                </c:pt>
              </c:strCache>
            </c:strRef>
          </c:cat>
          <c:val>
            <c:numRef>
              <c:f>'9. Calculations - Mass (BEV)'!$D$60:$D$61</c:f>
              <c:numCache>
                <c:formatCode>0.00</c:formatCode>
                <c:ptCount val="2"/>
                <c:pt idx="0">
                  <c:v>2</c:v>
                </c:pt>
                <c:pt idx="1">
                  <c:v>2</c:v>
                </c:pt>
              </c:numCache>
            </c:numRef>
          </c:val>
          <c:smooth val="0"/>
          <c:extLst>
            <c:ext xmlns:c16="http://schemas.microsoft.com/office/drawing/2014/chart" uri="{C3380CC4-5D6E-409C-BE32-E72D297353CC}">
              <c16:uniqueId val="{00000004-557B-EB4B-A638-954C5E35C319}"/>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'10. Calculations - Mass (PHEV)'!$E$34</c:f>
              <c:strCache>
                <c:ptCount val="1"/>
                <c:pt idx="0">
                  <c:v>LFP (millions)</c:v>
                </c:pt>
              </c:strCache>
            </c:strRef>
          </c:tx>
          <c:spPr>
            <a:solidFill>
              <a:schemeClr val="accent3"/>
            </a:solidFill>
            <a:ln>
              <a:noFill/>
            </a:ln>
            <a:effectLst/>
          </c:spPr>
          <c:invertIfNegative val="0"/>
          <c:cat>
            <c:strRef>
              <c:f>'10. Calculations - Mass (PHEV)'!$A$35:$A$36</c:f>
              <c:strCache>
                <c:ptCount val="2"/>
                <c:pt idx="0">
                  <c:v>Maximum Availability</c:v>
                </c:pt>
                <c:pt idx="1">
                  <c:v>Baseline Imports</c:v>
                </c:pt>
              </c:strCache>
            </c:strRef>
          </c:cat>
          <c:val>
            <c:numRef>
              <c:f>'10. Calculations - Mass (PHEV)'!$E$35:$E$36</c:f>
              <c:numCache>
                <c:formatCode>_(* #,##0.00_);_(* \(#,##0.00\);_(* "-"??_);_(@_)</c:formatCode>
                <c:ptCount val="2"/>
                <c:pt idx="0">
                  <c:v>60.047477239853663</c:v>
                </c:pt>
                <c:pt idx="1">
                  <c:v>39.105901189483546</c:v>
                </c:pt>
              </c:numCache>
            </c:numRef>
          </c:val>
          <c:extLst>
            <c:ext xmlns:c16="http://schemas.microsoft.com/office/drawing/2014/chart" uri="{C3380CC4-5D6E-409C-BE32-E72D297353CC}">
              <c16:uniqueId val="{00000000-B5E1-6A41-B29E-B203195BFF22}"/>
            </c:ext>
          </c:extLst>
        </c:ser>
        <c:ser>
          <c:idx val="3"/>
          <c:order val="3"/>
          <c:tx>
            <c:strRef>
              <c:f>'10. Calculations - Mass (PHEV)'!$F$34</c:f>
              <c:strCache>
                <c:ptCount val="1"/>
                <c:pt idx="0">
                  <c:v>LMO (millions)</c:v>
                </c:pt>
              </c:strCache>
            </c:strRef>
          </c:tx>
          <c:spPr>
            <a:solidFill>
              <a:schemeClr val="accent4"/>
            </a:solidFill>
            <a:ln>
              <a:noFill/>
            </a:ln>
            <a:effectLst/>
          </c:spPr>
          <c:invertIfNegative val="0"/>
          <c:cat>
            <c:strRef>
              <c:f>'10. Calculations - Mass (PHEV)'!$A$35:$A$36</c:f>
              <c:strCache>
                <c:ptCount val="2"/>
                <c:pt idx="0">
                  <c:v>Maximum Availability</c:v>
                </c:pt>
                <c:pt idx="1">
                  <c:v>Baseline Imports</c:v>
                </c:pt>
              </c:strCache>
            </c:strRef>
          </c:cat>
          <c:val>
            <c:numRef>
              <c:f>'10. Calculations - Mass (PHEV)'!$F$35:$F$36</c:f>
              <c:numCache>
                <c:formatCode>_(* #,##0.00_);_(* \(#,##0.00\);_(* "-"??_);_(@_)</c:formatCode>
                <c:ptCount val="2"/>
                <c:pt idx="0">
                  <c:v>60.047477239853663</c:v>
                </c:pt>
                <c:pt idx="1">
                  <c:v>39.105901189483546</c:v>
                </c:pt>
              </c:numCache>
            </c:numRef>
          </c:val>
          <c:extLst>
            <c:ext xmlns:c16="http://schemas.microsoft.com/office/drawing/2014/chart" uri="{C3380CC4-5D6E-409C-BE32-E72D297353CC}">
              <c16:uniqueId val="{00000001-B5E1-6A41-B29E-B203195BFF22}"/>
            </c:ext>
          </c:extLst>
        </c:ser>
        <c:ser>
          <c:idx val="4"/>
          <c:order val="4"/>
          <c:tx>
            <c:strRef>
              <c:f>'10. Calculations - Mass (PHEV)'!$G$34</c:f>
              <c:strCache>
                <c:ptCount val="1"/>
                <c:pt idx="0">
                  <c:v>NMC111 (millions)</c:v>
                </c:pt>
              </c:strCache>
            </c:strRef>
          </c:tx>
          <c:spPr>
            <a:solidFill>
              <a:schemeClr val="accent5"/>
            </a:solidFill>
            <a:ln>
              <a:noFill/>
            </a:ln>
            <a:effectLst/>
          </c:spPr>
          <c:invertIfNegative val="0"/>
          <c:cat>
            <c:strRef>
              <c:f>'10. Calculations - Mass (PHEV)'!$A$35:$A$36</c:f>
              <c:strCache>
                <c:ptCount val="2"/>
                <c:pt idx="0">
                  <c:v>Maximum Availability</c:v>
                </c:pt>
                <c:pt idx="1">
                  <c:v>Baseline Imports</c:v>
                </c:pt>
              </c:strCache>
            </c:strRef>
          </c:cat>
          <c:val>
            <c:numRef>
              <c:f>'10. Calculations - Mass (PHEV)'!$G$35:$G$36</c:f>
              <c:numCache>
                <c:formatCode>_(* #,##0.00_);_(* \(#,##0.00\);_(* "-"??_);_(@_)</c:formatCode>
                <c:ptCount val="2"/>
                <c:pt idx="0">
                  <c:v>67.855508336057525</c:v>
                </c:pt>
                <c:pt idx="1">
                  <c:v>44.190879053131553</c:v>
                </c:pt>
              </c:numCache>
            </c:numRef>
          </c:val>
          <c:extLst>
            <c:ext xmlns:c16="http://schemas.microsoft.com/office/drawing/2014/chart" uri="{C3380CC4-5D6E-409C-BE32-E72D297353CC}">
              <c16:uniqueId val="{00000002-B5E1-6A41-B29E-B203195BFF22}"/>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'10. Calculations - Mass (PHEV)'!$C$34</c:f>
              <c:strCache>
                <c:ptCount val="1"/>
                <c:pt idx="0">
                  <c:v>Low Prediction (millions)</c:v>
                </c:pt>
              </c:strCache>
            </c:strRef>
          </c:tx>
          <c:spPr>
            <a:ln w="28575" cap="rnd">
              <a:solidFill>
                <a:schemeClr val="accent1"/>
              </a:solidFill>
              <a:round/>
            </a:ln>
            <a:effectLst/>
          </c:spPr>
          <c:marker>
            <c:symbol val="none"/>
          </c:marker>
          <c:cat>
            <c:strRef>
              <c:f>'10. Calculations - Mass (PHEV)'!$A$35:$A$36</c:f>
              <c:strCache>
                <c:ptCount val="2"/>
                <c:pt idx="0">
                  <c:v>Maximum Availability</c:v>
                </c:pt>
                <c:pt idx="1">
                  <c:v>Baseline Imports</c:v>
                </c:pt>
              </c:strCache>
            </c:strRef>
          </c:cat>
          <c:val>
            <c:numRef>
              <c:f>'10. Calculations - Mass (PHEV)'!$C$35:$C$36</c:f>
              <c:numCache>
                <c:formatCode>0.00</c:formatCode>
                <c:ptCount val="2"/>
                <c:pt idx="0">
                  <c:v>0.5</c:v>
                </c:pt>
                <c:pt idx="1">
                  <c:v>0.5</c:v>
                </c:pt>
              </c:numCache>
            </c:numRef>
          </c:val>
          <c:smooth val="0"/>
          <c:extLst>
            <c:ext xmlns:c16="http://schemas.microsoft.com/office/drawing/2014/chart" uri="{C3380CC4-5D6E-409C-BE32-E72D297353CC}">
              <c16:uniqueId val="{00000003-B5E1-6A41-B29E-B203195BFF22}"/>
            </c:ext>
          </c:extLst>
        </c:ser>
        <c:ser>
          <c:idx val="1"/>
          <c:order val="1"/>
          <c:tx>
            <c:strRef>
              <c:f>'10. Calculations - Mass (PHEV)'!$D$34</c:f>
              <c:strCache>
                <c:ptCount val="1"/>
                <c:pt idx="0">
                  <c:v>High Prediction (millions)</c:v>
                </c:pt>
              </c:strCache>
            </c:strRef>
          </c:tx>
          <c:spPr>
            <a:ln w="28575" cap="rnd">
              <a:solidFill>
                <a:schemeClr val="accent2"/>
              </a:solidFill>
              <a:round/>
            </a:ln>
            <a:effectLst/>
          </c:spPr>
          <c:marker>
            <c:symbol val="none"/>
          </c:marker>
          <c:cat>
            <c:strRef>
              <c:f>'10. Calculations - Mass (PHEV)'!$A$35:$A$36</c:f>
              <c:strCache>
                <c:ptCount val="2"/>
                <c:pt idx="0">
                  <c:v>Maximum Availability</c:v>
                </c:pt>
                <c:pt idx="1">
                  <c:v>Baseline Imports</c:v>
                </c:pt>
              </c:strCache>
            </c:strRef>
          </c:cat>
          <c:val>
            <c:numRef>
              <c:f>'10. Calculations - Mass (PHEV)'!$D$35:$D$36</c:f>
              <c:numCache>
                <c:formatCode>0.00</c:formatCode>
                <c:ptCount val="2"/>
                <c:pt idx="0">
                  <c:v>1.5</c:v>
                </c:pt>
                <c:pt idx="1">
                  <c:v>1.5</c:v>
                </c:pt>
              </c:numCache>
            </c:numRef>
          </c:val>
          <c:smooth val="0"/>
          <c:extLst>
            <c:ext xmlns:c16="http://schemas.microsoft.com/office/drawing/2014/chart" uri="{C3380CC4-5D6E-409C-BE32-E72D297353CC}">
              <c16:uniqueId val="{00000004-B5E1-6A41-B29E-B203195BFF22}"/>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'10. Calculations - Mass (PHEV)'!$E$34</c:f>
              <c:strCache>
                <c:ptCount val="1"/>
                <c:pt idx="0">
                  <c:v>LFP (millions)</c:v>
                </c:pt>
              </c:strCache>
            </c:strRef>
          </c:tx>
          <c:spPr>
            <a:solidFill>
              <a:schemeClr val="accent3"/>
            </a:solidFill>
            <a:ln>
              <a:noFill/>
            </a:ln>
            <a:effectLst/>
          </c:spPr>
          <c:invertIfNegative val="0"/>
          <c:cat>
            <c:strRef>
              <c:f>'10. Calculations - Mass (PHEV)'!$A$40:$A$41</c:f>
              <c:strCache>
                <c:ptCount val="2"/>
                <c:pt idx="0">
                  <c:v>Maximum Availability</c:v>
                </c:pt>
                <c:pt idx="1">
                  <c:v>Baseline Imports</c:v>
                </c:pt>
              </c:strCache>
            </c:strRef>
          </c:cat>
          <c:val>
            <c:numRef>
              <c:f>'10. Calculations - Mass (PHEV)'!$E$40:$E$41</c:f>
              <c:numCache>
                <c:formatCode>General</c:formatCode>
                <c:ptCount val="2"/>
                <c:pt idx="0">
                  <c:v>0</c:v>
                </c:pt>
                <c:pt idx="1">
                  <c:v>0</c:v>
                </c:pt>
              </c:numCache>
            </c:numRef>
          </c:val>
          <c:extLst>
            <c:ext xmlns:c16="http://schemas.microsoft.com/office/drawing/2014/chart" uri="{C3380CC4-5D6E-409C-BE32-E72D297353CC}">
              <c16:uniqueId val="{00000000-F1FB-284D-89EF-8DFAF6A23A50}"/>
            </c:ext>
          </c:extLst>
        </c:ser>
        <c:ser>
          <c:idx val="3"/>
          <c:order val="3"/>
          <c:tx>
            <c:strRef>
              <c:f>'10. Calculations - Mass (PHEV)'!$F$34</c:f>
              <c:strCache>
                <c:ptCount val="1"/>
                <c:pt idx="0">
                  <c:v>LMO (millions)</c:v>
                </c:pt>
              </c:strCache>
            </c:strRef>
          </c:tx>
          <c:spPr>
            <a:solidFill>
              <a:schemeClr val="accent4"/>
            </a:solidFill>
            <a:ln>
              <a:noFill/>
            </a:ln>
            <a:effectLst/>
          </c:spPr>
          <c:invertIfNegative val="0"/>
          <c:cat>
            <c:strRef>
              <c:f>'10. Calculations - Mass (PHEV)'!$A$40:$A$41</c:f>
              <c:strCache>
                <c:ptCount val="2"/>
                <c:pt idx="0">
                  <c:v>Maximum Availability</c:v>
                </c:pt>
                <c:pt idx="1">
                  <c:v>Baseline Imports</c:v>
                </c:pt>
              </c:strCache>
            </c:strRef>
          </c:cat>
          <c:val>
            <c:numRef>
              <c:f>'10. Calculations - Mass (PHEV)'!$F$40:$F$41</c:f>
              <c:numCache>
                <c:formatCode>General</c:formatCode>
                <c:ptCount val="2"/>
                <c:pt idx="0">
                  <c:v>0</c:v>
                </c:pt>
                <c:pt idx="1">
                  <c:v>0</c:v>
                </c:pt>
              </c:numCache>
            </c:numRef>
          </c:val>
          <c:extLst>
            <c:ext xmlns:c16="http://schemas.microsoft.com/office/drawing/2014/chart" uri="{C3380CC4-5D6E-409C-BE32-E72D297353CC}">
              <c16:uniqueId val="{00000001-F1FB-284D-89EF-8DFAF6A23A50}"/>
            </c:ext>
          </c:extLst>
        </c:ser>
        <c:ser>
          <c:idx val="4"/>
          <c:order val="4"/>
          <c:tx>
            <c:strRef>
              <c:f>'10. Calculations - Mass (PHEV)'!$G$34</c:f>
              <c:strCache>
                <c:ptCount val="1"/>
                <c:pt idx="0">
                  <c:v>NMC111 (millions)</c:v>
                </c:pt>
              </c:strCache>
            </c:strRef>
          </c:tx>
          <c:spPr>
            <a:solidFill>
              <a:schemeClr val="accent5"/>
            </a:solidFill>
            <a:ln>
              <a:noFill/>
            </a:ln>
            <a:effectLst/>
          </c:spPr>
          <c:invertIfNegative val="0"/>
          <c:cat>
            <c:strRef>
              <c:f>'10. Calculations - Mass (PHEV)'!$A$40:$A$41</c:f>
              <c:strCache>
                <c:ptCount val="2"/>
                <c:pt idx="0">
                  <c:v>Maximum Availability</c:v>
                </c:pt>
                <c:pt idx="1">
                  <c:v>Baseline Imports</c:v>
                </c:pt>
              </c:strCache>
            </c:strRef>
          </c:cat>
          <c:val>
            <c:numRef>
              <c:f>'10. Calculations - Mass (PHEV)'!$G$40:$G$41</c:f>
              <c:numCache>
                <c:formatCode>_(* #,##0.00_);_(* \(#,##0.00\);_(* "-"??_);_(@_)</c:formatCode>
                <c:ptCount val="2"/>
                <c:pt idx="0">
                  <c:v>0.83016923440484425</c:v>
                </c:pt>
                <c:pt idx="1">
                  <c:v>0.3323373386614602</c:v>
                </c:pt>
              </c:numCache>
            </c:numRef>
          </c:val>
          <c:extLst>
            <c:ext xmlns:c16="http://schemas.microsoft.com/office/drawing/2014/chart" uri="{C3380CC4-5D6E-409C-BE32-E72D297353CC}">
              <c16:uniqueId val="{00000002-F1FB-284D-89EF-8DFAF6A23A50}"/>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'10. Calculations - Mass (PHEV)'!$C$34</c:f>
              <c:strCache>
                <c:ptCount val="1"/>
                <c:pt idx="0">
                  <c:v>Low Prediction (millions)</c:v>
                </c:pt>
              </c:strCache>
            </c:strRef>
          </c:tx>
          <c:spPr>
            <a:ln w="28575" cap="rnd">
              <a:solidFill>
                <a:schemeClr val="accent1"/>
              </a:solidFill>
              <a:round/>
            </a:ln>
            <a:effectLst/>
          </c:spPr>
          <c:marker>
            <c:symbol val="none"/>
          </c:marker>
          <c:cat>
            <c:strRef>
              <c:f>'10. Calculations - Mass (PHEV)'!$A$40:$A$41</c:f>
              <c:strCache>
                <c:ptCount val="2"/>
                <c:pt idx="0">
                  <c:v>Maximum Availability</c:v>
                </c:pt>
                <c:pt idx="1">
                  <c:v>Baseline Imports</c:v>
                </c:pt>
              </c:strCache>
            </c:strRef>
          </c:cat>
          <c:val>
            <c:numRef>
              <c:f>'10. Calculations - Mass (PHEV)'!$C$40:$C$41</c:f>
              <c:numCache>
                <c:formatCode>0.00</c:formatCode>
                <c:ptCount val="2"/>
                <c:pt idx="0">
                  <c:v>0.5</c:v>
                </c:pt>
                <c:pt idx="1">
                  <c:v>0.5</c:v>
                </c:pt>
              </c:numCache>
            </c:numRef>
          </c:val>
          <c:smooth val="0"/>
          <c:extLst>
            <c:ext xmlns:c16="http://schemas.microsoft.com/office/drawing/2014/chart" uri="{C3380CC4-5D6E-409C-BE32-E72D297353CC}">
              <c16:uniqueId val="{00000003-F1FB-284D-89EF-8DFAF6A23A50}"/>
            </c:ext>
          </c:extLst>
        </c:ser>
        <c:ser>
          <c:idx val="1"/>
          <c:order val="1"/>
          <c:tx>
            <c:strRef>
              <c:f>'10. Calculations - Mass (PHEV)'!$D$34</c:f>
              <c:strCache>
                <c:ptCount val="1"/>
                <c:pt idx="0">
                  <c:v>High Prediction (millions)</c:v>
                </c:pt>
              </c:strCache>
            </c:strRef>
          </c:tx>
          <c:spPr>
            <a:ln w="28575" cap="rnd">
              <a:solidFill>
                <a:schemeClr val="accent2"/>
              </a:solidFill>
              <a:round/>
            </a:ln>
            <a:effectLst/>
          </c:spPr>
          <c:marker>
            <c:symbol val="none"/>
          </c:marker>
          <c:cat>
            <c:strRef>
              <c:f>'10. Calculations - Mass (PHEV)'!$A$40:$A$41</c:f>
              <c:strCache>
                <c:ptCount val="2"/>
                <c:pt idx="0">
                  <c:v>Maximum Availability</c:v>
                </c:pt>
                <c:pt idx="1">
                  <c:v>Baseline Imports</c:v>
                </c:pt>
              </c:strCache>
            </c:strRef>
          </c:cat>
          <c:val>
            <c:numRef>
              <c:f>'10. Calculations - Mass (PHEV)'!$D$40:$D$41</c:f>
              <c:numCache>
                <c:formatCode>0.00</c:formatCode>
                <c:ptCount val="2"/>
                <c:pt idx="0">
                  <c:v>1.5</c:v>
                </c:pt>
                <c:pt idx="1">
                  <c:v>1.5</c:v>
                </c:pt>
              </c:numCache>
            </c:numRef>
          </c:val>
          <c:smooth val="0"/>
          <c:extLst>
            <c:ext xmlns:c16="http://schemas.microsoft.com/office/drawing/2014/chart" uri="{C3380CC4-5D6E-409C-BE32-E72D297353CC}">
              <c16:uniqueId val="{00000004-F1FB-284D-89EF-8DFAF6A23A50}"/>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'10. Calculations - Mass (PHEV)'!$E$34</c:f>
              <c:strCache>
                <c:ptCount val="1"/>
                <c:pt idx="0">
                  <c:v>LFP (millions)</c:v>
                </c:pt>
              </c:strCache>
            </c:strRef>
          </c:tx>
          <c:spPr>
            <a:solidFill>
              <a:schemeClr val="accent3"/>
            </a:solidFill>
            <a:ln>
              <a:noFill/>
            </a:ln>
            <a:effectLst/>
          </c:spPr>
          <c:invertIfNegative val="0"/>
          <c:cat>
            <c:strRef>
              <c:f>'10. Calculations - Mass (PHEV)'!$A$45:$A$46</c:f>
              <c:strCache>
                <c:ptCount val="2"/>
                <c:pt idx="0">
                  <c:v>Maximum Availability</c:v>
                </c:pt>
                <c:pt idx="1">
                  <c:v>Baseline Imports</c:v>
                </c:pt>
              </c:strCache>
            </c:strRef>
          </c:cat>
          <c:val>
            <c:numRef>
              <c:f>'10. Calculations - Mass (PHEV)'!$E$45:$E$46</c:f>
              <c:numCache>
                <c:formatCode>_(* #,##0.00_);_(* \(#,##0.00\);_(* "-"??_);_(@_)</c:formatCode>
                <c:ptCount val="2"/>
                <c:pt idx="0">
                  <c:v>1.7089132040375303</c:v>
                </c:pt>
                <c:pt idx="1">
                  <c:v>1.0090886198265723</c:v>
                </c:pt>
              </c:numCache>
            </c:numRef>
          </c:val>
          <c:extLst>
            <c:ext xmlns:c16="http://schemas.microsoft.com/office/drawing/2014/chart" uri="{C3380CC4-5D6E-409C-BE32-E72D297353CC}">
              <c16:uniqueId val="{00000000-DDC5-7D47-8AAE-ADDFCEB3702E}"/>
            </c:ext>
          </c:extLst>
        </c:ser>
        <c:ser>
          <c:idx val="3"/>
          <c:order val="3"/>
          <c:tx>
            <c:strRef>
              <c:f>'10. Calculations - Mass (PHEV)'!$F$34</c:f>
              <c:strCache>
                <c:ptCount val="1"/>
                <c:pt idx="0">
                  <c:v>LMO (millions)</c:v>
                </c:pt>
              </c:strCache>
            </c:strRef>
          </c:tx>
          <c:spPr>
            <a:solidFill>
              <a:schemeClr val="accent4"/>
            </a:solidFill>
            <a:ln>
              <a:noFill/>
            </a:ln>
            <a:effectLst/>
          </c:spPr>
          <c:invertIfNegative val="0"/>
          <c:cat>
            <c:strRef>
              <c:f>'10. Calculations - Mass (PHEV)'!$A$45:$A$46</c:f>
              <c:strCache>
                <c:ptCount val="2"/>
                <c:pt idx="0">
                  <c:v>Maximum Availability</c:v>
                </c:pt>
                <c:pt idx="1">
                  <c:v>Baseline Imports</c:v>
                </c:pt>
              </c:strCache>
            </c:strRef>
          </c:cat>
          <c:val>
            <c:numRef>
              <c:f>'10. Calculations - Mass (PHEV)'!$F$45:$F$46</c:f>
              <c:numCache>
                <c:formatCode>_(* #,##0.00_);_(* \(#,##0.00\);_(* "-"??_);_(@_)</c:formatCode>
                <c:ptCount val="2"/>
                <c:pt idx="0">
                  <c:v>2.1943357920618198</c:v>
                </c:pt>
                <c:pt idx="1">
                  <c:v>1.2957236626273274</c:v>
                </c:pt>
              </c:numCache>
            </c:numRef>
          </c:val>
          <c:extLst>
            <c:ext xmlns:c16="http://schemas.microsoft.com/office/drawing/2014/chart" uri="{C3380CC4-5D6E-409C-BE32-E72D297353CC}">
              <c16:uniqueId val="{00000001-DDC5-7D47-8AAE-ADDFCEB3702E}"/>
            </c:ext>
          </c:extLst>
        </c:ser>
        <c:ser>
          <c:idx val="4"/>
          <c:order val="4"/>
          <c:tx>
            <c:strRef>
              <c:f>'10. Calculations - Mass (PHEV)'!$G$34</c:f>
              <c:strCache>
                <c:ptCount val="1"/>
                <c:pt idx="0">
                  <c:v>NMC111 (millions)</c:v>
                </c:pt>
              </c:strCache>
            </c:strRef>
          </c:tx>
          <c:spPr>
            <a:solidFill>
              <a:schemeClr val="accent5"/>
            </a:solidFill>
            <a:ln>
              <a:noFill/>
            </a:ln>
            <a:effectLst/>
          </c:spPr>
          <c:invertIfNegative val="0"/>
          <c:cat>
            <c:strRef>
              <c:f>'10. Calculations - Mass (PHEV)'!$A$45:$A$46</c:f>
              <c:strCache>
                <c:ptCount val="2"/>
                <c:pt idx="0">
                  <c:v>Maximum Availability</c:v>
                </c:pt>
                <c:pt idx="1">
                  <c:v>Baseline Imports</c:v>
                </c:pt>
              </c:strCache>
            </c:strRef>
          </c:cat>
          <c:val>
            <c:numRef>
              <c:f>'10. Calculations - Mass (PHEV)'!$G$45:$G$46</c:f>
              <c:numCache>
                <c:formatCode>_(* #,##0.00_);_(* \(#,##0.00\);_(* "-"??_);_(@_)</c:formatCode>
                <c:ptCount val="2"/>
                <c:pt idx="0">
                  <c:v>1.9776488315700835</c:v>
                </c:pt>
                <c:pt idx="1">
                  <c:v>1.1677731351339375</c:v>
                </c:pt>
              </c:numCache>
            </c:numRef>
          </c:val>
          <c:extLst>
            <c:ext xmlns:c16="http://schemas.microsoft.com/office/drawing/2014/chart" uri="{C3380CC4-5D6E-409C-BE32-E72D297353CC}">
              <c16:uniqueId val="{00000002-DDC5-7D47-8AAE-ADDFCEB3702E}"/>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'10. Calculations - Mass (PHEV)'!$C$34</c:f>
              <c:strCache>
                <c:ptCount val="1"/>
                <c:pt idx="0">
                  <c:v>Low Prediction (millions)</c:v>
                </c:pt>
              </c:strCache>
            </c:strRef>
          </c:tx>
          <c:spPr>
            <a:ln w="28575" cap="rnd">
              <a:solidFill>
                <a:schemeClr val="accent1"/>
              </a:solidFill>
              <a:round/>
            </a:ln>
            <a:effectLst/>
          </c:spPr>
          <c:marker>
            <c:symbol val="none"/>
          </c:marker>
          <c:cat>
            <c:strRef>
              <c:f>'10. Calculations - Mass (PHEV)'!$A$45:$A$46</c:f>
              <c:strCache>
                <c:ptCount val="2"/>
                <c:pt idx="0">
                  <c:v>Maximum Availability</c:v>
                </c:pt>
                <c:pt idx="1">
                  <c:v>Baseline Imports</c:v>
                </c:pt>
              </c:strCache>
            </c:strRef>
          </c:cat>
          <c:val>
            <c:numRef>
              <c:f>'10. Calculations - Mass (PHEV)'!$C$45:$C$46</c:f>
              <c:numCache>
                <c:formatCode>0.00</c:formatCode>
                <c:ptCount val="2"/>
                <c:pt idx="0">
                  <c:v>0.5</c:v>
                </c:pt>
                <c:pt idx="1">
                  <c:v>0.5</c:v>
                </c:pt>
              </c:numCache>
            </c:numRef>
          </c:val>
          <c:smooth val="0"/>
          <c:extLst>
            <c:ext xmlns:c16="http://schemas.microsoft.com/office/drawing/2014/chart" uri="{C3380CC4-5D6E-409C-BE32-E72D297353CC}">
              <c16:uniqueId val="{00000003-DDC5-7D47-8AAE-ADDFCEB3702E}"/>
            </c:ext>
          </c:extLst>
        </c:ser>
        <c:ser>
          <c:idx val="1"/>
          <c:order val="1"/>
          <c:tx>
            <c:strRef>
              <c:f>'10. Calculations - Mass (PHEV)'!$D$34</c:f>
              <c:strCache>
                <c:ptCount val="1"/>
                <c:pt idx="0">
                  <c:v>High Prediction (millions)</c:v>
                </c:pt>
              </c:strCache>
            </c:strRef>
          </c:tx>
          <c:spPr>
            <a:ln w="28575" cap="rnd">
              <a:solidFill>
                <a:schemeClr val="accent2"/>
              </a:solidFill>
              <a:round/>
            </a:ln>
            <a:effectLst/>
          </c:spPr>
          <c:marker>
            <c:symbol val="none"/>
          </c:marker>
          <c:cat>
            <c:strRef>
              <c:f>'10. Calculations - Mass (PHEV)'!$A$45:$A$46</c:f>
              <c:strCache>
                <c:ptCount val="2"/>
                <c:pt idx="0">
                  <c:v>Maximum Availability</c:v>
                </c:pt>
                <c:pt idx="1">
                  <c:v>Baseline Imports</c:v>
                </c:pt>
              </c:strCache>
            </c:strRef>
          </c:cat>
          <c:val>
            <c:numRef>
              <c:f>'10. Calculations - Mass (PHEV)'!$D$45:$D$46</c:f>
              <c:numCache>
                <c:formatCode>0.00</c:formatCode>
                <c:ptCount val="2"/>
                <c:pt idx="0">
                  <c:v>1.5</c:v>
                </c:pt>
                <c:pt idx="1">
                  <c:v>1.5</c:v>
                </c:pt>
              </c:numCache>
            </c:numRef>
          </c:val>
          <c:smooth val="0"/>
          <c:extLst>
            <c:ext xmlns:c16="http://schemas.microsoft.com/office/drawing/2014/chart" uri="{C3380CC4-5D6E-409C-BE32-E72D297353CC}">
              <c16:uniqueId val="{00000004-DDC5-7D47-8AAE-ADDFCEB3702E}"/>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'10. Calculations - Mass (PHEV)'!$E$34</c:f>
              <c:strCache>
                <c:ptCount val="1"/>
                <c:pt idx="0">
                  <c:v>LFP (millions)</c:v>
                </c:pt>
              </c:strCache>
            </c:strRef>
          </c:tx>
          <c:spPr>
            <a:solidFill>
              <a:schemeClr val="accent3"/>
            </a:solidFill>
            <a:ln>
              <a:noFill/>
            </a:ln>
            <a:effectLst/>
          </c:spPr>
          <c:invertIfNegative val="0"/>
          <c:cat>
            <c:strRef>
              <c:f>'10. Calculations - Mass (PHEV)'!$A$50:$A$51</c:f>
              <c:strCache>
                <c:ptCount val="2"/>
                <c:pt idx="0">
                  <c:v>Maximum Availability</c:v>
                </c:pt>
                <c:pt idx="1">
                  <c:v>Baseline Imports</c:v>
                </c:pt>
              </c:strCache>
            </c:strRef>
          </c:cat>
          <c:val>
            <c:numRef>
              <c:f>'10. Calculations - Mass (PHEV)'!$E$50:$E$51</c:f>
              <c:numCache>
                <c:formatCode>_(* #,##0.00_);_(* \(#,##0.00\);_(* "-"??_);_(@_)</c:formatCode>
                <c:ptCount val="2"/>
                <c:pt idx="0">
                  <c:v>34.921746376989567</c:v>
                </c:pt>
                <c:pt idx="1">
                  <c:v>0.42300977033395631</c:v>
                </c:pt>
              </c:numCache>
            </c:numRef>
          </c:val>
          <c:extLst>
            <c:ext xmlns:c16="http://schemas.microsoft.com/office/drawing/2014/chart" uri="{C3380CC4-5D6E-409C-BE32-E72D297353CC}">
              <c16:uniqueId val="{00000000-3F09-E940-A1E0-81C2F249FEA6}"/>
            </c:ext>
          </c:extLst>
        </c:ser>
        <c:ser>
          <c:idx val="3"/>
          <c:order val="3"/>
          <c:tx>
            <c:strRef>
              <c:f>'10. Calculations - Mass (PHEV)'!$F$34</c:f>
              <c:strCache>
                <c:ptCount val="1"/>
                <c:pt idx="0">
                  <c:v>LMO (millions)</c:v>
                </c:pt>
              </c:strCache>
            </c:strRef>
          </c:tx>
          <c:spPr>
            <a:solidFill>
              <a:schemeClr val="accent4"/>
            </a:solidFill>
            <a:ln>
              <a:noFill/>
            </a:ln>
            <a:effectLst/>
          </c:spPr>
          <c:invertIfNegative val="0"/>
          <c:cat>
            <c:strRef>
              <c:f>'10. Calculations - Mass (PHEV)'!$A$50:$A$51</c:f>
              <c:strCache>
                <c:ptCount val="2"/>
                <c:pt idx="0">
                  <c:v>Maximum Availability</c:v>
                </c:pt>
                <c:pt idx="1">
                  <c:v>Baseline Imports</c:v>
                </c:pt>
              </c:strCache>
            </c:strRef>
          </c:cat>
          <c:val>
            <c:numRef>
              <c:f>'10. Calculations - Mass (PHEV)'!$F$50:$F$51</c:f>
              <c:numCache>
                <c:formatCode>_(* #,##0.00_);_(* \(#,##0.00\);_(* "-"??_);_(@_)</c:formatCode>
                <c:ptCount val="2"/>
                <c:pt idx="0">
                  <c:v>39.875389196849731</c:v>
                </c:pt>
                <c:pt idx="1">
                  <c:v>0.48301362263059339</c:v>
                </c:pt>
              </c:numCache>
            </c:numRef>
          </c:val>
          <c:extLst>
            <c:ext xmlns:c16="http://schemas.microsoft.com/office/drawing/2014/chart" uri="{C3380CC4-5D6E-409C-BE32-E72D297353CC}">
              <c16:uniqueId val="{00000001-3F09-E940-A1E0-81C2F249FEA6}"/>
            </c:ext>
          </c:extLst>
        </c:ser>
        <c:ser>
          <c:idx val="4"/>
          <c:order val="4"/>
          <c:tx>
            <c:strRef>
              <c:f>'10. Calculations - Mass (PHEV)'!$G$34</c:f>
              <c:strCache>
                <c:ptCount val="1"/>
                <c:pt idx="0">
                  <c:v>NMC111 (millions)</c:v>
                </c:pt>
              </c:strCache>
            </c:strRef>
          </c:tx>
          <c:spPr>
            <a:solidFill>
              <a:schemeClr val="accent5"/>
            </a:solidFill>
            <a:ln>
              <a:noFill/>
            </a:ln>
            <a:effectLst/>
          </c:spPr>
          <c:invertIfNegative val="0"/>
          <c:cat>
            <c:strRef>
              <c:f>'10. Calculations - Mass (PHEV)'!$A$50:$A$51</c:f>
              <c:strCache>
                <c:ptCount val="2"/>
                <c:pt idx="0">
                  <c:v>Maximum Availability</c:v>
                </c:pt>
                <c:pt idx="1">
                  <c:v>Baseline Imports</c:v>
                </c:pt>
              </c:strCache>
            </c:strRef>
          </c:cat>
          <c:val>
            <c:numRef>
              <c:f>'10. Calculations - Mass (PHEV)'!$G$50:$G$51</c:f>
              <c:numCache>
                <c:formatCode>_(* #,##0.00_);_(* \(#,##0.00\);_(* "-"??_);_(@_)</c:formatCode>
                <c:ptCount val="2"/>
                <c:pt idx="0">
                  <c:v>28.208794340002502</c:v>
                </c:pt>
                <c:pt idx="1">
                  <c:v>0.34169527166100783</c:v>
                </c:pt>
              </c:numCache>
            </c:numRef>
          </c:val>
          <c:extLst>
            <c:ext xmlns:c16="http://schemas.microsoft.com/office/drawing/2014/chart" uri="{C3380CC4-5D6E-409C-BE32-E72D297353CC}">
              <c16:uniqueId val="{00000002-3F09-E940-A1E0-81C2F249FEA6}"/>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'10. Calculations - Mass (PHEV)'!$C$34</c:f>
              <c:strCache>
                <c:ptCount val="1"/>
                <c:pt idx="0">
                  <c:v>Low Prediction (millions)</c:v>
                </c:pt>
              </c:strCache>
            </c:strRef>
          </c:tx>
          <c:spPr>
            <a:ln w="28575" cap="rnd">
              <a:solidFill>
                <a:schemeClr val="accent1"/>
              </a:solidFill>
              <a:round/>
            </a:ln>
            <a:effectLst/>
          </c:spPr>
          <c:marker>
            <c:symbol val="none"/>
          </c:marker>
          <c:cat>
            <c:strRef>
              <c:f>'10. Calculations - Mass (PHEV)'!$A$50:$A$51</c:f>
              <c:strCache>
                <c:ptCount val="2"/>
                <c:pt idx="0">
                  <c:v>Maximum Availability</c:v>
                </c:pt>
                <c:pt idx="1">
                  <c:v>Baseline Imports</c:v>
                </c:pt>
              </c:strCache>
            </c:strRef>
          </c:cat>
          <c:val>
            <c:numRef>
              <c:f>'10. Calculations - Mass (PHEV)'!$C$50:$C$51</c:f>
              <c:numCache>
                <c:formatCode>0.00</c:formatCode>
                <c:ptCount val="2"/>
                <c:pt idx="0">
                  <c:v>0.5</c:v>
                </c:pt>
                <c:pt idx="1">
                  <c:v>0.5</c:v>
                </c:pt>
              </c:numCache>
            </c:numRef>
          </c:val>
          <c:smooth val="0"/>
          <c:extLst>
            <c:ext xmlns:c16="http://schemas.microsoft.com/office/drawing/2014/chart" uri="{C3380CC4-5D6E-409C-BE32-E72D297353CC}">
              <c16:uniqueId val="{00000003-3F09-E940-A1E0-81C2F249FEA6}"/>
            </c:ext>
          </c:extLst>
        </c:ser>
        <c:ser>
          <c:idx val="1"/>
          <c:order val="1"/>
          <c:tx>
            <c:strRef>
              <c:f>'10. Calculations - Mass (PHEV)'!$D$34</c:f>
              <c:strCache>
                <c:ptCount val="1"/>
                <c:pt idx="0">
                  <c:v>High Prediction (millions)</c:v>
                </c:pt>
              </c:strCache>
            </c:strRef>
          </c:tx>
          <c:spPr>
            <a:ln w="28575" cap="rnd">
              <a:solidFill>
                <a:schemeClr val="accent2"/>
              </a:solidFill>
              <a:round/>
            </a:ln>
            <a:effectLst/>
          </c:spPr>
          <c:marker>
            <c:symbol val="none"/>
          </c:marker>
          <c:cat>
            <c:strRef>
              <c:f>'10. Calculations - Mass (PHEV)'!$A$50:$A$51</c:f>
              <c:strCache>
                <c:ptCount val="2"/>
                <c:pt idx="0">
                  <c:v>Maximum Availability</c:v>
                </c:pt>
                <c:pt idx="1">
                  <c:v>Baseline Imports</c:v>
                </c:pt>
              </c:strCache>
            </c:strRef>
          </c:cat>
          <c:val>
            <c:numRef>
              <c:f>'10. Calculations - Mass (PHEV)'!$D$50:$D$51</c:f>
              <c:numCache>
                <c:formatCode>0.00</c:formatCode>
                <c:ptCount val="2"/>
                <c:pt idx="0">
                  <c:v>1.5</c:v>
                </c:pt>
                <c:pt idx="1">
                  <c:v>1.5</c:v>
                </c:pt>
              </c:numCache>
            </c:numRef>
          </c:val>
          <c:smooth val="0"/>
          <c:extLst>
            <c:ext xmlns:c16="http://schemas.microsoft.com/office/drawing/2014/chart" uri="{C3380CC4-5D6E-409C-BE32-E72D297353CC}">
              <c16:uniqueId val="{00000004-3F09-E940-A1E0-81C2F249FEA6}"/>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'10. Calculations - Mass (PHEV)'!$E$34</c:f>
              <c:strCache>
                <c:ptCount val="1"/>
                <c:pt idx="0">
                  <c:v>LFP (millions)</c:v>
                </c:pt>
              </c:strCache>
            </c:strRef>
          </c:tx>
          <c:spPr>
            <a:solidFill>
              <a:schemeClr val="accent3"/>
            </a:solidFill>
            <a:ln>
              <a:noFill/>
            </a:ln>
            <a:effectLst/>
          </c:spPr>
          <c:invertIfNegative val="0"/>
          <c:cat>
            <c:strRef>
              <c:f>'10. Calculations - Mass (PHEV)'!$A$55:$A$56</c:f>
              <c:strCache>
                <c:ptCount val="2"/>
                <c:pt idx="0">
                  <c:v>Maximum Availability</c:v>
                </c:pt>
                <c:pt idx="1">
                  <c:v>Baseline Imports</c:v>
                </c:pt>
              </c:strCache>
            </c:strRef>
          </c:cat>
          <c:val>
            <c:numRef>
              <c:f>'10. Calculations - Mass (PHEV)'!$E$55:$E$56</c:f>
              <c:numCache>
                <c:formatCode>General</c:formatCode>
                <c:ptCount val="2"/>
                <c:pt idx="0">
                  <c:v>0</c:v>
                </c:pt>
                <c:pt idx="1">
                  <c:v>0</c:v>
                </c:pt>
              </c:numCache>
            </c:numRef>
          </c:val>
          <c:extLst>
            <c:ext xmlns:c16="http://schemas.microsoft.com/office/drawing/2014/chart" uri="{C3380CC4-5D6E-409C-BE32-E72D297353CC}">
              <c16:uniqueId val="{00000000-B6D5-A54B-A309-D68190562176}"/>
            </c:ext>
          </c:extLst>
        </c:ser>
        <c:ser>
          <c:idx val="3"/>
          <c:order val="3"/>
          <c:tx>
            <c:strRef>
              <c:f>'10. Calculations - Mass (PHEV)'!$F$34</c:f>
              <c:strCache>
                <c:ptCount val="1"/>
                <c:pt idx="0">
                  <c:v>LMO (millions)</c:v>
                </c:pt>
              </c:strCache>
            </c:strRef>
          </c:tx>
          <c:spPr>
            <a:solidFill>
              <a:schemeClr val="accent4"/>
            </a:solidFill>
            <a:ln>
              <a:noFill/>
            </a:ln>
            <a:effectLst/>
          </c:spPr>
          <c:invertIfNegative val="0"/>
          <c:cat>
            <c:strRef>
              <c:f>'10. Calculations - Mass (PHEV)'!$A$55:$A$56</c:f>
              <c:strCache>
                <c:ptCount val="2"/>
                <c:pt idx="0">
                  <c:v>Maximum Availability</c:v>
                </c:pt>
                <c:pt idx="1">
                  <c:v>Baseline Imports</c:v>
                </c:pt>
              </c:strCache>
            </c:strRef>
          </c:cat>
          <c:val>
            <c:numRef>
              <c:f>'10. Calculations - Mass (PHEV)'!$F$55:$F$56</c:f>
              <c:numCache>
                <c:formatCode>0.00</c:formatCode>
                <c:ptCount val="2"/>
                <c:pt idx="0">
                  <c:v>18.947424805173373</c:v>
                </c:pt>
                <c:pt idx="1">
                  <c:v>0.64674559403593601</c:v>
                </c:pt>
              </c:numCache>
            </c:numRef>
          </c:val>
          <c:extLst>
            <c:ext xmlns:c16="http://schemas.microsoft.com/office/drawing/2014/chart" uri="{C3380CC4-5D6E-409C-BE32-E72D297353CC}">
              <c16:uniqueId val="{00000001-B6D5-A54B-A309-D68190562176}"/>
            </c:ext>
          </c:extLst>
        </c:ser>
        <c:ser>
          <c:idx val="4"/>
          <c:order val="4"/>
          <c:tx>
            <c:strRef>
              <c:f>'10. Calculations - Mass (PHEV)'!$G$34</c:f>
              <c:strCache>
                <c:ptCount val="1"/>
                <c:pt idx="0">
                  <c:v>NMC111 (millions)</c:v>
                </c:pt>
              </c:strCache>
            </c:strRef>
          </c:tx>
          <c:spPr>
            <a:solidFill>
              <a:schemeClr val="accent5"/>
            </a:solidFill>
            <a:ln>
              <a:noFill/>
            </a:ln>
            <a:effectLst/>
          </c:spPr>
          <c:invertIfNegative val="0"/>
          <c:cat>
            <c:strRef>
              <c:f>'10. Calculations - Mass (PHEV)'!$A$55:$A$56</c:f>
              <c:strCache>
                <c:ptCount val="2"/>
                <c:pt idx="0">
                  <c:v>Maximum Availability</c:v>
                </c:pt>
                <c:pt idx="1">
                  <c:v>Baseline Imports</c:v>
                </c:pt>
              </c:strCache>
            </c:strRef>
          </c:cat>
          <c:val>
            <c:numRef>
              <c:f>'10. Calculations - Mass (PHEV)'!$G$55:$G$56</c:f>
              <c:numCache>
                <c:formatCode>_(* #,##0.00_);_(* \(#,##0.00\);_(* "-"??_);_(@_)</c:formatCode>
                <c:ptCount val="2"/>
                <c:pt idx="0">
                  <c:v>80.517645014856924</c:v>
                </c:pt>
                <c:pt idx="1">
                  <c:v>2.7483646295453275</c:v>
                </c:pt>
              </c:numCache>
            </c:numRef>
          </c:val>
          <c:extLst>
            <c:ext xmlns:c16="http://schemas.microsoft.com/office/drawing/2014/chart" uri="{C3380CC4-5D6E-409C-BE32-E72D297353CC}">
              <c16:uniqueId val="{00000002-B6D5-A54B-A309-D68190562176}"/>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'10. Calculations - Mass (PHEV)'!$C$34</c:f>
              <c:strCache>
                <c:ptCount val="1"/>
                <c:pt idx="0">
                  <c:v>Low Prediction (millions)</c:v>
                </c:pt>
              </c:strCache>
            </c:strRef>
          </c:tx>
          <c:spPr>
            <a:ln w="28575" cap="rnd">
              <a:solidFill>
                <a:schemeClr val="accent1"/>
              </a:solidFill>
              <a:round/>
            </a:ln>
            <a:effectLst/>
          </c:spPr>
          <c:marker>
            <c:symbol val="none"/>
          </c:marker>
          <c:cat>
            <c:strRef>
              <c:f>'10. Calculations - Mass (PHEV)'!$A$55:$A$56</c:f>
              <c:strCache>
                <c:ptCount val="2"/>
                <c:pt idx="0">
                  <c:v>Maximum Availability</c:v>
                </c:pt>
                <c:pt idx="1">
                  <c:v>Baseline Imports</c:v>
                </c:pt>
              </c:strCache>
            </c:strRef>
          </c:cat>
          <c:val>
            <c:numRef>
              <c:f>'10. Calculations - Mass (PHEV)'!$C$55:$C$56</c:f>
              <c:numCache>
                <c:formatCode>0.00</c:formatCode>
                <c:ptCount val="2"/>
                <c:pt idx="0">
                  <c:v>0.5</c:v>
                </c:pt>
                <c:pt idx="1">
                  <c:v>0.5</c:v>
                </c:pt>
              </c:numCache>
            </c:numRef>
          </c:val>
          <c:smooth val="0"/>
          <c:extLst>
            <c:ext xmlns:c16="http://schemas.microsoft.com/office/drawing/2014/chart" uri="{C3380CC4-5D6E-409C-BE32-E72D297353CC}">
              <c16:uniqueId val="{00000003-B6D5-A54B-A309-D68190562176}"/>
            </c:ext>
          </c:extLst>
        </c:ser>
        <c:ser>
          <c:idx val="1"/>
          <c:order val="1"/>
          <c:tx>
            <c:strRef>
              <c:f>'10. Calculations - Mass (PHEV)'!$D$34</c:f>
              <c:strCache>
                <c:ptCount val="1"/>
                <c:pt idx="0">
                  <c:v>High Prediction (millions)</c:v>
                </c:pt>
              </c:strCache>
            </c:strRef>
          </c:tx>
          <c:spPr>
            <a:ln w="28575" cap="rnd">
              <a:solidFill>
                <a:schemeClr val="accent2"/>
              </a:solidFill>
              <a:round/>
            </a:ln>
            <a:effectLst/>
          </c:spPr>
          <c:marker>
            <c:symbol val="none"/>
          </c:marker>
          <c:cat>
            <c:strRef>
              <c:f>'10. Calculations - Mass (PHEV)'!$A$55:$A$56</c:f>
              <c:strCache>
                <c:ptCount val="2"/>
                <c:pt idx="0">
                  <c:v>Maximum Availability</c:v>
                </c:pt>
                <c:pt idx="1">
                  <c:v>Baseline Imports</c:v>
                </c:pt>
              </c:strCache>
            </c:strRef>
          </c:cat>
          <c:val>
            <c:numRef>
              <c:f>'10. Calculations - Mass (PHEV)'!$D$55:$D$56</c:f>
              <c:numCache>
                <c:formatCode>0.00</c:formatCode>
                <c:ptCount val="2"/>
                <c:pt idx="0">
                  <c:v>1.5</c:v>
                </c:pt>
                <c:pt idx="1">
                  <c:v>1.5</c:v>
                </c:pt>
              </c:numCache>
            </c:numRef>
          </c:val>
          <c:smooth val="0"/>
          <c:extLst>
            <c:ext xmlns:c16="http://schemas.microsoft.com/office/drawing/2014/chart" uri="{C3380CC4-5D6E-409C-BE32-E72D297353CC}">
              <c16:uniqueId val="{00000004-B6D5-A54B-A309-D68190562176}"/>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'10. Calculations - Mass (PHEV)'!$E$34</c:f>
              <c:strCache>
                <c:ptCount val="1"/>
                <c:pt idx="0">
                  <c:v>LFP (millions)</c:v>
                </c:pt>
              </c:strCache>
            </c:strRef>
          </c:tx>
          <c:spPr>
            <a:solidFill>
              <a:schemeClr val="accent3"/>
            </a:solidFill>
            <a:ln>
              <a:noFill/>
            </a:ln>
            <a:effectLst/>
          </c:spPr>
          <c:invertIfNegative val="0"/>
          <c:cat>
            <c:strRef>
              <c:f>'10. Calculations - Mass (PHEV)'!$A$60:$A$61</c:f>
              <c:strCache>
                <c:ptCount val="2"/>
                <c:pt idx="0">
                  <c:v>Maximum Availability</c:v>
                </c:pt>
                <c:pt idx="1">
                  <c:v>Baseline Imports</c:v>
                </c:pt>
              </c:strCache>
            </c:strRef>
          </c:cat>
          <c:val>
            <c:numRef>
              <c:f>'10. Calculations - Mass (PHEV)'!$E$60:$E$61</c:f>
              <c:numCache>
                <c:formatCode>General</c:formatCode>
                <c:ptCount val="2"/>
                <c:pt idx="0">
                  <c:v>0</c:v>
                </c:pt>
                <c:pt idx="1">
                  <c:v>0</c:v>
                </c:pt>
              </c:numCache>
            </c:numRef>
          </c:val>
          <c:extLst>
            <c:ext xmlns:c16="http://schemas.microsoft.com/office/drawing/2014/chart" uri="{C3380CC4-5D6E-409C-BE32-E72D297353CC}">
              <c16:uniqueId val="{00000000-0EB7-C147-98F8-1D6A28D67362}"/>
            </c:ext>
          </c:extLst>
        </c:ser>
        <c:ser>
          <c:idx val="3"/>
          <c:order val="3"/>
          <c:tx>
            <c:strRef>
              <c:f>'10. Calculations - Mass (PHEV)'!$F$34</c:f>
              <c:strCache>
                <c:ptCount val="1"/>
                <c:pt idx="0">
                  <c:v>LMO (millions)</c:v>
                </c:pt>
              </c:strCache>
            </c:strRef>
          </c:tx>
          <c:spPr>
            <a:solidFill>
              <a:schemeClr val="accent4"/>
            </a:solidFill>
            <a:ln>
              <a:noFill/>
            </a:ln>
            <a:effectLst/>
          </c:spPr>
          <c:invertIfNegative val="0"/>
          <c:cat>
            <c:strRef>
              <c:f>'10. Calculations - Mass (PHEV)'!$A$60:$A$61</c:f>
              <c:strCache>
                <c:ptCount val="2"/>
                <c:pt idx="0">
                  <c:v>Maximum Availability</c:v>
                </c:pt>
                <c:pt idx="1">
                  <c:v>Baseline Imports</c:v>
                </c:pt>
              </c:strCache>
            </c:strRef>
          </c:cat>
          <c:val>
            <c:numRef>
              <c:f>'10. Calculations - Mass (PHEV)'!$F$60:$F$61</c:f>
              <c:numCache>
                <c:formatCode>General</c:formatCode>
                <c:ptCount val="2"/>
                <c:pt idx="0">
                  <c:v>0</c:v>
                </c:pt>
                <c:pt idx="1">
                  <c:v>0</c:v>
                </c:pt>
              </c:numCache>
            </c:numRef>
          </c:val>
          <c:extLst>
            <c:ext xmlns:c16="http://schemas.microsoft.com/office/drawing/2014/chart" uri="{C3380CC4-5D6E-409C-BE32-E72D297353CC}">
              <c16:uniqueId val="{00000001-0EB7-C147-98F8-1D6A28D67362}"/>
            </c:ext>
          </c:extLst>
        </c:ser>
        <c:ser>
          <c:idx val="4"/>
          <c:order val="4"/>
          <c:tx>
            <c:strRef>
              <c:f>'10. Calculations - Mass (PHEV)'!$G$34</c:f>
              <c:strCache>
                <c:ptCount val="1"/>
                <c:pt idx="0">
                  <c:v>NMC111 (millions)</c:v>
                </c:pt>
              </c:strCache>
            </c:strRef>
          </c:tx>
          <c:spPr>
            <a:solidFill>
              <a:schemeClr val="accent5"/>
            </a:solidFill>
            <a:ln>
              <a:noFill/>
            </a:ln>
            <a:effectLst/>
          </c:spPr>
          <c:invertIfNegative val="0"/>
          <c:cat>
            <c:strRef>
              <c:f>'10. Calculations - Mass (PHEV)'!$A$60:$A$61</c:f>
              <c:strCache>
                <c:ptCount val="2"/>
                <c:pt idx="0">
                  <c:v>Maximum Availability</c:v>
                </c:pt>
                <c:pt idx="1">
                  <c:v>Baseline Imports</c:v>
                </c:pt>
              </c:strCache>
            </c:strRef>
          </c:cat>
          <c:val>
            <c:numRef>
              <c:f>'10. Calculations - Mass (PHEV)'!$G$60:$G$61</c:f>
              <c:numCache>
                <c:formatCode>_(* #,##0.00_);_(* \(#,##0.00\);_(* "-"??_);_(@_)</c:formatCode>
                <c:ptCount val="2"/>
                <c:pt idx="0">
                  <c:v>27.827347552706307</c:v>
                </c:pt>
                <c:pt idx="1">
                  <c:v>11.636081283532063</c:v>
                </c:pt>
              </c:numCache>
            </c:numRef>
          </c:val>
          <c:extLst>
            <c:ext xmlns:c16="http://schemas.microsoft.com/office/drawing/2014/chart" uri="{C3380CC4-5D6E-409C-BE32-E72D297353CC}">
              <c16:uniqueId val="{00000002-0EB7-C147-98F8-1D6A28D67362}"/>
            </c:ext>
          </c:extLst>
        </c:ser>
        <c:dLbls>
          <c:showLegendKey val="0"/>
          <c:showVal val="0"/>
          <c:showCatName val="0"/>
          <c:showSerName val="0"/>
          <c:showPercent val="0"/>
          <c:showBubbleSize val="0"/>
        </c:dLbls>
        <c:gapWidth val="219"/>
        <c:overlap val="-27"/>
        <c:axId val="1841151248"/>
        <c:axId val="768675648"/>
      </c:barChart>
      <c:lineChart>
        <c:grouping val="standard"/>
        <c:varyColors val="0"/>
        <c:ser>
          <c:idx val="0"/>
          <c:order val="0"/>
          <c:tx>
            <c:strRef>
              <c:f>'10. Calculations - Mass (PHEV)'!$C$34</c:f>
              <c:strCache>
                <c:ptCount val="1"/>
                <c:pt idx="0">
                  <c:v>Low Prediction (millions)</c:v>
                </c:pt>
              </c:strCache>
            </c:strRef>
          </c:tx>
          <c:spPr>
            <a:ln w="28575" cap="rnd">
              <a:solidFill>
                <a:schemeClr val="accent1"/>
              </a:solidFill>
              <a:round/>
            </a:ln>
            <a:effectLst/>
          </c:spPr>
          <c:marker>
            <c:symbol val="none"/>
          </c:marker>
          <c:cat>
            <c:strRef>
              <c:f>'10. Calculations - Mass (PHEV)'!$A$60:$A$61</c:f>
              <c:strCache>
                <c:ptCount val="2"/>
                <c:pt idx="0">
                  <c:v>Maximum Availability</c:v>
                </c:pt>
                <c:pt idx="1">
                  <c:v>Baseline Imports</c:v>
                </c:pt>
              </c:strCache>
            </c:strRef>
          </c:cat>
          <c:val>
            <c:numRef>
              <c:f>'10. Calculations - Mass (PHEV)'!$C$60:$C$61</c:f>
              <c:numCache>
                <c:formatCode>0.00</c:formatCode>
                <c:ptCount val="2"/>
                <c:pt idx="0">
                  <c:v>0.5</c:v>
                </c:pt>
                <c:pt idx="1">
                  <c:v>0.5</c:v>
                </c:pt>
              </c:numCache>
            </c:numRef>
          </c:val>
          <c:smooth val="0"/>
          <c:extLst>
            <c:ext xmlns:c16="http://schemas.microsoft.com/office/drawing/2014/chart" uri="{C3380CC4-5D6E-409C-BE32-E72D297353CC}">
              <c16:uniqueId val="{00000003-0EB7-C147-98F8-1D6A28D67362}"/>
            </c:ext>
          </c:extLst>
        </c:ser>
        <c:ser>
          <c:idx val="1"/>
          <c:order val="1"/>
          <c:tx>
            <c:strRef>
              <c:f>'10. Calculations - Mass (PHEV)'!$D$34</c:f>
              <c:strCache>
                <c:ptCount val="1"/>
                <c:pt idx="0">
                  <c:v>High Prediction (millions)</c:v>
                </c:pt>
              </c:strCache>
            </c:strRef>
          </c:tx>
          <c:spPr>
            <a:ln w="28575" cap="rnd">
              <a:solidFill>
                <a:schemeClr val="accent2"/>
              </a:solidFill>
              <a:round/>
            </a:ln>
            <a:effectLst/>
          </c:spPr>
          <c:marker>
            <c:symbol val="none"/>
          </c:marker>
          <c:cat>
            <c:strRef>
              <c:f>'10. Calculations - Mass (PHEV)'!$A$60:$A$61</c:f>
              <c:strCache>
                <c:ptCount val="2"/>
                <c:pt idx="0">
                  <c:v>Maximum Availability</c:v>
                </c:pt>
                <c:pt idx="1">
                  <c:v>Baseline Imports</c:v>
                </c:pt>
              </c:strCache>
            </c:strRef>
          </c:cat>
          <c:val>
            <c:numRef>
              <c:f>'10. Calculations - Mass (PHEV)'!$D$60:$D$61</c:f>
              <c:numCache>
                <c:formatCode>0.00</c:formatCode>
                <c:ptCount val="2"/>
                <c:pt idx="0">
                  <c:v>1.5</c:v>
                </c:pt>
                <c:pt idx="1">
                  <c:v>1.5</c:v>
                </c:pt>
              </c:numCache>
            </c:numRef>
          </c:val>
          <c:smooth val="0"/>
          <c:extLst>
            <c:ext xmlns:c16="http://schemas.microsoft.com/office/drawing/2014/chart" uri="{C3380CC4-5D6E-409C-BE32-E72D297353CC}">
              <c16:uniqueId val="{00000004-0EB7-C147-98F8-1D6A28D67362}"/>
            </c:ext>
          </c:extLst>
        </c:ser>
        <c:dLbls>
          <c:showLegendKey val="0"/>
          <c:showVal val="0"/>
          <c:showCatName val="0"/>
          <c:showSerName val="0"/>
          <c:showPercent val="0"/>
          <c:showBubbleSize val="0"/>
        </c:dLbls>
        <c:marker val="1"/>
        <c:smooth val="0"/>
        <c:axId val="1841151248"/>
        <c:axId val="768675648"/>
      </c:lineChart>
      <c:catAx>
        <c:axId val="184115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675648"/>
        <c:crosses val="autoZero"/>
        <c:auto val="1"/>
        <c:lblAlgn val="ctr"/>
        <c:lblOffset val="100"/>
        <c:noMultiLvlLbl val="0"/>
      </c:catAx>
      <c:valAx>
        <c:axId val="76867564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4115124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'10. Calculations - Mass (PHEV)'!$A$137</c:f>
              <c:strCache>
                <c:ptCount val="1"/>
                <c:pt idx="0">
                  <c:v>Calculation</c:v>
                </c:pt>
              </c:strCache>
            </c:strRef>
          </c:tx>
          <c:spPr>
            <a:solidFill>
              <a:schemeClr val="accent1"/>
            </a:solidFill>
            <a:ln>
              <a:noFill/>
            </a:ln>
            <a:effectLst/>
          </c:spPr>
          <c:invertIfNegative val="0"/>
          <c:cat>
            <c:multiLvlStrRef>
              <c:f>'10. Calculations - Mass (PHEV)'!$B$135:$G$136</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'10. Calculations - Mass (PHEV)'!$B$137:$G$137</c:f>
              <c:numCache>
                <c:formatCode>0.00</c:formatCode>
                <c:ptCount val="6"/>
                <c:pt idx="0">
                  <c:v>2.9057056971395028</c:v>
                </c:pt>
                <c:pt idx="1">
                  <c:v>1.4774075846061747</c:v>
                </c:pt>
                <c:pt idx="2">
                  <c:v>11.395138359219347</c:v>
                </c:pt>
                <c:pt idx="3">
                  <c:v>1.1039288315184554</c:v>
                </c:pt>
                <c:pt idx="4">
                  <c:v>2.6934691394443906</c:v>
                </c:pt>
                <c:pt idx="5">
                  <c:v>1.3419865248395446</c:v>
                </c:pt>
              </c:numCache>
            </c:numRef>
          </c:val>
          <c:extLst>
            <c:ext xmlns:c16="http://schemas.microsoft.com/office/drawing/2014/chart" uri="{C3380CC4-5D6E-409C-BE32-E72D297353CC}">
              <c16:uniqueId val="{00000000-BFCB-C742-A475-4B036B34B6AD}"/>
            </c:ext>
          </c:extLst>
        </c:ser>
        <c:dLbls>
          <c:showLegendKey val="0"/>
          <c:showVal val="0"/>
          <c:showCatName val="0"/>
          <c:showSerName val="0"/>
          <c:showPercent val="0"/>
          <c:showBubbleSize val="0"/>
        </c:dLbls>
        <c:gapWidth val="219"/>
        <c:overlap val="-27"/>
        <c:axId val="1488706943"/>
        <c:axId val="1237547583"/>
      </c:barChart>
      <c:lineChart>
        <c:grouping val="standard"/>
        <c:varyColors val="0"/>
        <c:ser>
          <c:idx val="1"/>
          <c:order val="1"/>
          <c:tx>
            <c:strRef>
              <c:f>'10. Calculations - Mass (PHEV)'!$A$138</c:f>
              <c:strCache>
                <c:ptCount val="1"/>
                <c:pt idx="0">
                  <c:v>Low EV Demand</c:v>
                </c:pt>
              </c:strCache>
            </c:strRef>
          </c:tx>
          <c:spPr>
            <a:ln w="28575" cap="rnd">
              <a:solidFill>
                <a:schemeClr val="accent2"/>
              </a:solidFill>
              <a:round/>
            </a:ln>
            <a:effectLst/>
          </c:spPr>
          <c:marker>
            <c:symbol val="none"/>
          </c:marker>
          <c:cat>
            <c:multiLvlStrRef>
              <c:f>'10. Calculations - Mass (PHEV)'!$B$135:$G$136</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'10. Calculations - Mass (PHEV)'!$B$138:$G$138</c:f>
              <c:numCache>
                <c:formatCode>0.00</c:formatCode>
                <c:ptCount val="6"/>
                <c:pt idx="0">
                  <c:v>0.5</c:v>
                </c:pt>
                <c:pt idx="1">
                  <c:v>0.5</c:v>
                </c:pt>
                <c:pt idx="2">
                  <c:v>0.5</c:v>
                </c:pt>
                <c:pt idx="3">
                  <c:v>0.5</c:v>
                </c:pt>
                <c:pt idx="4">
                  <c:v>0.5</c:v>
                </c:pt>
                <c:pt idx="5">
                  <c:v>0.5</c:v>
                </c:pt>
              </c:numCache>
            </c:numRef>
          </c:val>
          <c:smooth val="0"/>
          <c:extLst>
            <c:ext xmlns:c16="http://schemas.microsoft.com/office/drawing/2014/chart" uri="{C3380CC4-5D6E-409C-BE32-E72D297353CC}">
              <c16:uniqueId val="{00000001-BFCB-C742-A475-4B036B34B6AD}"/>
            </c:ext>
          </c:extLst>
        </c:ser>
        <c:ser>
          <c:idx val="2"/>
          <c:order val="2"/>
          <c:tx>
            <c:strRef>
              <c:f>'10. Calculations - Mass (PHEV)'!$A$139</c:f>
              <c:strCache>
                <c:ptCount val="1"/>
                <c:pt idx="0">
                  <c:v>High EV Demand</c:v>
                </c:pt>
              </c:strCache>
            </c:strRef>
          </c:tx>
          <c:spPr>
            <a:ln w="28575" cap="rnd">
              <a:solidFill>
                <a:schemeClr val="accent3"/>
              </a:solidFill>
              <a:round/>
            </a:ln>
            <a:effectLst/>
          </c:spPr>
          <c:marker>
            <c:symbol val="none"/>
          </c:marker>
          <c:cat>
            <c:multiLvlStrRef>
              <c:f>'10. Calculations - Mass (PHEV)'!$B$135:$G$136</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'10. Calculations - Mass (PHEV)'!$B$139:$G$139</c:f>
              <c:numCache>
                <c:formatCode>0.00</c:formatCode>
                <c:ptCount val="6"/>
                <c:pt idx="0">
                  <c:v>1.5</c:v>
                </c:pt>
                <c:pt idx="1">
                  <c:v>1.5</c:v>
                </c:pt>
                <c:pt idx="2">
                  <c:v>1.5</c:v>
                </c:pt>
                <c:pt idx="3">
                  <c:v>1.5</c:v>
                </c:pt>
                <c:pt idx="4">
                  <c:v>1.5</c:v>
                </c:pt>
                <c:pt idx="5">
                  <c:v>1.5</c:v>
                </c:pt>
              </c:numCache>
            </c:numRef>
          </c:val>
          <c:smooth val="0"/>
          <c:extLst>
            <c:ext xmlns:c16="http://schemas.microsoft.com/office/drawing/2014/chart" uri="{C3380CC4-5D6E-409C-BE32-E72D297353CC}">
              <c16:uniqueId val="{00000002-BFCB-C742-A475-4B036B34B6AD}"/>
            </c:ext>
          </c:extLst>
        </c:ser>
        <c:dLbls>
          <c:showLegendKey val="0"/>
          <c:showVal val="0"/>
          <c:showCatName val="0"/>
          <c:showSerName val="0"/>
          <c:showPercent val="0"/>
          <c:showBubbleSize val="0"/>
        </c:dLbls>
        <c:marker val="1"/>
        <c:smooth val="0"/>
        <c:axId val="1488706943"/>
        <c:axId val="1237547583"/>
      </c:lineChart>
      <c:catAx>
        <c:axId val="1488706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7547583"/>
        <c:crosses val="autoZero"/>
        <c:auto val="1"/>
        <c:lblAlgn val="ctr"/>
        <c:lblOffset val="100"/>
        <c:noMultiLvlLbl val="0"/>
      </c:catAx>
      <c:valAx>
        <c:axId val="1237547583"/>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8870694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'11. Calculations - MV (BEV)'!$A$164</c:f>
              <c:strCache>
                <c:ptCount val="1"/>
                <c:pt idx="0">
                  <c:v>Average</c:v>
                </c:pt>
              </c:strCache>
            </c:strRef>
          </c:tx>
          <c:spPr>
            <a:solidFill>
              <a:schemeClr val="accent1"/>
            </a:solidFill>
            <a:ln>
              <a:noFill/>
            </a:ln>
            <a:effectLst/>
          </c:spPr>
          <c:invertIfNegative val="0"/>
          <c:cat>
            <c:multiLvlStrRef>
              <c:f>'11. Calculations - MV (BEV)'!$B$162:$G$163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'11. Calculations - MV (BEV)'!$B$164:$G$164</c:f>
              <c:numCache>
                <c:formatCode>0.00</c:formatCode>
                <c:ptCount val="6"/>
                <c:pt idx="0">
                  <c:v>0.83658217436555993</c:v>
                </c:pt>
                <c:pt idx="1">
                  <c:v>0.49398971797254371</c:v>
                </c:pt>
                <c:pt idx="2">
                  <c:v>0.96690398609731421</c:v>
                </c:pt>
                <c:pt idx="3">
                  <c:v>0.38707565176287118</c:v>
                </c:pt>
                <c:pt idx="4">
                  <c:v>0.44230464878029402</c:v>
                </c:pt>
                <c:pt idx="5">
                  <c:v>0.17706552322264307</c:v>
                </c:pt>
              </c:numCache>
            </c:numRef>
          </c:val>
          <c:extLst>
            <c:ext xmlns:c16="http://schemas.microsoft.com/office/drawing/2014/chart" uri="{C3380CC4-5D6E-409C-BE32-E72D297353CC}">
              <c16:uniqueId val="{00000000-7602-824E-B330-6CA0FF9078D0}"/>
            </c:ext>
          </c:extLst>
        </c:ser>
        <c:dLbls>
          <c:showLegendKey val="0"/>
          <c:showVal val="0"/>
          <c:showCatName val="0"/>
          <c:showSerName val="0"/>
          <c:showPercent val="0"/>
          <c:showBubbleSize val="0"/>
        </c:dLbls>
        <c:gapWidth val="219"/>
        <c:overlap val="-27"/>
        <c:axId val="37229471"/>
        <c:axId val="29278143"/>
      </c:barChart>
      <c:lineChart>
        <c:grouping val="standard"/>
        <c:varyColors val="0"/>
        <c:ser>
          <c:idx val="1"/>
          <c:order val="1"/>
          <c:tx>
            <c:strRef>
              <c:f>'11. Calculations - MV (BEV)'!$A$165</c:f>
              <c:strCache>
                <c:ptCount val="1"/>
                <c:pt idx="0">
                  <c:v>Low Range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'11. Calculations - MV (BEV)'!$B$162:$G$163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'11. Calculations - MV (BEV)'!$B$165:$G$165</c:f>
              <c:numCache>
                <c:formatCode>0.00</c:formatCode>
                <c:ptCount val="6"/>
                <c:pt idx="0">
                  <c:v>0.90685498717599311</c:v>
                </c:pt>
                <c:pt idx="1">
                  <c:v>0.53548480123521236</c:v>
                </c:pt>
                <c:pt idx="2">
                  <c:v>1.8731567006390424</c:v>
                </c:pt>
                <c:pt idx="3">
                  <c:v>0.74987109493710746</c:v>
                </c:pt>
                <c:pt idx="4">
                  <c:v>0.56313760722409234</c:v>
                </c:pt>
                <c:pt idx="5">
                  <c:v>0.22543795400850791</c:v>
                </c:pt>
              </c:numCache>
            </c:numRef>
          </c:val>
          <c:smooth val="0"/>
          <c:extLst>
            <c:ext xmlns:c16="http://schemas.microsoft.com/office/drawing/2014/chart" uri="{C3380CC4-5D6E-409C-BE32-E72D297353CC}">
              <c16:uniqueId val="{00000001-7602-824E-B330-6CA0FF9078D0}"/>
            </c:ext>
          </c:extLst>
        </c:ser>
        <c:ser>
          <c:idx val="2"/>
          <c:order val="2"/>
          <c:tx>
            <c:strRef>
              <c:f>'11. Calculations - MV (BEV)'!$A$166</c:f>
              <c:strCache>
                <c:ptCount val="1"/>
                <c:pt idx="0">
                  <c:v>High Range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multiLvlStrRef>
              <c:f>'11. Calculations - MV (BEV)'!$B$162:$G$163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'11. Calculations - MV (BEV)'!$B$166:$G$166</c:f>
              <c:numCache>
                <c:formatCode>0.00</c:formatCode>
                <c:ptCount val="6"/>
                <c:pt idx="0">
                  <c:v>0.79549992191616925</c:v>
                </c:pt>
                <c:pt idx="1">
                  <c:v>0.46973123993774474</c:v>
                </c:pt>
                <c:pt idx="2">
                  <c:v>0.83314286810405713</c:v>
                </c:pt>
                <c:pt idx="3">
                  <c:v>0.33352775799861967</c:v>
                </c:pt>
                <c:pt idx="4">
                  <c:v>0.41290411044322273</c:v>
                </c:pt>
                <c:pt idx="5">
                  <c:v>0.16529575838287358</c:v>
                </c:pt>
              </c:numCache>
            </c:numRef>
          </c:val>
          <c:smooth val="0"/>
          <c:extLst>
            <c:ext xmlns:c16="http://schemas.microsoft.com/office/drawing/2014/chart" uri="{C3380CC4-5D6E-409C-BE32-E72D297353CC}">
              <c16:uniqueId val="{00000002-7602-824E-B330-6CA0FF9078D0}"/>
            </c:ext>
          </c:extLst>
        </c:ser>
        <c:ser>
          <c:idx val="3"/>
          <c:order val="3"/>
          <c:tx>
            <c:strRef>
              <c:f>'11. Calculations - MV (BEV)'!$A$167</c:f>
              <c:strCache>
                <c:ptCount val="1"/>
                <c:pt idx="0">
                  <c:v>Low EV Demand</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multiLvlStrRef>
              <c:f>'11. Calculations - MV (BEV)'!$B$162:$G$163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'11. Calculations - MV (BEV)'!$B$167:$G$167</c:f>
              <c:numCache>
                <c:formatCode>0.00</c:formatCode>
                <c:ptCount val="6"/>
                <c:pt idx="0">
                  <c:v>1</c:v>
                </c:pt>
                <c:pt idx="1">
                  <c:v>1</c:v>
                </c:pt>
                <c:pt idx="2">
                  <c:v>1</c:v>
                </c:pt>
                <c:pt idx="3">
                  <c:v>1</c:v>
                </c:pt>
                <c:pt idx="4">
                  <c:v>1</c:v>
                </c:pt>
                <c:pt idx="5">
                  <c:v>1</c:v>
                </c:pt>
              </c:numCache>
            </c:numRef>
          </c:val>
          <c:smooth val="0"/>
          <c:extLst>
            <c:ext xmlns:c16="http://schemas.microsoft.com/office/drawing/2014/chart" uri="{C3380CC4-5D6E-409C-BE32-E72D297353CC}">
              <c16:uniqueId val="{00000003-7602-824E-B330-6CA0FF9078D0}"/>
            </c:ext>
          </c:extLst>
        </c:ser>
        <c:ser>
          <c:idx val="4"/>
          <c:order val="4"/>
          <c:tx>
            <c:strRef>
              <c:f>'11. Calculations - MV (BEV)'!$A$168</c:f>
              <c:strCache>
                <c:ptCount val="1"/>
                <c:pt idx="0">
                  <c:v>High EV Demand</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multiLvlStrRef>
              <c:f>'11. Calculations - MV (BEV)'!$B$162:$G$163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NCA</c:v>
                  </c:pt>
                  <c:pt idx="4">
                    <c:v>NMC</c:v>
                  </c:pt>
                </c:lvl>
              </c:multiLvlStrCache>
            </c:multiLvlStrRef>
          </c:cat>
          <c:val>
            <c:numRef>
              <c:f>'11. Calculations - MV (BEV)'!$B$168:$G$168</c:f>
              <c:numCache>
                <c:formatCode>0.00</c:formatCode>
                <c:ptCount val="6"/>
                <c:pt idx="0">
                  <c:v>2</c:v>
                </c:pt>
                <c:pt idx="1">
                  <c:v>2</c:v>
                </c:pt>
                <c:pt idx="2">
                  <c:v>2</c:v>
                </c:pt>
                <c:pt idx="3">
                  <c:v>2</c:v>
                </c:pt>
                <c:pt idx="4">
                  <c:v>2</c:v>
                </c:pt>
                <c:pt idx="5">
                  <c:v>2</c:v>
                </c:pt>
              </c:numCache>
            </c:numRef>
          </c:val>
          <c:smooth val="0"/>
          <c:extLst>
            <c:ext xmlns:c16="http://schemas.microsoft.com/office/drawing/2014/chart" uri="{C3380CC4-5D6E-409C-BE32-E72D297353CC}">
              <c16:uniqueId val="{00000006-7602-824E-B330-6CA0FF9078D0}"/>
            </c:ext>
          </c:extLst>
        </c:ser>
        <c:dLbls>
          <c:showLegendKey val="0"/>
          <c:showVal val="0"/>
          <c:showCatName val="0"/>
          <c:showSerName val="0"/>
          <c:showPercent val="0"/>
          <c:showBubbleSize val="0"/>
        </c:dLbls>
        <c:marker val="1"/>
        <c:smooth val="0"/>
        <c:axId val="37229471"/>
        <c:axId val="29278143"/>
      </c:lineChart>
      <c:catAx>
        <c:axId val="37229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278143"/>
        <c:crosses val="autoZero"/>
        <c:auto val="1"/>
        <c:lblAlgn val="ctr"/>
        <c:lblOffset val="100"/>
        <c:noMultiLvlLbl val="0"/>
      </c:catAx>
      <c:valAx>
        <c:axId val="29278143"/>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294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'12. Calculations - MV (PHEV)'!$A$164</c:f>
              <c:strCache>
                <c:ptCount val="1"/>
                <c:pt idx="0">
                  <c:v>Average</c:v>
                </c:pt>
              </c:strCache>
            </c:strRef>
          </c:tx>
          <c:spPr>
            <a:solidFill>
              <a:schemeClr val="accent1"/>
            </a:solidFill>
            <a:ln>
              <a:noFill/>
            </a:ln>
            <a:effectLst/>
          </c:spPr>
          <c:invertIfNegative val="0"/>
          <c:cat>
            <c:multiLvlStrRef>
              <c:f>'12. Calculations - MV (PHEV)'!$B$162:$G$163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'12. Calculations - MV (PHEV)'!$B$164:$G$164</c:f>
              <c:numCache>
                <c:formatCode>0.00</c:formatCode>
                <c:ptCount val="6"/>
                <c:pt idx="0">
                  <c:v>4.9263855833916628</c:v>
                </c:pt>
                <c:pt idx="1">
                  <c:v>2.9089596928230197</c:v>
                </c:pt>
                <c:pt idx="2">
                  <c:v>26.360109149504993</c:v>
                </c:pt>
                <c:pt idx="3">
                  <c:v>0.89976789067894258</c:v>
                </c:pt>
                <c:pt idx="4">
                  <c:v>1.2094425900030199</c:v>
                </c:pt>
                <c:pt idx="5">
                  <c:v>0.48416987159682401</c:v>
                </c:pt>
              </c:numCache>
            </c:numRef>
          </c:val>
          <c:extLst>
            <c:ext xmlns:c16="http://schemas.microsoft.com/office/drawing/2014/chart" uri="{C3380CC4-5D6E-409C-BE32-E72D297353CC}">
              <c16:uniqueId val="{00000000-FFD1-4F4F-8237-E1D105288E1C}"/>
            </c:ext>
          </c:extLst>
        </c:ser>
        <c:dLbls>
          <c:showLegendKey val="0"/>
          <c:showVal val="0"/>
          <c:showCatName val="0"/>
          <c:showSerName val="0"/>
          <c:showPercent val="0"/>
          <c:showBubbleSize val="0"/>
        </c:dLbls>
        <c:gapWidth val="219"/>
        <c:overlap val="-27"/>
        <c:axId val="37229471"/>
        <c:axId val="29278143"/>
      </c:barChart>
      <c:lineChart>
        <c:grouping val="standard"/>
        <c:varyColors val="0"/>
        <c:ser>
          <c:idx val="1"/>
          <c:order val="1"/>
          <c:tx>
            <c:strRef>
              <c:f>'12. Calculations - MV (PHEV)'!$A$165</c:f>
              <c:strCache>
                <c:ptCount val="1"/>
                <c:pt idx="0">
                  <c:v>Low Range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multiLvlStrRef>
              <c:f>'12. Calculations - MV (PHEV)'!$B$162:$G$163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'12. Calculations - MV (PHEV)'!$B$165:$G$165</c:f>
              <c:numCache>
                <c:formatCode>0.00</c:formatCode>
                <c:ptCount val="6"/>
                <c:pt idx="0">
                  <c:v>5.3956901436160729</c:v>
                </c:pt>
                <c:pt idx="1">
                  <c:v>3.1860772724849333</c:v>
                </c:pt>
                <c:pt idx="2">
                  <c:v>26.391702172085463</c:v>
                </c:pt>
                <c:pt idx="3">
                  <c:v>0.90084627723364818</c:v>
                </c:pt>
                <c:pt idx="4">
                  <c:v>1.3458238284059123</c:v>
                </c:pt>
                <c:pt idx="5">
                  <c:v>0.53876666455876143</c:v>
                </c:pt>
              </c:numCache>
            </c:numRef>
          </c:val>
          <c:smooth val="0"/>
          <c:extLst>
            <c:ext xmlns:c16="http://schemas.microsoft.com/office/drawing/2014/chart" uri="{C3380CC4-5D6E-409C-BE32-E72D297353CC}">
              <c16:uniqueId val="{00000001-FFD1-4F4F-8237-E1D105288E1C}"/>
            </c:ext>
          </c:extLst>
        </c:ser>
        <c:ser>
          <c:idx val="2"/>
          <c:order val="2"/>
          <c:tx>
            <c:strRef>
              <c:f>'12. Calculations - MV (PHEV)'!$A$166</c:f>
              <c:strCache>
                <c:ptCount val="1"/>
                <c:pt idx="0">
                  <c:v>High Range</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multiLvlStrRef>
              <c:f>'12. Calculations - MV (PHEV)'!$B$162:$G$163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'12. Calculations - MV (PHEV)'!$B$166:$G$166</c:f>
              <c:numCache>
                <c:formatCode>0.00</c:formatCode>
                <c:ptCount val="6"/>
                <c:pt idx="0">
                  <c:v>4.6564692733845794</c:v>
                </c:pt>
                <c:pt idx="1">
                  <c:v>2.7495780015292657</c:v>
                </c:pt>
                <c:pt idx="2">
                  <c:v>26.337661285350336</c:v>
                </c:pt>
                <c:pt idx="3">
                  <c:v>0.89900166216045918</c:v>
                </c:pt>
                <c:pt idx="4">
                  <c:v>1.1700945966910485</c:v>
                </c:pt>
                <c:pt idx="5">
                  <c:v>0.46841789376263659</c:v>
                </c:pt>
              </c:numCache>
            </c:numRef>
          </c:val>
          <c:smooth val="0"/>
          <c:extLst>
            <c:ext xmlns:c16="http://schemas.microsoft.com/office/drawing/2014/chart" uri="{C3380CC4-5D6E-409C-BE32-E72D297353CC}">
              <c16:uniqueId val="{00000002-FFD1-4F4F-8237-E1D105288E1C}"/>
            </c:ext>
          </c:extLst>
        </c:ser>
        <c:ser>
          <c:idx val="3"/>
          <c:order val="3"/>
          <c:tx>
            <c:strRef>
              <c:f>'12. Calculations - MV (PHEV)'!$A$167</c:f>
              <c:strCache>
                <c:ptCount val="1"/>
                <c:pt idx="0">
                  <c:v>Low EV Demand</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multiLvlStrRef>
              <c:f>'12. Calculations - MV (PHEV)'!$B$162:$G$163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'12. Calculations - MV (PHEV)'!$B$167:$G$167</c:f>
              <c:numCache>
                <c:formatCode>0.00</c:formatCode>
                <c:ptCount val="6"/>
                <c:pt idx="0">
                  <c:v>0.5</c:v>
                </c:pt>
                <c:pt idx="1">
                  <c:v>0.5</c:v>
                </c:pt>
                <c:pt idx="2">
                  <c:v>0.5</c:v>
                </c:pt>
                <c:pt idx="3">
                  <c:v>0.5</c:v>
                </c:pt>
                <c:pt idx="4">
                  <c:v>0.5</c:v>
                </c:pt>
                <c:pt idx="5">
                  <c:v>0.5</c:v>
                </c:pt>
              </c:numCache>
            </c:numRef>
          </c:val>
          <c:smooth val="0"/>
          <c:extLst>
            <c:ext xmlns:c16="http://schemas.microsoft.com/office/drawing/2014/chart" uri="{C3380CC4-5D6E-409C-BE32-E72D297353CC}">
              <c16:uniqueId val="{00000003-FFD1-4F4F-8237-E1D105288E1C}"/>
            </c:ext>
          </c:extLst>
        </c:ser>
        <c:ser>
          <c:idx val="4"/>
          <c:order val="4"/>
          <c:tx>
            <c:strRef>
              <c:f>'12. Calculations - MV (PHEV)'!$A$168</c:f>
              <c:strCache>
                <c:ptCount val="1"/>
                <c:pt idx="0">
                  <c:v>High EV Demand</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multiLvlStrRef>
              <c:f>'12. Calculations - MV (PHEV)'!$B$162:$G$163</c:f>
              <c:multiLvlStrCache>
                <c:ptCount val="6"/>
                <c:lvl>
                  <c:pt idx="0">
                    <c:v>Maximum Availability</c:v>
                  </c:pt>
                  <c:pt idx="1">
                    <c:v>Baseline Imports</c:v>
                  </c:pt>
                  <c:pt idx="2">
                    <c:v>Maximum Availability</c:v>
                  </c:pt>
                  <c:pt idx="3">
                    <c:v>Baseline Imports</c:v>
                  </c:pt>
                  <c:pt idx="4">
                    <c:v>Maximum Availability</c:v>
                  </c:pt>
                  <c:pt idx="5">
                    <c:v>Baseline Imports</c:v>
                  </c:pt>
                </c:lvl>
                <c:lvl>
                  <c:pt idx="0">
                    <c:v>LFP</c:v>
                  </c:pt>
                  <c:pt idx="2">
                    <c:v>LMO</c:v>
                  </c:pt>
                  <c:pt idx="4">
                    <c:v>NMC111</c:v>
                  </c:pt>
                </c:lvl>
              </c:multiLvlStrCache>
            </c:multiLvlStrRef>
          </c:cat>
          <c:val>
            <c:numRef>
              <c:f>'12. Calculations - MV (PHEV)'!$B$168:$G$168</c:f>
              <c:numCache>
                <c:formatCode>0.00</c:formatCode>
                <c:ptCount val="6"/>
                <c:pt idx="0">
                  <c:v>1.5</c:v>
                </c:pt>
                <c:pt idx="1">
                  <c:v>1.5</c:v>
                </c:pt>
                <c:pt idx="2">
                  <c:v>1.5</c:v>
                </c:pt>
                <c:pt idx="3">
                  <c:v>1.5</c:v>
                </c:pt>
                <c:pt idx="4">
                  <c:v>1.5</c:v>
                </c:pt>
                <c:pt idx="5">
                  <c:v>1.5</c:v>
                </c:pt>
              </c:numCache>
            </c:numRef>
          </c:val>
          <c:smooth val="0"/>
          <c:extLst>
            <c:ext xmlns:c16="http://schemas.microsoft.com/office/drawing/2014/chart" uri="{C3380CC4-5D6E-409C-BE32-E72D297353CC}">
              <c16:uniqueId val="{00000004-FFD1-4F4F-8237-E1D105288E1C}"/>
            </c:ext>
          </c:extLst>
        </c:ser>
        <c:dLbls>
          <c:showLegendKey val="0"/>
          <c:showVal val="0"/>
          <c:showCatName val="0"/>
          <c:showSerName val="0"/>
          <c:showPercent val="0"/>
          <c:showBubbleSize val="0"/>
        </c:dLbls>
        <c:marker val="1"/>
        <c:smooth val="0"/>
        <c:axId val="37229471"/>
        <c:axId val="29278143"/>
      </c:lineChart>
      <c:catAx>
        <c:axId val="372294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278143"/>
        <c:crosses val="autoZero"/>
        <c:auto val="1"/>
        <c:lblAlgn val="ctr"/>
        <c:lblOffset val="100"/>
        <c:noMultiLvlLbl val="0"/>
      </c:catAx>
      <c:valAx>
        <c:axId val="29278143"/>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2294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7</xdr:col>
      <xdr:colOff>279401</xdr:colOff>
      <xdr:row>123</xdr:row>
      <xdr:rowOff>46568</xdr:rowOff>
    </xdr:from>
    <xdr:to>
      <xdr:col>12</xdr:col>
      <xdr:colOff>448734</xdr:colOff>
      <xdr:row>137</xdr:row>
      <xdr:rowOff>21168</xdr:rowOff>
    </xdr:to>
    <xdr:graphicFrame macro="">
      <xdr:nvGraphicFramePr>
        <xdr:cNvPr id="2" name="Chart 1">
          <a:extLst>
            <a:ext uri="{FF2B5EF4-FFF2-40B4-BE49-F238E27FC236}">
              <a16:creationId xmlns:a16="http://schemas.microsoft.com/office/drawing/2014/main" id="{D1158BEC-472B-5FEE-3935-8F524AEA3E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135467</xdr:colOff>
      <xdr:row>26</xdr:row>
      <xdr:rowOff>105834</xdr:rowOff>
    </xdr:from>
    <xdr:to>
      <xdr:col>12</xdr:col>
      <xdr:colOff>304800</xdr:colOff>
      <xdr:row>40</xdr:row>
      <xdr:rowOff>55034</xdr:rowOff>
    </xdr:to>
    <xdr:graphicFrame macro="">
      <xdr:nvGraphicFramePr>
        <xdr:cNvPr id="3" name="Chart 2">
          <a:extLst>
            <a:ext uri="{FF2B5EF4-FFF2-40B4-BE49-F238E27FC236}">
              <a16:creationId xmlns:a16="http://schemas.microsoft.com/office/drawing/2014/main" id="{06B9366B-8E46-783B-62E8-1522234EC3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194734</xdr:colOff>
      <xdr:row>26</xdr:row>
      <xdr:rowOff>177800</xdr:rowOff>
    </xdr:from>
    <xdr:to>
      <xdr:col>17</xdr:col>
      <xdr:colOff>364068</xdr:colOff>
      <xdr:row>40</xdr:row>
      <xdr:rowOff>127000</xdr:rowOff>
    </xdr:to>
    <xdr:graphicFrame macro="">
      <xdr:nvGraphicFramePr>
        <xdr:cNvPr id="4" name="Chart 3">
          <a:extLst>
            <a:ext uri="{FF2B5EF4-FFF2-40B4-BE49-F238E27FC236}">
              <a16:creationId xmlns:a16="http://schemas.microsoft.com/office/drawing/2014/main" id="{7E9A04C3-517B-804A-B908-A4B0B62845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254000</xdr:colOff>
      <xdr:row>40</xdr:row>
      <xdr:rowOff>118534</xdr:rowOff>
    </xdr:from>
    <xdr:to>
      <xdr:col>12</xdr:col>
      <xdr:colOff>423333</xdr:colOff>
      <xdr:row>54</xdr:row>
      <xdr:rowOff>59268</xdr:rowOff>
    </xdr:to>
    <xdr:graphicFrame macro="">
      <xdr:nvGraphicFramePr>
        <xdr:cNvPr id="5" name="Chart 4">
          <a:extLst>
            <a:ext uri="{FF2B5EF4-FFF2-40B4-BE49-F238E27FC236}">
              <a16:creationId xmlns:a16="http://schemas.microsoft.com/office/drawing/2014/main" id="{72E152FD-39A5-8144-9105-9484E4A888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457199</xdr:colOff>
      <xdr:row>40</xdr:row>
      <xdr:rowOff>118533</xdr:rowOff>
    </xdr:from>
    <xdr:to>
      <xdr:col>17</xdr:col>
      <xdr:colOff>626533</xdr:colOff>
      <xdr:row>54</xdr:row>
      <xdr:rowOff>59267</xdr:rowOff>
    </xdr:to>
    <xdr:graphicFrame macro="">
      <xdr:nvGraphicFramePr>
        <xdr:cNvPr id="6" name="Chart 5">
          <a:extLst>
            <a:ext uri="{FF2B5EF4-FFF2-40B4-BE49-F238E27FC236}">
              <a16:creationId xmlns:a16="http://schemas.microsoft.com/office/drawing/2014/main" id="{CBBB381A-010F-1849-A5CD-1AF9E4B865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364067</xdr:colOff>
      <xdr:row>55</xdr:row>
      <xdr:rowOff>59267</xdr:rowOff>
    </xdr:from>
    <xdr:to>
      <xdr:col>12</xdr:col>
      <xdr:colOff>533400</xdr:colOff>
      <xdr:row>69</xdr:row>
      <xdr:rowOff>25401</xdr:rowOff>
    </xdr:to>
    <xdr:graphicFrame macro="">
      <xdr:nvGraphicFramePr>
        <xdr:cNvPr id="7" name="Chart 6">
          <a:extLst>
            <a:ext uri="{FF2B5EF4-FFF2-40B4-BE49-F238E27FC236}">
              <a16:creationId xmlns:a16="http://schemas.microsoft.com/office/drawing/2014/main" id="{690DEEEF-D350-0940-8870-12A3276F26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567266</xdr:colOff>
      <xdr:row>55</xdr:row>
      <xdr:rowOff>101600</xdr:rowOff>
    </xdr:from>
    <xdr:to>
      <xdr:col>17</xdr:col>
      <xdr:colOff>736600</xdr:colOff>
      <xdr:row>69</xdr:row>
      <xdr:rowOff>67734</xdr:rowOff>
    </xdr:to>
    <xdr:graphicFrame macro="">
      <xdr:nvGraphicFramePr>
        <xdr:cNvPr id="8" name="Chart 7">
          <a:extLst>
            <a:ext uri="{FF2B5EF4-FFF2-40B4-BE49-F238E27FC236}">
              <a16:creationId xmlns:a16="http://schemas.microsoft.com/office/drawing/2014/main" id="{FF904105-27AD-DB44-B324-2C9F219770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135467</xdr:colOff>
      <xdr:row>26</xdr:row>
      <xdr:rowOff>105834</xdr:rowOff>
    </xdr:from>
    <xdr:to>
      <xdr:col>12</xdr:col>
      <xdr:colOff>304800</xdr:colOff>
      <xdr:row>40</xdr:row>
      <xdr:rowOff>55034</xdr:rowOff>
    </xdr:to>
    <xdr:graphicFrame macro="">
      <xdr:nvGraphicFramePr>
        <xdr:cNvPr id="2" name="Chart 2">
          <a:extLst>
            <a:ext uri="{FF2B5EF4-FFF2-40B4-BE49-F238E27FC236}">
              <a16:creationId xmlns:a16="http://schemas.microsoft.com/office/drawing/2014/main" id="{2953C9CC-6126-BD4B-BFC1-1B597B4107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194734</xdr:colOff>
      <xdr:row>26</xdr:row>
      <xdr:rowOff>177800</xdr:rowOff>
    </xdr:from>
    <xdr:to>
      <xdr:col>17</xdr:col>
      <xdr:colOff>364068</xdr:colOff>
      <xdr:row>40</xdr:row>
      <xdr:rowOff>127000</xdr:rowOff>
    </xdr:to>
    <xdr:graphicFrame macro="">
      <xdr:nvGraphicFramePr>
        <xdr:cNvPr id="4" name="Chart 3">
          <a:extLst>
            <a:ext uri="{FF2B5EF4-FFF2-40B4-BE49-F238E27FC236}">
              <a16:creationId xmlns:a16="http://schemas.microsoft.com/office/drawing/2014/main" id="{7E94653E-6581-8648-8E75-380BBA4FEC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254000</xdr:colOff>
      <xdr:row>40</xdr:row>
      <xdr:rowOff>118534</xdr:rowOff>
    </xdr:from>
    <xdr:to>
      <xdr:col>12</xdr:col>
      <xdr:colOff>423333</xdr:colOff>
      <xdr:row>54</xdr:row>
      <xdr:rowOff>59268</xdr:rowOff>
    </xdr:to>
    <xdr:graphicFrame macro="">
      <xdr:nvGraphicFramePr>
        <xdr:cNvPr id="5" name="Chart 4">
          <a:extLst>
            <a:ext uri="{FF2B5EF4-FFF2-40B4-BE49-F238E27FC236}">
              <a16:creationId xmlns:a16="http://schemas.microsoft.com/office/drawing/2014/main" id="{04A7479C-946B-AC44-B94E-800CE5BF11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457199</xdr:colOff>
      <xdr:row>40</xdr:row>
      <xdr:rowOff>118533</xdr:rowOff>
    </xdr:from>
    <xdr:to>
      <xdr:col>17</xdr:col>
      <xdr:colOff>626533</xdr:colOff>
      <xdr:row>54</xdr:row>
      <xdr:rowOff>59267</xdr:rowOff>
    </xdr:to>
    <xdr:graphicFrame macro="">
      <xdr:nvGraphicFramePr>
        <xdr:cNvPr id="6" name="Chart 5">
          <a:extLst>
            <a:ext uri="{FF2B5EF4-FFF2-40B4-BE49-F238E27FC236}">
              <a16:creationId xmlns:a16="http://schemas.microsoft.com/office/drawing/2014/main" id="{2B6CE945-E30E-9741-B92D-8F61721408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364067</xdr:colOff>
      <xdr:row>55</xdr:row>
      <xdr:rowOff>59267</xdr:rowOff>
    </xdr:from>
    <xdr:to>
      <xdr:col>12</xdr:col>
      <xdr:colOff>533400</xdr:colOff>
      <xdr:row>69</xdr:row>
      <xdr:rowOff>25401</xdr:rowOff>
    </xdr:to>
    <xdr:graphicFrame macro="">
      <xdr:nvGraphicFramePr>
        <xdr:cNvPr id="7" name="Chart 6">
          <a:extLst>
            <a:ext uri="{FF2B5EF4-FFF2-40B4-BE49-F238E27FC236}">
              <a16:creationId xmlns:a16="http://schemas.microsoft.com/office/drawing/2014/main" id="{539844F7-DC52-3047-9F7D-78ACE436ED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567266</xdr:colOff>
      <xdr:row>55</xdr:row>
      <xdr:rowOff>101600</xdr:rowOff>
    </xdr:from>
    <xdr:to>
      <xdr:col>17</xdr:col>
      <xdr:colOff>736600</xdr:colOff>
      <xdr:row>69</xdr:row>
      <xdr:rowOff>67734</xdr:rowOff>
    </xdr:to>
    <xdr:graphicFrame macro="">
      <xdr:nvGraphicFramePr>
        <xdr:cNvPr id="8" name="Chart 7">
          <a:extLst>
            <a:ext uri="{FF2B5EF4-FFF2-40B4-BE49-F238E27FC236}">
              <a16:creationId xmlns:a16="http://schemas.microsoft.com/office/drawing/2014/main" id="{F013D5DF-D6B8-9C4E-91B3-F917ED89EC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211667</xdr:colOff>
      <xdr:row>125</xdr:row>
      <xdr:rowOff>186266</xdr:rowOff>
    </xdr:from>
    <xdr:to>
      <xdr:col>12</xdr:col>
      <xdr:colOff>381000</xdr:colOff>
      <xdr:row>139</xdr:row>
      <xdr:rowOff>143933</xdr:rowOff>
    </xdr:to>
    <xdr:graphicFrame macro="">
      <xdr:nvGraphicFramePr>
        <xdr:cNvPr id="10" name="Chart 9">
          <a:extLst>
            <a:ext uri="{FF2B5EF4-FFF2-40B4-BE49-F238E27FC236}">
              <a16:creationId xmlns:a16="http://schemas.microsoft.com/office/drawing/2014/main" id="{F2B0BF42-19F7-EFC2-013C-98A46CA027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270934</xdr:colOff>
      <xdr:row>152</xdr:row>
      <xdr:rowOff>190500</xdr:rowOff>
    </xdr:from>
    <xdr:to>
      <xdr:col>12</xdr:col>
      <xdr:colOff>762001</xdr:colOff>
      <xdr:row>166</xdr:row>
      <xdr:rowOff>156633</xdr:rowOff>
    </xdr:to>
    <xdr:graphicFrame macro="">
      <xdr:nvGraphicFramePr>
        <xdr:cNvPr id="2" name="Chart 1">
          <a:extLst>
            <a:ext uri="{FF2B5EF4-FFF2-40B4-BE49-F238E27FC236}">
              <a16:creationId xmlns:a16="http://schemas.microsoft.com/office/drawing/2014/main" id="{3FBDF5B3-390D-0E88-2D4C-7D88DC6FD6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262467</xdr:colOff>
      <xdr:row>144</xdr:row>
      <xdr:rowOff>148166</xdr:rowOff>
    </xdr:from>
    <xdr:to>
      <xdr:col>12</xdr:col>
      <xdr:colOff>753534</xdr:colOff>
      <xdr:row>158</xdr:row>
      <xdr:rowOff>105833</xdr:rowOff>
    </xdr:to>
    <xdr:graphicFrame macro="">
      <xdr:nvGraphicFramePr>
        <xdr:cNvPr id="20" name="Chart 1">
          <a:extLst>
            <a:ext uri="{FF2B5EF4-FFF2-40B4-BE49-F238E27FC236}">
              <a16:creationId xmlns:a16="http://schemas.microsoft.com/office/drawing/2014/main" id="{61DB1ECF-EFC5-3A48-8EFE-ED5E9D0D8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12700</xdr:rowOff>
    </xdr:from>
    <xdr:to>
      <xdr:col>9</xdr:col>
      <xdr:colOff>304800</xdr:colOff>
      <xdr:row>53</xdr:row>
      <xdr:rowOff>139700</xdr:rowOff>
    </xdr:to>
    <xdr:pic>
      <xdr:nvPicPr>
        <xdr:cNvPr id="3" name="Picture 2">
          <a:extLst>
            <a:ext uri="{FF2B5EF4-FFF2-40B4-BE49-F238E27FC236}">
              <a16:creationId xmlns:a16="http://schemas.microsoft.com/office/drawing/2014/main" id="{D2E5DDAA-62DA-FD93-7E64-4B8ADD5B240A}"/>
            </a:ext>
          </a:extLst>
        </xdr:cNvPr>
        <xdr:cNvPicPr>
          <a:picLocks noChangeAspect="1"/>
        </xdr:cNvPicPr>
      </xdr:nvPicPr>
      <xdr:blipFill>
        <a:blip xmlns:r="http://schemas.openxmlformats.org/officeDocument/2006/relationships" r:embed="rId1">
          <a:alphaModFix/>
          <a:extLst>
            <a:ext uri="{28A0092B-C50C-407E-A947-70E740481C1C}">
              <a14:useLocalDpi xmlns:a14="http://schemas.microsoft.com/office/drawing/2010/main" val="0"/>
            </a:ext>
          </a:extLst>
        </a:blip>
        <a:stretch>
          <a:fillRect/>
        </a:stretch>
      </xdr:blipFill>
      <xdr:spPr>
        <a:xfrm>
          <a:off x="0" y="393700"/>
          <a:ext cx="7734300" cy="9842500"/>
        </a:xfrm>
        <a:prstGeom prst="rect">
          <a:avLst/>
        </a:prstGeom>
        <a:solidFill>
          <a:schemeClr val="bg1"/>
        </a:solid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jmd4525_ads_northwestern_edu/Documents/Jenna%20Jennifer%20Shared%20Folder/US%20and%20FTC%20Critical%20Metals/US_FTC_CriticalMetals_Calcs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 Forecast"/>
      <sheetName val="Production + Imports"/>
      <sheetName val="Market Value Prices"/>
      <sheetName val="Battery Stats"/>
      <sheetName val="Calculations - Mass (BEV)"/>
      <sheetName val="Calculations - Mass (PHEV)"/>
      <sheetName val="Calculations - Market Value"/>
      <sheetName val="Supporting Information"/>
      <sheetName val="(OLD) Calculations - Mass"/>
      <sheetName val="(OLD 2) Calculations - Mas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4"/>
  <sheetViews>
    <sheetView topLeftCell="A117" zoomScale="150" zoomScaleNormal="150" workbookViewId="0">
      <selection activeCell="B139" sqref="B139"/>
    </sheetView>
  </sheetViews>
  <sheetFormatPr defaultColWidth="8.85546875" defaultRowHeight="15"/>
  <cols>
    <col min="1" max="1" width="12.140625" bestFit="1" customWidth="1"/>
    <col min="2" max="2" width="82" bestFit="1" customWidth="1"/>
    <col min="3" max="3" width="33" customWidth="1"/>
  </cols>
  <sheetData>
    <row r="1" spans="1:3" ht="15.95" thickBot="1"/>
    <row r="2" spans="1:3" ht="15" customHeight="1">
      <c r="A2" s="193" t="s">
        <v>0</v>
      </c>
      <c r="B2" s="194"/>
      <c r="C2" s="159"/>
    </row>
    <row r="3" spans="1:3" ht="17.100000000000001">
      <c r="A3" s="195" t="s">
        <v>1</v>
      </c>
      <c r="B3" s="196"/>
    </row>
    <row r="4" spans="1:3" ht="15" customHeight="1">
      <c r="A4" s="197" t="s">
        <v>2</v>
      </c>
      <c r="B4" s="198"/>
    </row>
    <row r="5" spans="1:3">
      <c r="A5" s="199" t="s">
        <v>3</v>
      </c>
      <c r="B5" s="200"/>
    </row>
    <row r="6" spans="1:3" ht="15.95" thickBot="1">
      <c r="A6" s="201" t="s">
        <v>4</v>
      </c>
      <c r="B6" s="202"/>
    </row>
    <row r="9" spans="1:3" ht="15.95" thickBot="1">
      <c r="A9" s="5" t="s">
        <v>5</v>
      </c>
    </row>
    <row r="10" spans="1:3" ht="15.95" thickBot="1">
      <c r="A10" s="190" t="s">
        <v>6</v>
      </c>
      <c r="B10" s="191"/>
    </row>
    <row r="11" spans="1:3">
      <c r="A11" s="74"/>
      <c r="B11" s="152" t="s">
        <v>7</v>
      </c>
    </row>
    <row r="12" spans="1:3">
      <c r="A12" s="150" t="s">
        <v>8</v>
      </c>
      <c r="B12" s="153" t="s">
        <v>9</v>
      </c>
    </row>
    <row r="13" spans="1:3">
      <c r="A13" s="150" t="s">
        <v>10</v>
      </c>
      <c r="B13" s="153" t="s">
        <v>11</v>
      </c>
    </row>
    <row r="14" spans="1:3">
      <c r="A14" s="150" t="s">
        <v>12</v>
      </c>
      <c r="B14" s="153" t="s">
        <v>13</v>
      </c>
    </row>
    <row r="15" spans="1:3">
      <c r="A15" s="150" t="s">
        <v>14</v>
      </c>
      <c r="B15" s="153" t="s">
        <v>15</v>
      </c>
    </row>
    <row r="16" spans="1:3" ht="48">
      <c r="A16" s="150" t="s">
        <v>16</v>
      </c>
      <c r="B16" s="154" t="s">
        <v>17</v>
      </c>
    </row>
    <row r="17" spans="1:3" ht="80.099999999999994">
      <c r="A17" s="151" t="s">
        <v>18</v>
      </c>
      <c r="B17" s="155" t="s">
        <v>19</v>
      </c>
    </row>
    <row r="20" spans="1:3" ht="15.95" thickBot="1">
      <c r="A20" s="5" t="s">
        <v>20</v>
      </c>
    </row>
    <row r="21" spans="1:3" ht="15.95" thickBot="1">
      <c r="A21" s="190" t="s">
        <v>21</v>
      </c>
      <c r="B21" s="191"/>
    </row>
    <row r="22" spans="1:3">
      <c r="A22" s="74" t="s">
        <v>22</v>
      </c>
      <c r="B22" s="75" t="s">
        <v>23</v>
      </c>
    </row>
    <row r="23" spans="1:3">
      <c r="A23" s="74" t="s">
        <v>24</v>
      </c>
      <c r="B23" s="75" t="s">
        <v>25</v>
      </c>
    </row>
    <row r="24" spans="1:3">
      <c r="A24" s="74" t="s">
        <v>26</v>
      </c>
      <c r="B24" s="75" t="s">
        <v>27</v>
      </c>
    </row>
    <row r="25" spans="1:3">
      <c r="A25" s="74" t="s">
        <v>28</v>
      </c>
      <c r="B25" s="75" t="s">
        <v>29</v>
      </c>
    </row>
    <row r="26" spans="1:3">
      <c r="A26" s="74" t="s">
        <v>30</v>
      </c>
      <c r="B26" s="75" t="s">
        <v>31</v>
      </c>
    </row>
    <row r="27" spans="1:3">
      <c r="A27" s="74" t="s">
        <v>32</v>
      </c>
      <c r="B27" s="75" t="s">
        <v>33</v>
      </c>
    </row>
    <row r="28" spans="1:3" ht="15.95" thickBot="1">
      <c r="A28" s="76" t="s">
        <v>34</v>
      </c>
      <c r="B28" s="77" t="s">
        <v>35</v>
      </c>
    </row>
    <row r="30" spans="1:3" ht="15.95" thickBot="1">
      <c r="A30" s="5" t="s">
        <v>36</v>
      </c>
    </row>
    <row r="31" spans="1:3" ht="15.95" thickBot="1">
      <c r="A31" s="190" t="s">
        <v>37</v>
      </c>
      <c r="B31" s="192"/>
      <c r="C31" s="191"/>
    </row>
    <row r="32" spans="1:3" ht="15.95" thickBot="1">
      <c r="A32" s="103" t="s">
        <v>38</v>
      </c>
      <c r="B32" s="101" t="s">
        <v>39</v>
      </c>
      <c r="C32" s="102" t="s">
        <v>40</v>
      </c>
    </row>
    <row r="33" spans="1:3">
      <c r="A33" s="181" t="s">
        <v>41</v>
      </c>
      <c r="B33" s="90" t="s">
        <v>42</v>
      </c>
      <c r="C33" s="91" t="s">
        <v>43</v>
      </c>
    </row>
    <row r="34" spans="1:3">
      <c r="A34" s="74" t="s">
        <v>44</v>
      </c>
      <c r="B34" t="s">
        <v>45</v>
      </c>
      <c r="C34" s="75" t="s">
        <v>43</v>
      </c>
    </row>
    <row r="35" spans="1:3">
      <c r="A35" s="182" t="s">
        <v>46</v>
      </c>
      <c r="B35" s="157" t="s">
        <v>37</v>
      </c>
      <c r="C35" s="183" t="s">
        <v>43</v>
      </c>
    </row>
    <row r="36" spans="1:3">
      <c r="A36" s="184" t="s">
        <v>47</v>
      </c>
      <c r="B36" s="158" t="s">
        <v>48</v>
      </c>
      <c r="C36" s="185" t="s">
        <v>49</v>
      </c>
    </row>
    <row r="37" spans="1:3">
      <c r="A37" s="186" t="s">
        <v>50</v>
      </c>
      <c r="B37" s="156" t="s">
        <v>51</v>
      </c>
      <c r="C37" s="187" t="s">
        <v>52</v>
      </c>
    </row>
    <row r="38" spans="1:3">
      <c r="A38" s="74" t="s">
        <v>53</v>
      </c>
      <c r="B38" t="s">
        <v>54</v>
      </c>
      <c r="C38" s="75" t="s">
        <v>52</v>
      </c>
    </row>
    <row r="39" spans="1:3">
      <c r="A39" s="74" t="s">
        <v>55</v>
      </c>
      <c r="B39" t="s">
        <v>56</v>
      </c>
      <c r="C39" s="75" t="s">
        <v>52</v>
      </c>
    </row>
    <row r="40" spans="1:3">
      <c r="A40" s="74" t="s">
        <v>57</v>
      </c>
      <c r="B40" t="s">
        <v>58</v>
      </c>
      <c r="C40" s="75" t="s">
        <v>52</v>
      </c>
    </row>
    <row r="41" spans="1:3">
      <c r="A41" s="74" t="s">
        <v>59</v>
      </c>
      <c r="B41" t="s">
        <v>60</v>
      </c>
      <c r="C41" s="75" t="s">
        <v>52</v>
      </c>
    </row>
    <row r="42" spans="1:3">
      <c r="A42" s="74" t="s">
        <v>61</v>
      </c>
      <c r="B42" t="s">
        <v>62</v>
      </c>
      <c r="C42" s="75" t="s">
        <v>52</v>
      </c>
    </row>
    <row r="43" spans="1:3">
      <c r="A43" s="74" t="s">
        <v>63</v>
      </c>
      <c r="B43" t="s">
        <v>64</v>
      </c>
      <c r="C43" s="75" t="s">
        <v>52</v>
      </c>
    </row>
    <row r="44" spans="1:3">
      <c r="A44" s="182" t="s">
        <v>65</v>
      </c>
      <c r="B44" s="157" t="s">
        <v>66</v>
      </c>
      <c r="C44" s="183" t="s">
        <v>52</v>
      </c>
    </row>
    <row r="45" spans="1:3">
      <c r="A45" s="186" t="s">
        <v>67</v>
      </c>
      <c r="B45" s="156" t="s">
        <v>51</v>
      </c>
      <c r="C45" s="187" t="s">
        <v>68</v>
      </c>
    </row>
    <row r="46" spans="1:3">
      <c r="A46" s="74" t="s">
        <v>69</v>
      </c>
      <c r="B46" t="s">
        <v>54</v>
      </c>
      <c r="C46" s="75" t="s">
        <v>68</v>
      </c>
    </row>
    <row r="47" spans="1:3">
      <c r="A47" s="74" t="s">
        <v>70</v>
      </c>
      <c r="B47" t="s">
        <v>56</v>
      </c>
      <c r="C47" s="75" t="s">
        <v>68</v>
      </c>
    </row>
    <row r="48" spans="1:3">
      <c r="A48" s="74" t="s">
        <v>71</v>
      </c>
      <c r="B48" t="s">
        <v>58</v>
      </c>
      <c r="C48" s="75" t="s">
        <v>68</v>
      </c>
    </row>
    <row r="49" spans="1:3">
      <c r="A49" s="74" t="s">
        <v>72</v>
      </c>
      <c r="B49" t="s">
        <v>60</v>
      </c>
      <c r="C49" s="75" t="s">
        <v>68</v>
      </c>
    </row>
    <row r="50" spans="1:3">
      <c r="A50" s="74" t="s">
        <v>73</v>
      </c>
      <c r="B50" t="s">
        <v>62</v>
      </c>
      <c r="C50" s="75" t="s">
        <v>68</v>
      </c>
    </row>
    <row r="51" spans="1:3">
      <c r="A51" s="74" t="s">
        <v>74</v>
      </c>
      <c r="B51" t="s">
        <v>64</v>
      </c>
      <c r="C51" s="75" t="s">
        <v>68</v>
      </c>
    </row>
    <row r="52" spans="1:3">
      <c r="A52" s="182" t="s">
        <v>75</v>
      </c>
      <c r="B52" s="157" t="s">
        <v>66</v>
      </c>
      <c r="C52" s="183" t="s">
        <v>68</v>
      </c>
    </row>
    <row r="53" spans="1:3">
      <c r="A53" s="186" t="s">
        <v>76</v>
      </c>
      <c r="B53" s="156" t="s">
        <v>77</v>
      </c>
      <c r="C53" s="187" t="s">
        <v>78</v>
      </c>
    </row>
    <row r="54" spans="1:3">
      <c r="A54" s="74" t="s">
        <v>79</v>
      </c>
      <c r="B54" t="s">
        <v>80</v>
      </c>
      <c r="C54" s="75" t="s">
        <v>78</v>
      </c>
    </row>
    <row r="55" spans="1:3">
      <c r="A55" s="74" t="s">
        <v>81</v>
      </c>
      <c r="B55" t="s">
        <v>82</v>
      </c>
      <c r="C55" s="75" t="s">
        <v>78</v>
      </c>
    </row>
    <row r="56" spans="1:3">
      <c r="A56" s="74" t="s">
        <v>83</v>
      </c>
      <c r="B56" t="s">
        <v>84</v>
      </c>
      <c r="C56" s="75" t="s">
        <v>78</v>
      </c>
    </row>
    <row r="57" spans="1:3">
      <c r="A57" s="74" t="s">
        <v>85</v>
      </c>
      <c r="B57" t="s">
        <v>86</v>
      </c>
      <c r="C57" s="75" t="s">
        <v>78</v>
      </c>
    </row>
    <row r="58" spans="1:3">
      <c r="A58" s="182" t="s">
        <v>87</v>
      </c>
      <c r="B58" s="157" t="s">
        <v>88</v>
      </c>
      <c r="C58" s="183" t="s">
        <v>78</v>
      </c>
    </row>
    <row r="59" spans="1:3">
      <c r="A59" s="184" t="s">
        <v>89</v>
      </c>
      <c r="B59" s="158" t="s">
        <v>90</v>
      </c>
      <c r="C59" s="185" t="s">
        <v>91</v>
      </c>
    </row>
    <row r="60" spans="1:3">
      <c r="A60" s="186" t="s">
        <v>92</v>
      </c>
      <c r="B60" s="156" t="s">
        <v>93</v>
      </c>
      <c r="C60" s="187" t="s">
        <v>94</v>
      </c>
    </row>
    <row r="61" spans="1:3">
      <c r="A61" s="74" t="s">
        <v>95</v>
      </c>
      <c r="B61" t="s">
        <v>96</v>
      </c>
      <c r="C61" s="75" t="s">
        <v>94</v>
      </c>
    </row>
    <row r="62" spans="1:3">
      <c r="A62" s="74" t="s">
        <v>97</v>
      </c>
      <c r="B62" t="s">
        <v>98</v>
      </c>
      <c r="C62" s="75" t="s">
        <v>94</v>
      </c>
    </row>
    <row r="63" spans="1:3">
      <c r="A63" s="74" t="s">
        <v>99</v>
      </c>
      <c r="B63" t="s">
        <v>100</v>
      </c>
      <c r="C63" s="75" t="s">
        <v>94</v>
      </c>
    </row>
    <row r="64" spans="1:3">
      <c r="A64" s="74" t="s">
        <v>101</v>
      </c>
      <c r="B64" t="s">
        <v>102</v>
      </c>
      <c r="C64" s="75" t="s">
        <v>94</v>
      </c>
    </row>
    <row r="65" spans="1:3">
      <c r="A65" s="74" t="s">
        <v>103</v>
      </c>
      <c r="B65" t="s">
        <v>104</v>
      </c>
      <c r="C65" s="75" t="s">
        <v>94</v>
      </c>
    </row>
    <row r="66" spans="1:3">
      <c r="A66" s="74" t="s">
        <v>105</v>
      </c>
      <c r="B66" t="s">
        <v>106</v>
      </c>
      <c r="C66" s="75" t="s">
        <v>94</v>
      </c>
    </row>
    <row r="67" spans="1:3">
      <c r="A67" s="74" t="s">
        <v>107</v>
      </c>
      <c r="B67" t="s">
        <v>108</v>
      </c>
      <c r="C67" s="75" t="s">
        <v>94</v>
      </c>
    </row>
    <row r="68" spans="1:3">
      <c r="A68" s="182" t="s">
        <v>109</v>
      </c>
      <c r="B68" s="157" t="s">
        <v>110</v>
      </c>
      <c r="C68" s="188" t="s">
        <v>94</v>
      </c>
    </row>
    <row r="69" spans="1:3">
      <c r="A69" s="186" t="s">
        <v>111</v>
      </c>
      <c r="B69" s="156" t="s">
        <v>112</v>
      </c>
      <c r="C69" s="75" t="s">
        <v>113</v>
      </c>
    </row>
    <row r="70" spans="1:3">
      <c r="A70" s="74" t="s">
        <v>114</v>
      </c>
      <c r="B70" t="s">
        <v>115</v>
      </c>
      <c r="C70" s="75" t="s">
        <v>113</v>
      </c>
    </row>
    <row r="71" spans="1:3">
      <c r="A71" s="74" t="s">
        <v>116</v>
      </c>
      <c r="B71" t="s">
        <v>117</v>
      </c>
      <c r="C71" s="75" t="s">
        <v>113</v>
      </c>
    </row>
    <row r="72" spans="1:3">
      <c r="A72" s="74" t="s">
        <v>118</v>
      </c>
      <c r="B72" t="s">
        <v>119</v>
      </c>
      <c r="C72" s="75" t="s">
        <v>113</v>
      </c>
    </row>
    <row r="73" spans="1:3">
      <c r="A73" s="74" t="s">
        <v>120</v>
      </c>
      <c r="B73" t="s">
        <v>121</v>
      </c>
      <c r="C73" s="75" t="s">
        <v>113</v>
      </c>
    </row>
    <row r="74" spans="1:3">
      <c r="A74" s="74" t="s">
        <v>122</v>
      </c>
      <c r="B74" t="s">
        <v>123</v>
      </c>
      <c r="C74" s="75" t="s">
        <v>113</v>
      </c>
    </row>
    <row r="75" spans="1:3">
      <c r="A75" s="74" t="s">
        <v>124</v>
      </c>
      <c r="B75" t="s">
        <v>125</v>
      </c>
      <c r="C75" s="75" t="s">
        <v>113</v>
      </c>
    </row>
    <row r="76" spans="1:3">
      <c r="A76" s="74" t="s">
        <v>126</v>
      </c>
      <c r="B76" t="s">
        <v>127</v>
      </c>
      <c r="C76" s="75" t="s">
        <v>113</v>
      </c>
    </row>
    <row r="77" spans="1:3">
      <c r="A77" s="74" t="s">
        <v>128</v>
      </c>
      <c r="B77" t="s">
        <v>129</v>
      </c>
      <c r="C77" s="75" t="s">
        <v>113</v>
      </c>
    </row>
    <row r="78" spans="1:3">
      <c r="A78" s="74" t="s">
        <v>130</v>
      </c>
      <c r="B78" t="s">
        <v>131</v>
      </c>
      <c r="C78" s="75" t="s">
        <v>113</v>
      </c>
    </row>
    <row r="79" spans="1:3">
      <c r="A79" s="74" t="s">
        <v>132</v>
      </c>
      <c r="B79" t="s">
        <v>133</v>
      </c>
      <c r="C79" s="75" t="s">
        <v>113</v>
      </c>
    </row>
    <row r="80" spans="1:3">
      <c r="A80" s="74" t="s">
        <v>134</v>
      </c>
      <c r="B80" t="s">
        <v>135</v>
      </c>
      <c r="C80" s="75" t="s">
        <v>113</v>
      </c>
    </row>
    <row r="81" spans="1:3">
      <c r="A81" s="74" t="s">
        <v>136</v>
      </c>
      <c r="B81" t="s">
        <v>137</v>
      </c>
      <c r="C81" s="75" t="s">
        <v>113</v>
      </c>
    </row>
    <row r="82" spans="1:3">
      <c r="A82" s="74" t="s">
        <v>138</v>
      </c>
      <c r="B82" t="s">
        <v>139</v>
      </c>
      <c r="C82" s="75" t="s">
        <v>113</v>
      </c>
    </row>
    <row r="83" spans="1:3">
      <c r="A83" s="74" t="s">
        <v>140</v>
      </c>
      <c r="B83" t="s">
        <v>141</v>
      </c>
      <c r="C83" s="75" t="s">
        <v>113</v>
      </c>
    </row>
    <row r="84" spans="1:3">
      <c r="A84" s="182" t="s">
        <v>142</v>
      </c>
      <c r="B84" s="157" t="s">
        <v>143</v>
      </c>
      <c r="C84" s="188" t="s">
        <v>113</v>
      </c>
    </row>
    <row r="85" spans="1:3">
      <c r="A85" s="186" t="s">
        <v>144</v>
      </c>
      <c r="B85" s="156" t="s">
        <v>145</v>
      </c>
      <c r="C85" s="75" t="s">
        <v>146</v>
      </c>
    </row>
    <row r="86" spans="1:3">
      <c r="A86" s="74" t="s">
        <v>147</v>
      </c>
      <c r="B86" t="s">
        <v>148</v>
      </c>
      <c r="C86" s="75" t="s">
        <v>146</v>
      </c>
    </row>
    <row r="87" spans="1:3">
      <c r="A87" s="74" t="s">
        <v>149</v>
      </c>
      <c r="B87" t="s">
        <v>150</v>
      </c>
      <c r="C87" s="75" t="s">
        <v>146</v>
      </c>
    </row>
    <row r="88" spans="1:3">
      <c r="A88" s="74" t="s">
        <v>151</v>
      </c>
      <c r="B88" t="s">
        <v>152</v>
      </c>
      <c r="C88" s="75" t="s">
        <v>146</v>
      </c>
    </row>
    <row r="89" spans="1:3">
      <c r="A89" s="74" t="s">
        <v>153</v>
      </c>
      <c r="B89" t="s">
        <v>154</v>
      </c>
      <c r="C89" s="75" t="s">
        <v>146</v>
      </c>
    </row>
    <row r="90" spans="1:3">
      <c r="A90" s="74" t="s">
        <v>155</v>
      </c>
      <c r="B90" t="s">
        <v>156</v>
      </c>
      <c r="C90" s="75" t="s">
        <v>146</v>
      </c>
    </row>
    <row r="91" spans="1:3">
      <c r="A91" s="74" t="s">
        <v>157</v>
      </c>
      <c r="B91" t="s">
        <v>158</v>
      </c>
      <c r="C91" s="75" t="s">
        <v>146</v>
      </c>
    </row>
    <row r="92" spans="1:3">
      <c r="A92" s="74" t="s">
        <v>159</v>
      </c>
      <c r="B92" t="s">
        <v>160</v>
      </c>
      <c r="C92" s="75" t="s">
        <v>146</v>
      </c>
    </row>
    <row r="93" spans="1:3">
      <c r="A93" s="182" t="s">
        <v>161</v>
      </c>
      <c r="B93" s="157" t="s">
        <v>162</v>
      </c>
      <c r="C93" s="188" t="s">
        <v>146</v>
      </c>
    </row>
    <row r="94" spans="1:3">
      <c r="A94" s="186" t="s">
        <v>163</v>
      </c>
      <c r="B94" s="156" t="s">
        <v>164</v>
      </c>
      <c r="C94" s="75" t="s">
        <v>165</v>
      </c>
    </row>
    <row r="95" spans="1:3">
      <c r="A95" s="74" t="s">
        <v>166</v>
      </c>
      <c r="B95" t="s">
        <v>167</v>
      </c>
      <c r="C95" s="75" t="s">
        <v>165</v>
      </c>
    </row>
    <row r="96" spans="1:3">
      <c r="A96" s="74" t="s">
        <v>168</v>
      </c>
      <c r="B96" t="s">
        <v>169</v>
      </c>
      <c r="C96" s="75" t="s">
        <v>165</v>
      </c>
    </row>
    <row r="97" spans="1:3">
      <c r="A97" s="74" t="s">
        <v>170</v>
      </c>
      <c r="B97" t="s">
        <v>171</v>
      </c>
      <c r="C97" s="75" t="s">
        <v>165</v>
      </c>
    </row>
    <row r="98" spans="1:3">
      <c r="A98" s="74" t="s">
        <v>172</v>
      </c>
      <c r="B98" t="s">
        <v>173</v>
      </c>
      <c r="C98" s="75" t="s">
        <v>165</v>
      </c>
    </row>
    <row r="99" spans="1:3">
      <c r="A99" s="74" t="s">
        <v>174</v>
      </c>
      <c r="B99" t="s">
        <v>175</v>
      </c>
      <c r="C99" s="75" t="s">
        <v>165</v>
      </c>
    </row>
    <row r="100" spans="1:3">
      <c r="A100" s="74" t="s">
        <v>176</v>
      </c>
      <c r="B100" t="s">
        <v>177</v>
      </c>
      <c r="C100" s="75" t="s">
        <v>165</v>
      </c>
    </row>
    <row r="101" spans="1:3">
      <c r="A101" s="74" t="s">
        <v>178</v>
      </c>
      <c r="B101" t="s">
        <v>179</v>
      </c>
      <c r="C101" s="75" t="s">
        <v>165</v>
      </c>
    </row>
    <row r="102" spans="1:3">
      <c r="A102" s="182" t="s">
        <v>180</v>
      </c>
      <c r="B102" s="157" t="s">
        <v>181</v>
      </c>
      <c r="C102" s="183" t="s">
        <v>165</v>
      </c>
    </row>
    <row r="103" spans="1:3">
      <c r="A103" s="186" t="s">
        <v>182</v>
      </c>
      <c r="B103" s="156" t="s">
        <v>183</v>
      </c>
      <c r="C103" s="75" t="s">
        <v>184</v>
      </c>
    </row>
    <row r="104" spans="1:3">
      <c r="A104" s="74" t="s">
        <v>185</v>
      </c>
      <c r="B104" t="s">
        <v>167</v>
      </c>
      <c r="C104" s="75" t="s">
        <v>184</v>
      </c>
    </row>
    <row r="105" spans="1:3">
      <c r="A105" s="74" t="s">
        <v>186</v>
      </c>
      <c r="B105" t="s">
        <v>187</v>
      </c>
      <c r="C105" s="75" t="s">
        <v>184</v>
      </c>
    </row>
    <row r="106" spans="1:3">
      <c r="A106" s="74" t="s">
        <v>188</v>
      </c>
      <c r="B106" t="s">
        <v>189</v>
      </c>
      <c r="C106" s="75" t="s">
        <v>184</v>
      </c>
    </row>
    <row r="107" spans="1:3">
      <c r="A107" s="74" t="s">
        <v>190</v>
      </c>
      <c r="B107" t="s">
        <v>191</v>
      </c>
      <c r="C107" s="75" t="s">
        <v>184</v>
      </c>
    </row>
    <row r="108" spans="1:3">
      <c r="A108" s="74" t="s">
        <v>192</v>
      </c>
      <c r="B108" t="s">
        <v>175</v>
      </c>
      <c r="C108" s="75" t="s">
        <v>184</v>
      </c>
    </row>
    <row r="109" spans="1:3">
      <c r="A109" s="74" t="s">
        <v>193</v>
      </c>
      <c r="B109" t="s">
        <v>177</v>
      </c>
      <c r="C109" s="75" t="s">
        <v>184</v>
      </c>
    </row>
    <row r="110" spans="1:3">
      <c r="A110" s="74" t="s">
        <v>194</v>
      </c>
      <c r="B110" t="s">
        <v>179</v>
      </c>
      <c r="C110" s="75" t="s">
        <v>184</v>
      </c>
    </row>
    <row r="111" spans="1:3">
      <c r="A111" s="182" t="s">
        <v>195</v>
      </c>
      <c r="B111" s="157" t="s">
        <v>181</v>
      </c>
      <c r="C111" s="183" t="s">
        <v>184</v>
      </c>
    </row>
    <row r="112" spans="1:3">
      <c r="A112" s="186" t="s">
        <v>196</v>
      </c>
      <c r="B112" s="156" t="s">
        <v>164</v>
      </c>
      <c r="C112" s="187" t="s">
        <v>197</v>
      </c>
    </row>
    <row r="113" spans="1:3">
      <c r="A113" s="74" t="s">
        <v>198</v>
      </c>
      <c r="B113" t="s">
        <v>167</v>
      </c>
      <c r="C113" s="75" t="s">
        <v>197</v>
      </c>
    </row>
    <row r="114" spans="1:3">
      <c r="A114" s="74" t="s">
        <v>199</v>
      </c>
      <c r="B114" t="s">
        <v>200</v>
      </c>
      <c r="C114" s="75" t="s">
        <v>197</v>
      </c>
    </row>
    <row r="115" spans="1:3">
      <c r="A115" s="74" t="s">
        <v>201</v>
      </c>
      <c r="B115" t="s">
        <v>202</v>
      </c>
      <c r="C115" s="75" t="s">
        <v>197</v>
      </c>
    </row>
    <row r="116" spans="1:3">
      <c r="A116" s="74" t="s">
        <v>203</v>
      </c>
      <c r="B116" t="s">
        <v>204</v>
      </c>
      <c r="C116" s="75" t="s">
        <v>197</v>
      </c>
    </row>
    <row r="117" spans="1:3">
      <c r="A117" s="74" t="s">
        <v>205</v>
      </c>
      <c r="B117" t="s">
        <v>206</v>
      </c>
      <c r="C117" s="75" t="s">
        <v>197</v>
      </c>
    </row>
    <row r="118" spans="1:3">
      <c r="A118" s="74" t="s">
        <v>207</v>
      </c>
      <c r="B118" t="s">
        <v>208</v>
      </c>
      <c r="C118" s="75" t="s">
        <v>197</v>
      </c>
    </row>
    <row r="119" spans="1:3">
      <c r="A119" s="74" t="s">
        <v>209</v>
      </c>
      <c r="B119" t="s">
        <v>210</v>
      </c>
      <c r="C119" s="75"/>
    </row>
    <row r="120" spans="1:3">
      <c r="A120" s="74" t="s">
        <v>211</v>
      </c>
      <c r="B120" t="s">
        <v>212</v>
      </c>
      <c r="C120" s="75" t="s">
        <v>197</v>
      </c>
    </row>
    <row r="121" spans="1:3">
      <c r="A121" s="74" t="s">
        <v>213</v>
      </c>
      <c r="B121" t="s">
        <v>214</v>
      </c>
      <c r="C121" s="75" t="s">
        <v>197</v>
      </c>
    </row>
    <row r="122" spans="1:3">
      <c r="A122" s="182" t="s">
        <v>215</v>
      </c>
      <c r="B122" s="157" t="s">
        <v>181</v>
      </c>
      <c r="C122" s="183" t="s">
        <v>197</v>
      </c>
    </row>
    <row r="123" spans="1:3">
      <c r="A123" s="74" t="s">
        <v>216</v>
      </c>
      <c r="B123" s="156" t="s">
        <v>183</v>
      </c>
      <c r="C123" s="75" t="s">
        <v>217</v>
      </c>
    </row>
    <row r="124" spans="1:3">
      <c r="A124" s="74" t="s">
        <v>218</v>
      </c>
      <c r="B124" t="s">
        <v>167</v>
      </c>
      <c r="C124" s="75" t="s">
        <v>217</v>
      </c>
    </row>
    <row r="125" spans="1:3">
      <c r="A125" s="74" t="s">
        <v>219</v>
      </c>
      <c r="B125" t="s">
        <v>200</v>
      </c>
      <c r="C125" s="75" t="s">
        <v>217</v>
      </c>
    </row>
    <row r="126" spans="1:3">
      <c r="A126" s="74" t="s">
        <v>220</v>
      </c>
      <c r="B126" t="s">
        <v>202</v>
      </c>
      <c r="C126" s="75" t="s">
        <v>217</v>
      </c>
    </row>
    <row r="127" spans="1:3">
      <c r="A127" s="74" t="s">
        <v>221</v>
      </c>
      <c r="B127" t="s">
        <v>222</v>
      </c>
      <c r="C127" s="75" t="s">
        <v>217</v>
      </c>
    </row>
    <row r="128" spans="1:3">
      <c r="A128" s="74" t="s">
        <v>223</v>
      </c>
      <c r="B128" t="s">
        <v>206</v>
      </c>
      <c r="C128" s="75" t="s">
        <v>217</v>
      </c>
    </row>
    <row r="129" spans="1:3">
      <c r="A129" s="74" t="s">
        <v>224</v>
      </c>
      <c r="B129" t="s">
        <v>208</v>
      </c>
      <c r="C129" s="75" t="s">
        <v>217</v>
      </c>
    </row>
    <row r="130" spans="1:3">
      <c r="A130" s="74" t="s">
        <v>225</v>
      </c>
      <c r="B130" t="s">
        <v>210</v>
      </c>
      <c r="C130" s="75" t="s">
        <v>217</v>
      </c>
    </row>
    <row r="131" spans="1:3">
      <c r="A131" s="74" t="s">
        <v>226</v>
      </c>
      <c r="B131" t="s">
        <v>212</v>
      </c>
      <c r="C131" s="75" t="s">
        <v>217</v>
      </c>
    </row>
    <row r="132" spans="1:3">
      <c r="A132" s="74" t="s">
        <v>227</v>
      </c>
      <c r="B132" t="s">
        <v>228</v>
      </c>
      <c r="C132" s="75" t="s">
        <v>217</v>
      </c>
    </row>
    <row r="133" spans="1:3">
      <c r="A133" s="182" t="s">
        <v>229</v>
      </c>
      <c r="B133" s="157" t="s">
        <v>181</v>
      </c>
      <c r="C133" s="183" t="s">
        <v>217</v>
      </c>
    </row>
    <row r="134" spans="1:3" ht="15.95" thickBot="1">
      <c r="A134" s="76" t="s">
        <v>230</v>
      </c>
      <c r="B134" s="7" t="s">
        <v>231</v>
      </c>
      <c r="C134" s="77" t="s">
        <v>232</v>
      </c>
    </row>
  </sheetData>
  <mergeCells count="8">
    <mergeCell ref="A10:B10"/>
    <mergeCell ref="A21:B21"/>
    <mergeCell ref="A31:C31"/>
    <mergeCell ref="A2:B2"/>
    <mergeCell ref="A3:B3"/>
    <mergeCell ref="A4:B4"/>
    <mergeCell ref="A5:B5"/>
    <mergeCell ref="A6: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40A2A-61D1-8C4B-A2C7-C17E62D6982F}">
  <dimension ref="A1:I5"/>
  <sheetViews>
    <sheetView zoomScale="150" zoomScaleNormal="150" workbookViewId="0">
      <selection activeCell="G22" sqref="G22"/>
    </sheetView>
  </sheetViews>
  <sheetFormatPr defaultColWidth="11.42578125" defaultRowHeight="15"/>
  <sheetData>
    <row r="1" spans="1:9" ht="15.95" thickBot="1">
      <c r="A1" s="5" t="s">
        <v>233</v>
      </c>
    </row>
    <row r="2" spans="1:9" ht="15.95" thickBot="1">
      <c r="A2" s="203" t="s">
        <v>48</v>
      </c>
      <c r="B2" s="204"/>
      <c r="C2" s="204"/>
      <c r="D2" s="204"/>
      <c r="E2" s="205"/>
      <c r="G2" s="5" t="s">
        <v>234</v>
      </c>
      <c r="H2" s="5"/>
      <c r="I2" s="5"/>
    </row>
    <row r="3" spans="1:9">
      <c r="A3" s="72" t="s">
        <v>235</v>
      </c>
      <c r="B3" s="103" t="s">
        <v>22</v>
      </c>
      <c r="C3" s="102" t="s">
        <v>236</v>
      </c>
      <c r="D3" s="5" t="s">
        <v>34</v>
      </c>
      <c r="E3" s="73" t="s">
        <v>236</v>
      </c>
      <c r="G3" t="s">
        <v>237</v>
      </c>
    </row>
    <row r="4" spans="1:9">
      <c r="A4" s="74" t="s">
        <v>238</v>
      </c>
      <c r="B4" s="74">
        <v>1000000</v>
      </c>
      <c r="C4" s="75"/>
      <c r="D4">
        <f>500*1000</f>
        <v>500000</v>
      </c>
      <c r="E4" s="75">
        <v>1</v>
      </c>
    </row>
    <row r="5" spans="1:9" ht="15.95" thickBot="1">
      <c r="A5" s="76" t="s">
        <v>239</v>
      </c>
      <c r="B5" s="76">
        <v>2000000</v>
      </c>
      <c r="C5" s="77"/>
      <c r="D5" s="7">
        <f>1500000</f>
        <v>1500000</v>
      </c>
      <c r="E5" s="77">
        <v>1</v>
      </c>
    </row>
  </sheetData>
  <mergeCells count="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EC15E-EC37-DC4F-9C23-2668E5E00A3C}">
  <dimension ref="A1:G164"/>
  <sheetViews>
    <sheetView topLeftCell="A149" zoomScale="150" zoomScaleNormal="150" workbookViewId="0">
      <selection activeCell="H161" sqref="H161"/>
    </sheetView>
  </sheetViews>
  <sheetFormatPr defaultColWidth="11.42578125" defaultRowHeight="15"/>
  <cols>
    <col min="1" max="1" width="18" customWidth="1"/>
    <col min="2" max="2" width="11.7109375" bestFit="1" customWidth="1"/>
    <col min="3" max="3" width="17.28515625" customWidth="1"/>
    <col min="4" max="5" width="11.7109375" bestFit="1" customWidth="1"/>
    <col min="6" max="6" width="12.7109375" bestFit="1" customWidth="1"/>
    <col min="7" max="7" width="11.7109375" bestFit="1" customWidth="1"/>
  </cols>
  <sheetData>
    <row r="1" spans="1:7" ht="15.95" thickBot="1">
      <c r="A1" s="5" t="s">
        <v>240</v>
      </c>
    </row>
    <row r="2" spans="1:7" ht="18" thickBot="1">
      <c r="A2" s="190" t="s">
        <v>241</v>
      </c>
      <c r="B2" s="192"/>
      <c r="C2" s="192"/>
      <c r="D2" s="191"/>
      <c r="G2" s="5" t="s">
        <v>234</v>
      </c>
    </row>
    <row r="3" spans="1:7">
      <c r="A3" s="110" t="s">
        <v>242</v>
      </c>
      <c r="B3" s="1" t="s">
        <v>243</v>
      </c>
      <c r="C3" s="5" t="s">
        <v>244</v>
      </c>
      <c r="D3" s="73" t="s">
        <v>245</v>
      </c>
      <c r="G3" t="s">
        <v>246</v>
      </c>
    </row>
    <row r="4" spans="1:7">
      <c r="A4" s="109" t="s">
        <v>26</v>
      </c>
      <c r="B4" s="2">
        <v>1065</v>
      </c>
      <c r="C4" s="4">
        <f>B4/2.2</f>
        <v>484.09090909090907</v>
      </c>
      <c r="D4" s="87">
        <f>C4/1000</f>
        <v>0.48409090909090907</v>
      </c>
    </row>
    <row r="5" spans="1:7">
      <c r="A5" s="109" t="s">
        <v>28</v>
      </c>
      <c r="B5" s="2">
        <v>1005.6</v>
      </c>
      <c r="C5" s="4">
        <f t="shared" ref="C5:C10" si="0">B5/2.2</f>
        <v>457.09090909090907</v>
      </c>
      <c r="D5" s="87">
        <f t="shared" ref="D5:D10" si="1">C5/1000</f>
        <v>0.45709090909090905</v>
      </c>
    </row>
    <row r="6" spans="1:7">
      <c r="A6" s="109" t="s">
        <v>30</v>
      </c>
      <c r="B6" s="2">
        <v>739.1</v>
      </c>
      <c r="C6" s="4">
        <f t="shared" si="0"/>
        <v>335.95454545454544</v>
      </c>
      <c r="D6" s="87">
        <f t="shared" si="1"/>
        <v>0.33595454545454545</v>
      </c>
    </row>
    <row r="7" spans="1:7">
      <c r="A7" s="109" t="s">
        <v>247</v>
      </c>
      <c r="B7" s="2">
        <v>863.4</v>
      </c>
      <c r="C7" s="4">
        <f t="shared" si="0"/>
        <v>392.45454545454544</v>
      </c>
      <c r="D7" s="87">
        <f t="shared" si="1"/>
        <v>0.39245454545454544</v>
      </c>
    </row>
    <row r="8" spans="1:7">
      <c r="A8" s="109" t="s">
        <v>248</v>
      </c>
      <c r="B8" s="2">
        <v>825.2</v>
      </c>
      <c r="C8" s="4">
        <f t="shared" si="0"/>
        <v>375.09090909090907</v>
      </c>
      <c r="D8" s="87">
        <f t="shared" si="1"/>
        <v>0.37509090909090909</v>
      </c>
    </row>
    <row r="9" spans="1:7">
      <c r="A9" s="109" t="s">
        <v>249</v>
      </c>
      <c r="B9" s="2">
        <v>770.6</v>
      </c>
      <c r="C9" s="4">
        <f t="shared" si="0"/>
        <v>350.27272727272725</v>
      </c>
      <c r="D9" s="87">
        <f t="shared" si="1"/>
        <v>0.35027272727272724</v>
      </c>
    </row>
    <row r="10" spans="1:7" ht="15.95" thickBot="1">
      <c r="A10" s="130" t="s">
        <v>250</v>
      </c>
      <c r="B10" s="139">
        <v>748.1</v>
      </c>
      <c r="C10" s="84">
        <f t="shared" si="0"/>
        <v>340.0454545454545</v>
      </c>
      <c r="D10" s="88">
        <f t="shared" si="1"/>
        <v>0.34004545454545448</v>
      </c>
    </row>
    <row r="12" spans="1:7" ht="15.95" thickBot="1">
      <c r="A12" s="5" t="s">
        <v>251</v>
      </c>
    </row>
    <row r="13" spans="1:7" ht="18" thickBot="1">
      <c r="A13" s="190" t="s">
        <v>252</v>
      </c>
      <c r="B13" s="192"/>
      <c r="C13" s="192"/>
      <c r="D13" s="192"/>
      <c r="E13" s="191"/>
    </row>
    <row r="14" spans="1:7">
      <c r="A14" s="72" t="s">
        <v>242</v>
      </c>
      <c r="B14" s="5" t="s">
        <v>253</v>
      </c>
      <c r="C14" s="5" t="s">
        <v>254</v>
      </c>
      <c r="D14" s="5" t="s">
        <v>255</v>
      </c>
      <c r="E14" s="73"/>
    </row>
    <row r="15" spans="1:7">
      <c r="A15" s="74" t="s">
        <v>26</v>
      </c>
      <c r="B15">
        <v>0.36</v>
      </c>
      <c r="C15">
        <v>0.191</v>
      </c>
      <c r="D15">
        <v>0.17499999999999999</v>
      </c>
      <c r="E15" s="75"/>
    </row>
    <row r="16" spans="1:7">
      <c r="A16" s="74" t="s">
        <v>28</v>
      </c>
      <c r="B16">
        <v>0.435</v>
      </c>
      <c r="C16">
        <v>0.156</v>
      </c>
      <c r="D16">
        <v>0.16800000000000001</v>
      </c>
      <c r="E16" s="75"/>
    </row>
    <row r="17" spans="1:6">
      <c r="A17" s="74" t="s">
        <v>30</v>
      </c>
      <c r="B17">
        <v>0.34600000000000003</v>
      </c>
      <c r="C17">
        <v>0.23399999999999999</v>
      </c>
      <c r="D17">
        <v>0.18</v>
      </c>
      <c r="E17" s="75"/>
    </row>
    <row r="18" spans="1:6">
      <c r="A18" s="74" t="s">
        <v>247</v>
      </c>
      <c r="B18">
        <v>0.38200000000000001</v>
      </c>
      <c r="C18">
        <v>0.20199999999999999</v>
      </c>
      <c r="D18">
        <v>0.17300000000000001</v>
      </c>
      <c r="E18" s="75"/>
    </row>
    <row r="19" spans="1:6">
      <c r="A19" s="74" t="s">
        <v>248</v>
      </c>
      <c r="B19">
        <v>0.38600000000000001</v>
      </c>
      <c r="C19">
        <v>0.20600000000000002</v>
      </c>
      <c r="D19">
        <v>0.17300000000000001</v>
      </c>
      <c r="E19" s="75"/>
    </row>
    <row r="20" spans="1:6">
      <c r="A20" s="74" t="s">
        <v>249</v>
      </c>
      <c r="B20">
        <v>0.36099999999999999</v>
      </c>
      <c r="C20">
        <v>0.221</v>
      </c>
      <c r="D20">
        <v>0.17800000000000002</v>
      </c>
      <c r="E20" s="75"/>
    </row>
    <row r="21" spans="1:6" ht="15.95" thickBot="1">
      <c r="A21" s="76" t="s">
        <v>250</v>
      </c>
      <c r="B21" s="7">
        <v>0.315</v>
      </c>
      <c r="C21" s="7">
        <v>0.24399999999999999</v>
      </c>
      <c r="D21" s="7">
        <v>0.184</v>
      </c>
      <c r="E21" s="77"/>
    </row>
    <row r="23" spans="1:6" ht="15.95" thickBot="1">
      <c r="A23" s="5" t="s">
        <v>256</v>
      </c>
    </row>
    <row r="24" spans="1:6" ht="18" thickBot="1">
      <c r="A24" s="190" t="s">
        <v>257</v>
      </c>
      <c r="B24" s="192"/>
      <c r="C24" s="192"/>
      <c r="D24" s="192"/>
      <c r="E24" s="192"/>
      <c r="F24" s="191"/>
    </row>
    <row r="25" spans="1:6">
      <c r="A25" s="72" t="s">
        <v>242</v>
      </c>
      <c r="B25" s="5" t="s">
        <v>258</v>
      </c>
      <c r="C25" s="5" t="s">
        <v>259</v>
      </c>
      <c r="D25" s="5" t="s">
        <v>260</v>
      </c>
      <c r="E25" s="5" t="s">
        <v>261</v>
      </c>
      <c r="F25" s="75"/>
    </row>
    <row r="26" spans="1:6">
      <c r="A26" s="74" t="s">
        <v>26</v>
      </c>
      <c r="B26">
        <v>0.26800000000000002</v>
      </c>
      <c r="F26" s="75"/>
    </row>
    <row r="27" spans="1:6">
      <c r="A27" s="74" t="s">
        <v>28</v>
      </c>
      <c r="B27">
        <v>0.20399999999999999</v>
      </c>
      <c r="D27">
        <v>0.873</v>
      </c>
      <c r="F27" s="75"/>
    </row>
    <row r="28" spans="1:6">
      <c r="A28" s="74" t="s">
        <v>30</v>
      </c>
      <c r="B28" s="140">
        <v>0.25</v>
      </c>
      <c r="C28" s="140">
        <v>0.95</v>
      </c>
      <c r="E28" t="s">
        <v>262</v>
      </c>
      <c r="F28" s="75"/>
    </row>
    <row r="29" spans="1:6">
      <c r="A29" s="74" t="s">
        <v>247</v>
      </c>
      <c r="B29">
        <v>0.38300000000000001</v>
      </c>
      <c r="C29">
        <v>0.94899999999999995</v>
      </c>
      <c r="F29" s="75"/>
    </row>
    <row r="30" spans="1:6">
      <c r="A30" s="74" t="s">
        <v>248</v>
      </c>
      <c r="B30">
        <v>0.38100000000000001</v>
      </c>
      <c r="C30">
        <v>0.94499999999999995</v>
      </c>
      <c r="F30" s="75"/>
    </row>
    <row r="31" spans="1:6">
      <c r="A31" s="74" t="s">
        <v>249</v>
      </c>
      <c r="B31">
        <v>0.38100000000000001</v>
      </c>
      <c r="C31">
        <v>0.94899999999999995</v>
      </c>
      <c r="F31" s="75"/>
    </row>
    <row r="32" spans="1:6" ht="15.95" thickBot="1">
      <c r="A32" s="76" t="s">
        <v>250</v>
      </c>
      <c r="B32" s="7">
        <v>0.246</v>
      </c>
      <c r="C32" s="7">
        <v>0.94899999999999995</v>
      </c>
      <c r="D32" s="7"/>
      <c r="E32" s="7" t="s">
        <v>262</v>
      </c>
      <c r="F32" s="77"/>
    </row>
    <row r="34" spans="1:6" ht="15.95" thickBot="1">
      <c r="A34" s="5" t="s">
        <v>263</v>
      </c>
    </row>
    <row r="35" spans="1:6" ht="18" thickBot="1">
      <c r="A35" s="190" t="s">
        <v>264</v>
      </c>
      <c r="B35" s="192"/>
      <c r="C35" s="192"/>
      <c r="D35" s="192"/>
      <c r="E35" s="192"/>
      <c r="F35" s="191"/>
    </row>
    <row r="36" spans="1:6">
      <c r="A36" s="72" t="s">
        <v>242</v>
      </c>
      <c r="B36" s="5" t="s">
        <v>265</v>
      </c>
      <c r="C36" s="5" t="s">
        <v>266</v>
      </c>
      <c r="D36" s="5" t="s">
        <v>267</v>
      </c>
      <c r="E36" s="5" t="s">
        <v>268</v>
      </c>
      <c r="F36" s="75"/>
    </row>
    <row r="37" spans="1:6">
      <c r="A37" s="74" t="s">
        <v>30</v>
      </c>
      <c r="B37">
        <v>1.36</v>
      </c>
      <c r="C37">
        <v>0.26</v>
      </c>
      <c r="E37">
        <v>0.09</v>
      </c>
      <c r="F37" s="75"/>
    </row>
    <row r="38" spans="1:6">
      <c r="A38" s="74" t="s">
        <v>247</v>
      </c>
      <c r="B38">
        <v>0.56399999999999995</v>
      </c>
      <c r="C38">
        <v>0.56399999999999995</v>
      </c>
      <c r="D38">
        <v>0.55000000000000004</v>
      </c>
      <c r="F38" s="75"/>
    </row>
    <row r="39" spans="1:6">
      <c r="A39" s="74" t="s">
        <v>248</v>
      </c>
      <c r="B39">
        <v>0.86799999999999999</v>
      </c>
      <c r="C39">
        <v>0.35</v>
      </c>
      <c r="D39">
        <v>0.49399999999999999</v>
      </c>
      <c r="F39" s="75"/>
    </row>
    <row r="40" spans="1:6">
      <c r="A40" s="74" t="s">
        <v>249</v>
      </c>
      <c r="B40">
        <v>1.0089999999999999</v>
      </c>
      <c r="C40">
        <v>0.33700000000000002</v>
      </c>
      <c r="D40">
        <v>0.32800000000000001</v>
      </c>
      <c r="F40" s="75"/>
    </row>
    <row r="41" spans="1:6" ht="15.95" thickBot="1">
      <c r="A41" s="76" t="s">
        <v>250</v>
      </c>
      <c r="B41" s="7">
        <v>1.34</v>
      </c>
      <c r="C41" s="7">
        <v>0.16800000000000001</v>
      </c>
      <c r="D41" s="7">
        <v>0.16300000000000001</v>
      </c>
      <c r="E41" s="7"/>
      <c r="F41" s="77"/>
    </row>
    <row r="42" spans="1:6">
      <c r="A42" s="6"/>
    </row>
    <row r="43" spans="1:6" ht="15.95" thickBot="1">
      <c r="A43" s="5" t="s">
        <v>269</v>
      </c>
    </row>
    <row r="44" spans="1:6" ht="15.95" thickBot="1">
      <c r="A44" s="190" t="s">
        <v>270</v>
      </c>
      <c r="B44" s="192"/>
      <c r="C44" s="192"/>
      <c r="D44" s="192"/>
      <c r="E44" s="191"/>
    </row>
    <row r="45" spans="1:6">
      <c r="A45" s="72" t="s">
        <v>271</v>
      </c>
      <c r="B45" s="5" t="s">
        <v>272</v>
      </c>
      <c r="C45" s="5" t="s">
        <v>273</v>
      </c>
      <c r="E45" s="75"/>
    </row>
    <row r="46" spans="1:6">
      <c r="A46" s="74" t="s">
        <v>274</v>
      </c>
      <c r="B46" s="4">
        <v>26.98</v>
      </c>
      <c r="C46" s="3">
        <f t="shared" ref="C46:C59" si="2">B46/1000</f>
        <v>2.6980000000000001E-2</v>
      </c>
      <c r="E46" s="75"/>
    </row>
    <row r="47" spans="1:6">
      <c r="A47" s="74" t="s">
        <v>275</v>
      </c>
      <c r="B47" s="4">
        <v>342.15</v>
      </c>
      <c r="C47" s="3">
        <f t="shared" si="2"/>
        <v>0.34214999999999995</v>
      </c>
      <c r="E47" s="75"/>
    </row>
    <row r="48" spans="1:6">
      <c r="A48" s="74" t="s">
        <v>276</v>
      </c>
      <c r="B48" s="4">
        <v>58.9</v>
      </c>
      <c r="C48" s="3">
        <f t="shared" si="2"/>
        <v>5.8900000000000001E-2</v>
      </c>
      <c r="E48" s="75"/>
    </row>
    <row r="49" spans="1:5">
      <c r="A49" s="74" t="s">
        <v>266</v>
      </c>
      <c r="B49" s="4">
        <v>155</v>
      </c>
      <c r="C49" s="3">
        <f t="shared" si="2"/>
        <v>0.155</v>
      </c>
      <c r="E49" s="75"/>
    </row>
    <row r="50" spans="1:5">
      <c r="A50" s="74" t="s">
        <v>277</v>
      </c>
      <c r="B50" s="4">
        <v>55.844999999999999</v>
      </c>
      <c r="C50" s="3">
        <f t="shared" si="2"/>
        <v>5.5844999999999999E-2</v>
      </c>
      <c r="E50" s="75"/>
    </row>
    <row r="51" spans="1:5">
      <c r="A51" s="74" t="s">
        <v>278</v>
      </c>
      <c r="B51" s="4">
        <v>151.90799999999999</v>
      </c>
      <c r="C51" s="3">
        <f t="shared" si="2"/>
        <v>0.15190799999999999</v>
      </c>
      <c r="E51" s="75"/>
    </row>
    <row r="52" spans="1:5">
      <c r="A52" s="74" t="s">
        <v>279</v>
      </c>
      <c r="B52" s="4">
        <v>6.94</v>
      </c>
      <c r="C52" s="3">
        <f t="shared" si="2"/>
        <v>6.94E-3</v>
      </c>
      <c r="E52" s="75"/>
    </row>
    <row r="53" spans="1:5">
      <c r="A53" s="74" t="s">
        <v>258</v>
      </c>
      <c r="B53" s="4">
        <v>73.891000000000005</v>
      </c>
      <c r="C53" s="3">
        <f t="shared" si="2"/>
        <v>7.3891000000000012E-2</v>
      </c>
      <c r="E53" s="75"/>
    </row>
    <row r="54" spans="1:5">
      <c r="A54" s="74" t="s">
        <v>280</v>
      </c>
      <c r="B54" s="4">
        <v>23.95</v>
      </c>
      <c r="C54" s="3">
        <f t="shared" si="2"/>
        <v>2.3949999999999999E-2</v>
      </c>
      <c r="E54" s="75"/>
    </row>
    <row r="55" spans="1:5">
      <c r="A55" s="74" t="s">
        <v>281</v>
      </c>
      <c r="B55" s="4">
        <v>54.94</v>
      </c>
      <c r="C55" s="3">
        <f t="shared" si="2"/>
        <v>5.4939999999999996E-2</v>
      </c>
      <c r="E55" s="75"/>
    </row>
    <row r="56" spans="1:5">
      <c r="A56" s="74" t="s">
        <v>260</v>
      </c>
      <c r="B56" s="4">
        <v>157.87</v>
      </c>
      <c r="C56" s="3">
        <f t="shared" si="2"/>
        <v>0.15787000000000001</v>
      </c>
      <c r="E56" s="75"/>
    </row>
    <row r="57" spans="1:5">
      <c r="A57" s="74" t="s">
        <v>267</v>
      </c>
      <c r="B57" s="4">
        <v>151</v>
      </c>
      <c r="C57" s="3">
        <f t="shared" si="2"/>
        <v>0.151</v>
      </c>
      <c r="E57" s="75"/>
    </row>
    <row r="58" spans="1:5">
      <c r="A58" s="74" t="s">
        <v>282</v>
      </c>
      <c r="B58" s="4">
        <v>58.69</v>
      </c>
      <c r="C58" s="3">
        <f t="shared" si="2"/>
        <v>5.8689999999999999E-2</v>
      </c>
      <c r="E58" s="75"/>
    </row>
    <row r="59" spans="1:5" ht="15.95" thickBot="1">
      <c r="A59" s="76" t="s">
        <v>265</v>
      </c>
      <c r="B59" s="84">
        <v>154.75</v>
      </c>
      <c r="C59" s="129">
        <f t="shared" si="2"/>
        <v>0.15475</v>
      </c>
      <c r="D59" s="7"/>
      <c r="E59" s="77"/>
    </row>
    <row r="61" spans="1:5" ht="15.95" thickBot="1">
      <c r="A61" s="5" t="s">
        <v>283</v>
      </c>
    </row>
    <row r="62" spans="1:5" ht="18" thickBot="1">
      <c r="A62" s="190" t="s">
        <v>284</v>
      </c>
      <c r="B62" s="192"/>
      <c r="C62" s="191"/>
    </row>
    <row r="63" spans="1:5">
      <c r="A63" s="212" t="s">
        <v>26</v>
      </c>
      <c r="B63" s="213"/>
      <c r="C63" s="214"/>
    </row>
    <row r="64" spans="1:5">
      <c r="A64" s="72" t="s">
        <v>285</v>
      </c>
      <c r="B64" s="5" t="s">
        <v>244</v>
      </c>
      <c r="C64" s="73" t="s">
        <v>245</v>
      </c>
    </row>
    <row r="65" spans="1:3">
      <c r="A65" s="74" t="s">
        <v>253</v>
      </c>
      <c r="B65" s="4">
        <f>$C$4*B15</f>
        <v>174.27272727272725</v>
      </c>
      <c r="C65" s="131">
        <f>B65/1000</f>
        <v>0.17427272727272725</v>
      </c>
    </row>
    <row r="66" spans="1:3">
      <c r="A66" s="74" t="s">
        <v>286</v>
      </c>
      <c r="B66" s="4">
        <f>C4*D15</f>
        <v>84.715909090909079</v>
      </c>
      <c r="C66" s="131">
        <f t="shared" ref="C66:C71" si="3">B66/1000</f>
        <v>8.4715909090909078E-2</v>
      </c>
    </row>
    <row r="67" spans="1:3">
      <c r="A67" s="74" t="s">
        <v>254</v>
      </c>
      <c r="B67" s="4">
        <f>C4*C15</f>
        <v>92.461363636363629</v>
      </c>
      <c r="C67" s="131">
        <f t="shared" si="3"/>
        <v>9.2461363636363633E-2</v>
      </c>
    </row>
    <row r="68" spans="1:3">
      <c r="A68" s="74" t="s">
        <v>287</v>
      </c>
      <c r="B68" s="4">
        <f>B65*B26*(2*B52/B53)</f>
        <v>8.7732831037363379</v>
      </c>
      <c r="C68" s="131">
        <f t="shared" si="3"/>
        <v>8.7732831037363387E-3</v>
      </c>
    </row>
    <row r="69" spans="1:3">
      <c r="A69" s="74" t="s">
        <v>288</v>
      </c>
      <c r="B69" s="4">
        <v>0</v>
      </c>
      <c r="C69" s="75">
        <f t="shared" si="3"/>
        <v>0</v>
      </c>
    </row>
    <row r="70" spans="1:3">
      <c r="A70" s="74" t="s">
        <v>289</v>
      </c>
      <c r="B70" s="4">
        <v>0</v>
      </c>
      <c r="C70" s="75">
        <f t="shared" si="3"/>
        <v>0</v>
      </c>
    </row>
    <row r="71" spans="1:3" ht="15.95" thickBot="1">
      <c r="A71" s="76" t="s">
        <v>290</v>
      </c>
      <c r="B71" s="84">
        <v>0</v>
      </c>
      <c r="C71" s="77">
        <f t="shared" si="3"/>
        <v>0</v>
      </c>
    </row>
    <row r="72" spans="1:3" ht="15.95" thickBot="1">
      <c r="A72" s="74"/>
      <c r="C72" s="75"/>
    </row>
    <row r="73" spans="1:3">
      <c r="A73" s="209" t="s">
        <v>28</v>
      </c>
      <c r="B73" s="210"/>
      <c r="C73" s="211"/>
    </row>
    <row r="74" spans="1:3">
      <c r="A74" s="72" t="s">
        <v>285</v>
      </c>
      <c r="B74" s="5" t="s">
        <v>244</v>
      </c>
      <c r="C74" s="73" t="s">
        <v>245</v>
      </c>
    </row>
    <row r="75" spans="1:3">
      <c r="A75" s="74" t="s">
        <v>253</v>
      </c>
      <c r="B75" s="4">
        <f>C5*B16</f>
        <v>198.83454545454543</v>
      </c>
      <c r="C75" s="131">
        <f>B75/1000</f>
        <v>0.19883454545454543</v>
      </c>
    </row>
    <row r="76" spans="1:3">
      <c r="A76" s="74" t="s">
        <v>286</v>
      </c>
      <c r="B76" s="4">
        <f>C5*D16</f>
        <v>76.791272727272727</v>
      </c>
      <c r="C76" s="131">
        <f t="shared" ref="C76:C81" si="4">B76/1000</f>
        <v>7.6791272727272722E-2</v>
      </c>
    </row>
    <row r="77" spans="1:3">
      <c r="A77" s="74" t="s">
        <v>254</v>
      </c>
      <c r="B77" s="4">
        <f>C5*C16</f>
        <v>71.306181818181813</v>
      </c>
      <c r="C77" s="131">
        <f t="shared" si="4"/>
        <v>7.130618181818181E-2</v>
      </c>
    </row>
    <row r="78" spans="1:3">
      <c r="A78" s="74" t="s">
        <v>287</v>
      </c>
      <c r="B78" s="4">
        <f>B75*B27*(2*B52/B53)</f>
        <v>7.6193852044965489</v>
      </c>
      <c r="C78" s="131">
        <f t="shared" si="4"/>
        <v>7.6193852044965493E-3</v>
      </c>
    </row>
    <row r="79" spans="1:3">
      <c r="A79" s="74" t="s">
        <v>288</v>
      </c>
      <c r="B79" s="4">
        <v>0</v>
      </c>
      <c r="C79" s="131">
        <f t="shared" si="4"/>
        <v>0</v>
      </c>
    </row>
    <row r="80" spans="1:3">
      <c r="A80" s="74" t="s">
        <v>289</v>
      </c>
      <c r="B80" s="4">
        <f>(B75*D27*(2*B55/B56))</f>
        <v>120.81618732512942</v>
      </c>
      <c r="C80" s="131">
        <f t="shared" si="4"/>
        <v>0.12081618732512941</v>
      </c>
    </row>
    <row r="81" spans="1:5" ht="15.95" thickBot="1">
      <c r="A81" s="76" t="s">
        <v>290</v>
      </c>
      <c r="B81" s="84">
        <v>0</v>
      </c>
      <c r="C81" s="132">
        <f t="shared" si="4"/>
        <v>0</v>
      </c>
    </row>
    <row r="82" spans="1:5" ht="15.95" thickBot="1">
      <c r="A82" s="74"/>
      <c r="C82" s="75"/>
    </row>
    <row r="83" spans="1:5">
      <c r="A83" s="209" t="s">
        <v>30</v>
      </c>
      <c r="B83" s="210"/>
      <c r="C83" s="211"/>
    </row>
    <row r="84" spans="1:5">
      <c r="A84" s="72" t="s">
        <v>285</v>
      </c>
      <c r="B84" s="5" t="s">
        <v>244</v>
      </c>
      <c r="C84" s="73" t="s">
        <v>245</v>
      </c>
    </row>
    <row r="85" spans="1:5">
      <c r="A85" s="74" t="s">
        <v>253</v>
      </c>
      <c r="B85" s="4">
        <f>C6*B17</f>
        <v>116.24027272727274</v>
      </c>
      <c r="C85" s="131">
        <f>B85/1000</f>
        <v>0.11624027272727273</v>
      </c>
    </row>
    <row r="86" spans="1:5">
      <c r="A86" s="74" t="s">
        <v>286</v>
      </c>
      <c r="B86" s="4">
        <f>(C6*D17)+(B85*C28*E37*(2*B46/B47))</f>
        <v>62.039212007476785</v>
      </c>
      <c r="C86" s="131">
        <f t="shared" ref="C86:C91" si="5">B86/1000</f>
        <v>6.2039212007476786E-2</v>
      </c>
    </row>
    <row r="87" spans="1:5">
      <c r="A87" s="74" t="s">
        <v>254</v>
      </c>
      <c r="B87" s="4">
        <f>C6*C17</f>
        <v>78.61336363636363</v>
      </c>
      <c r="C87" s="131">
        <f t="shared" si="5"/>
        <v>7.8613363636363634E-2</v>
      </c>
    </row>
    <row r="88" spans="1:5">
      <c r="A88" s="74" t="s">
        <v>287</v>
      </c>
      <c r="B88" s="4">
        <f>(B85*B28*(B52/B54))</f>
        <v>8.4207462706395919</v>
      </c>
      <c r="C88" s="131">
        <f t="shared" si="5"/>
        <v>8.4207462706395921E-3</v>
      </c>
    </row>
    <row r="89" spans="1:5">
      <c r="A89" s="74" t="s">
        <v>288</v>
      </c>
      <c r="B89" s="4">
        <f>(B85*C28*B37*(B58/B59))</f>
        <v>56.957718613388167</v>
      </c>
      <c r="C89" s="131">
        <f t="shared" si="5"/>
        <v>5.6957718613388164E-2</v>
      </c>
    </row>
    <row r="90" spans="1:5">
      <c r="A90" s="74" t="s">
        <v>289</v>
      </c>
      <c r="B90" s="4">
        <v>0</v>
      </c>
      <c r="C90" s="131">
        <f t="shared" si="5"/>
        <v>0</v>
      </c>
    </row>
    <row r="91" spans="1:5" ht="15.95" thickBot="1">
      <c r="A91" s="76" t="s">
        <v>290</v>
      </c>
      <c r="B91" s="84">
        <f>(B85*C28*C37*(B48/B49))</f>
        <v>10.91031199818182</v>
      </c>
      <c r="C91" s="132">
        <f t="shared" si="5"/>
        <v>1.0910311998181819E-2</v>
      </c>
    </row>
    <row r="92" spans="1:5" ht="15.95" thickBot="1">
      <c r="A92" s="74"/>
      <c r="B92" s="3"/>
      <c r="C92" s="75"/>
    </row>
    <row r="93" spans="1:5">
      <c r="A93" s="209" t="s">
        <v>247</v>
      </c>
      <c r="B93" s="210"/>
      <c r="C93" s="211"/>
    </row>
    <row r="94" spans="1:5">
      <c r="A94" s="72" t="s">
        <v>285</v>
      </c>
      <c r="B94" s="5" t="s">
        <v>244</v>
      </c>
      <c r="C94" s="73" t="s">
        <v>245</v>
      </c>
      <c r="E94" s="3"/>
    </row>
    <row r="95" spans="1:5">
      <c r="A95" s="74" t="s">
        <v>253</v>
      </c>
      <c r="B95" s="4">
        <f>C7*B18</f>
        <v>149.91763636363635</v>
      </c>
      <c r="C95" s="131">
        <f>B95/1000</f>
        <v>0.14991763636363634</v>
      </c>
    </row>
    <row r="96" spans="1:5">
      <c r="A96" s="74" t="s">
        <v>286</v>
      </c>
      <c r="B96" s="4">
        <f>C7*D18</f>
        <v>67.894636363636366</v>
      </c>
      <c r="C96" s="131">
        <f t="shared" ref="C96:C101" si="6">B96/1000</f>
        <v>6.7894636363636365E-2</v>
      </c>
    </row>
    <row r="97" spans="1:3">
      <c r="A97" s="74" t="s">
        <v>254</v>
      </c>
      <c r="B97" s="4">
        <f>C7*C18</f>
        <v>79.275818181818167</v>
      </c>
      <c r="C97" s="131">
        <f t="shared" si="6"/>
        <v>7.927581818181817E-2</v>
      </c>
    </row>
    <row r="98" spans="1:3">
      <c r="A98" s="74" t="s">
        <v>287</v>
      </c>
      <c r="B98" s="4">
        <f>(B95*B29*(2*$B$52/$B$53))</f>
        <v>10.785726971005202</v>
      </c>
      <c r="C98" s="131">
        <f t="shared" si="6"/>
        <v>1.0785726971005202E-2</v>
      </c>
    </row>
    <row r="99" spans="1:3">
      <c r="A99" s="74" t="s">
        <v>288</v>
      </c>
      <c r="B99" s="4">
        <f>(B95*C29*B38*(B58/B59))</f>
        <v>30.432070029219531</v>
      </c>
      <c r="C99" s="131">
        <f t="shared" si="6"/>
        <v>3.0432070029219532E-2</v>
      </c>
    </row>
    <row r="100" spans="1:3">
      <c r="A100" s="74" t="s">
        <v>289</v>
      </c>
      <c r="B100" s="4">
        <f>(B95*C29*D38*(B55/B57))</f>
        <v>28.470384740940396</v>
      </c>
      <c r="C100" s="131">
        <f t="shared" si="6"/>
        <v>2.8470384740940397E-2</v>
      </c>
    </row>
    <row r="101" spans="1:3" ht="15.95" thickBot="1">
      <c r="A101" s="76" t="s">
        <v>290</v>
      </c>
      <c r="B101" s="84">
        <f>(B95*C29*C38*(B48/B49))</f>
        <v>30.491700086356357</v>
      </c>
      <c r="C101" s="132">
        <f t="shared" si="6"/>
        <v>3.0491700086356356E-2</v>
      </c>
    </row>
    <row r="102" spans="1:3" ht="15.95" thickBot="1">
      <c r="A102" s="74"/>
      <c r="C102" s="75"/>
    </row>
    <row r="103" spans="1:3">
      <c r="A103" s="206" t="s">
        <v>248</v>
      </c>
      <c r="B103" s="207"/>
      <c r="C103" s="208"/>
    </row>
    <row r="104" spans="1:3">
      <c r="A104" s="110" t="s">
        <v>285</v>
      </c>
      <c r="B104" s="1" t="s">
        <v>244</v>
      </c>
      <c r="C104" s="141" t="s">
        <v>245</v>
      </c>
    </row>
    <row r="105" spans="1:3">
      <c r="A105" s="109" t="s">
        <v>253</v>
      </c>
      <c r="B105" s="4">
        <f>C8*B19</f>
        <v>144.78509090909091</v>
      </c>
      <c r="C105" s="142">
        <f>B105/1000</f>
        <v>0.14478509090909092</v>
      </c>
    </row>
    <row r="106" spans="1:3">
      <c r="A106" s="109" t="s">
        <v>286</v>
      </c>
      <c r="B106" s="4">
        <f>C8*D19</f>
        <v>64.890727272727275</v>
      </c>
      <c r="C106" s="142">
        <f t="shared" ref="C106:C111" si="7">B106/1000</f>
        <v>6.489072727272728E-2</v>
      </c>
    </row>
    <row r="107" spans="1:3">
      <c r="A107" s="109" t="s">
        <v>254</v>
      </c>
      <c r="B107" s="4">
        <f>C8*C19</f>
        <v>77.268727272727276</v>
      </c>
      <c r="C107" s="142">
        <f t="shared" si="7"/>
        <v>7.7268727272727281E-2</v>
      </c>
    </row>
    <row r="108" spans="1:3">
      <c r="A108" s="109" t="s">
        <v>287</v>
      </c>
      <c r="B108" s="143">
        <f>(B105*B30*(2*B52/B53))</f>
        <v>10.362075226383826</v>
      </c>
      <c r="C108" s="142">
        <f t="shared" si="7"/>
        <v>1.0362075226383827E-2</v>
      </c>
    </row>
    <row r="109" spans="1:3">
      <c r="A109" s="109" t="s">
        <v>288</v>
      </c>
      <c r="B109" s="143">
        <f>(B105*C30*B39*(B58/B59))</f>
        <v>45.041083435792864</v>
      </c>
      <c r="C109" s="142">
        <f t="shared" si="7"/>
        <v>4.5041083435792863E-2</v>
      </c>
    </row>
    <row r="110" spans="1:3">
      <c r="A110" s="109" t="s">
        <v>289</v>
      </c>
      <c r="B110" s="143">
        <f>(B105*C30*D39*(B55/B57))</f>
        <v>24.592025946759303</v>
      </c>
      <c r="C110" s="142">
        <f t="shared" si="7"/>
        <v>2.4592025946759303E-2</v>
      </c>
    </row>
    <row r="111" spans="1:3" ht="15.95" thickBot="1">
      <c r="A111" s="130" t="s">
        <v>290</v>
      </c>
      <c r="B111" s="111">
        <f>(B105*C30*C39*(B48/B49))</f>
        <v>18.19731415090909</v>
      </c>
      <c r="C111" s="144">
        <f t="shared" si="7"/>
        <v>1.819731415090909E-2</v>
      </c>
    </row>
    <row r="112" spans="1:3" ht="15.95" thickBot="1">
      <c r="A112" s="74"/>
      <c r="C112" s="75"/>
    </row>
    <row r="113" spans="1:3">
      <c r="A113" s="206" t="s">
        <v>249</v>
      </c>
      <c r="B113" s="207"/>
      <c r="C113" s="208"/>
    </row>
    <row r="114" spans="1:3">
      <c r="A114" s="110" t="s">
        <v>285</v>
      </c>
      <c r="B114" s="1" t="s">
        <v>244</v>
      </c>
      <c r="C114" s="141" t="s">
        <v>245</v>
      </c>
    </row>
    <row r="115" spans="1:3">
      <c r="A115" s="109" t="s">
        <v>253</v>
      </c>
      <c r="B115" s="4">
        <f>C9*B20</f>
        <v>126.44845454545454</v>
      </c>
      <c r="C115" s="142">
        <f>B115/1000</f>
        <v>0.12644845454545453</v>
      </c>
    </row>
    <row r="116" spans="1:3">
      <c r="A116" s="109" t="s">
        <v>286</v>
      </c>
      <c r="B116" s="4">
        <f>C9*D20</f>
        <v>62.348545454545459</v>
      </c>
      <c r="C116" s="142">
        <f t="shared" ref="C116:C121" si="8">B116/1000</f>
        <v>6.2348545454545462E-2</v>
      </c>
    </row>
    <row r="117" spans="1:3">
      <c r="A117" s="109" t="s">
        <v>254</v>
      </c>
      <c r="B117" s="4">
        <f>C9*C20</f>
        <v>77.410272727272726</v>
      </c>
      <c r="C117" s="142">
        <f t="shared" si="8"/>
        <v>7.741027272727273E-2</v>
      </c>
    </row>
    <row r="118" spans="1:3">
      <c r="A118" s="109" t="s">
        <v>287</v>
      </c>
      <c r="B118" s="143">
        <f>(B115*B31*(2*B52/B53))</f>
        <v>9.0497466972112477</v>
      </c>
      <c r="C118" s="142">
        <f t="shared" si="8"/>
        <v>9.0497466972112479E-3</v>
      </c>
    </row>
    <row r="119" spans="1:3">
      <c r="A119" s="109" t="s">
        <v>288</v>
      </c>
      <c r="B119" s="143">
        <f>(B115*C31*B40*(B58/B59))</f>
        <v>45.920261890405968</v>
      </c>
      <c r="C119" s="142">
        <f t="shared" si="8"/>
        <v>4.5920261890405968E-2</v>
      </c>
    </row>
    <row r="120" spans="1:3">
      <c r="A120" s="109" t="s">
        <v>289</v>
      </c>
      <c r="B120" s="143">
        <f>(B115*C31*D40*(B55/B57))</f>
        <v>14.320734384631811</v>
      </c>
      <c r="C120" s="142">
        <f t="shared" si="8"/>
        <v>1.4320734384631811E-2</v>
      </c>
    </row>
    <row r="121" spans="1:3" ht="15.95" thickBot="1">
      <c r="A121" s="130" t="s">
        <v>290</v>
      </c>
      <c r="B121" s="111">
        <f>(B115*C31*C40*(B48/B49))</f>
        <v>15.367146645547271</v>
      </c>
      <c r="C121" s="144">
        <f t="shared" si="8"/>
        <v>1.536714664554727E-2</v>
      </c>
    </row>
    <row r="122" spans="1:3" ht="15.95" thickBot="1">
      <c r="A122" s="74"/>
      <c r="C122" s="75"/>
    </row>
    <row r="123" spans="1:3">
      <c r="A123" s="206" t="s">
        <v>250</v>
      </c>
      <c r="B123" s="207"/>
      <c r="C123" s="208"/>
    </row>
    <row r="124" spans="1:3">
      <c r="A124" s="110" t="s">
        <v>285</v>
      </c>
      <c r="B124" s="1" t="s">
        <v>244</v>
      </c>
      <c r="C124" s="141" t="s">
        <v>245</v>
      </c>
    </row>
    <row r="125" spans="1:3">
      <c r="A125" s="109" t="s">
        <v>253</v>
      </c>
      <c r="B125" s="4">
        <f>C10*B21</f>
        <v>107.11431818181816</v>
      </c>
      <c r="C125" s="142">
        <f>B125/1000</f>
        <v>0.10711431818181816</v>
      </c>
    </row>
    <row r="126" spans="1:3">
      <c r="A126" s="109" t="s">
        <v>286</v>
      </c>
      <c r="B126" s="4">
        <f>C10*D21</f>
        <v>62.568363636363628</v>
      </c>
      <c r="C126" s="142">
        <f t="shared" ref="C126:C131" si="9">B126/1000</f>
        <v>6.256836363636363E-2</v>
      </c>
    </row>
    <row r="127" spans="1:3">
      <c r="A127" s="109" t="s">
        <v>254</v>
      </c>
      <c r="B127" s="4">
        <f>C10*C21</f>
        <v>82.971090909090904</v>
      </c>
      <c r="C127" s="142">
        <f t="shared" si="9"/>
        <v>8.2971090909090911E-2</v>
      </c>
    </row>
    <row r="128" spans="1:3">
      <c r="A128" s="109" t="s">
        <v>287</v>
      </c>
      <c r="B128" s="143">
        <f>(B125*B32*(B52/B54))</f>
        <v>7.6354842827861065</v>
      </c>
      <c r="C128" s="142">
        <f t="shared" si="9"/>
        <v>7.6354842827861067E-3</v>
      </c>
    </row>
    <row r="129" spans="1:7">
      <c r="A129" s="109" t="s">
        <v>288</v>
      </c>
      <c r="B129" s="143">
        <f>(B125*C32*B41*(B58/B59))</f>
        <v>51.65971314759318</v>
      </c>
      <c r="C129" s="142">
        <f t="shared" si="9"/>
        <v>5.1659713147593184E-2</v>
      </c>
    </row>
    <row r="130" spans="1:7">
      <c r="A130" s="109" t="s">
        <v>289</v>
      </c>
      <c r="B130" s="143">
        <f>(B125*C32*D41*(B55/B57))</f>
        <v>6.028552569273538</v>
      </c>
      <c r="C130" s="142">
        <f t="shared" si="9"/>
        <v>6.0285525692735384E-3</v>
      </c>
    </row>
    <row r="131" spans="1:7" ht="15.95" thickBot="1">
      <c r="A131" s="130" t="s">
        <v>290</v>
      </c>
      <c r="B131" s="111">
        <f>(B125*C32*C41*(B48/B49))</f>
        <v>6.4894309910181818</v>
      </c>
      <c r="C131" s="144">
        <f t="shared" si="9"/>
        <v>6.4894309910181816E-3</v>
      </c>
    </row>
    <row r="132" spans="1:7" ht="15.95" thickBot="1">
      <c r="A132" s="74"/>
      <c r="C132" s="75"/>
    </row>
    <row r="133" spans="1:7">
      <c r="A133" s="206" t="s">
        <v>291</v>
      </c>
      <c r="B133" s="207"/>
      <c r="C133" s="208"/>
    </row>
    <row r="134" spans="1:7">
      <c r="A134" s="110" t="s">
        <v>285</v>
      </c>
      <c r="B134" s="1" t="s">
        <v>244</v>
      </c>
      <c r="C134" s="141" t="s">
        <v>245</v>
      </c>
    </row>
    <row r="135" spans="1:7">
      <c r="A135" s="109" t="s">
        <v>253</v>
      </c>
      <c r="B135" s="4">
        <f>AVERAGE(B125,B115,B105,B95)</f>
        <v>132.06637499999999</v>
      </c>
      <c r="C135" s="142">
        <f>B135/1000</f>
        <v>0.13206637499999999</v>
      </c>
    </row>
    <row r="136" spans="1:7">
      <c r="A136" s="109" t="s">
        <v>286</v>
      </c>
      <c r="B136" s="4">
        <f t="shared" ref="B136:B141" si="10">AVERAGE(B126,B116,B106,B96)</f>
        <v>64.425568181818178</v>
      </c>
      <c r="C136" s="142">
        <f t="shared" ref="C136:C141" si="11">B136/1000</f>
        <v>6.4425568181818174E-2</v>
      </c>
    </row>
    <row r="137" spans="1:7">
      <c r="A137" s="109" t="s">
        <v>254</v>
      </c>
      <c r="B137" s="4">
        <f t="shared" si="10"/>
        <v>79.231477272727275</v>
      </c>
      <c r="C137" s="142">
        <f t="shared" si="11"/>
        <v>7.923147727272728E-2</v>
      </c>
    </row>
    <row r="138" spans="1:7">
      <c r="A138" s="109" t="s">
        <v>287</v>
      </c>
      <c r="B138" s="4">
        <f t="shared" si="10"/>
        <v>9.4582582943465958</v>
      </c>
      <c r="C138" s="142">
        <f t="shared" si="11"/>
        <v>9.4582582943465963E-3</v>
      </c>
    </row>
    <row r="139" spans="1:7">
      <c r="A139" s="109" t="s">
        <v>288</v>
      </c>
      <c r="B139" s="4">
        <f t="shared" si="10"/>
        <v>43.26328212575288</v>
      </c>
      <c r="C139" s="142">
        <f t="shared" si="11"/>
        <v>4.326328212575288E-2</v>
      </c>
    </row>
    <row r="140" spans="1:7">
      <c r="A140" s="109" t="s">
        <v>289</v>
      </c>
      <c r="B140" s="4">
        <f t="shared" si="10"/>
        <v>18.352924410401265</v>
      </c>
      <c r="C140" s="142">
        <f t="shared" si="11"/>
        <v>1.8352924410401265E-2</v>
      </c>
    </row>
    <row r="141" spans="1:7" ht="15.95" thickBot="1">
      <c r="A141" s="130" t="s">
        <v>290</v>
      </c>
      <c r="B141" s="84">
        <f t="shared" si="10"/>
        <v>17.636397968457725</v>
      </c>
      <c r="C141" s="144">
        <f t="shared" si="11"/>
        <v>1.7636397968457725E-2</v>
      </c>
    </row>
    <row r="143" spans="1:7" ht="15.95" thickBot="1">
      <c r="A143" s="5" t="s">
        <v>292</v>
      </c>
    </row>
    <row r="144" spans="1:7" ht="15.95" thickBot="1">
      <c r="A144" s="190" t="s">
        <v>293</v>
      </c>
      <c r="B144" s="192"/>
      <c r="C144" s="192"/>
      <c r="D144" s="192"/>
      <c r="E144" s="192"/>
      <c r="F144" s="192"/>
      <c r="G144" s="191"/>
    </row>
    <row r="145" spans="1:7" ht="15.95">
      <c r="A145" s="72" t="s">
        <v>242</v>
      </c>
      <c r="B145" s="135" t="s">
        <v>294</v>
      </c>
      <c r="C145" s="135" t="s">
        <v>295</v>
      </c>
      <c r="D145" s="135" t="s">
        <v>296</v>
      </c>
      <c r="E145" s="135" t="s">
        <v>297</v>
      </c>
      <c r="F145" s="135" t="s">
        <v>298</v>
      </c>
      <c r="G145" s="136" t="s">
        <v>299</v>
      </c>
    </row>
    <row r="146" spans="1:7">
      <c r="A146" s="74" t="s">
        <v>26</v>
      </c>
      <c r="B146" s="4">
        <f>B66</f>
        <v>84.715909090909079</v>
      </c>
      <c r="C146" s="4">
        <f>B71</f>
        <v>0</v>
      </c>
      <c r="D146" s="4">
        <f>B67</f>
        <v>92.461363636363629</v>
      </c>
      <c r="E146" s="4">
        <f>B68</f>
        <v>8.7732831037363379</v>
      </c>
      <c r="F146" s="4">
        <f>B70</f>
        <v>0</v>
      </c>
      <c r="G146" s="87">
        <f>B69</f>
        <v>0</v>
      </c>
    </row>
    <row r="147" spans="1:7">
      <c r="A147" s="74" t="s">
        <v>28</v>
      </c>
      <c r="B147" s="4">
        <f>B76</f>
        <v>76.791272727272727</v>
      </c>
      <c r="C147" s="4">
        <f>B81</f>
        <v>0</v>
      </c>
      <c r="D147" s="4">
        <f>B77</f>
        <v>71.306181818181813</v>
      </c>
      <c r="E147" s="4">
        <f>B78</f>
        <v>7.6193852044965489</v>
      </c>
      <c r="F147" s="4">
        <f>B80</f>
        <v>120.81618732512942</v>
      </c>
      <c r="G147" s="87">
        <f>B79</f>
        <v>0</v>
      </c>
    </row>
    <row r="148" spans="1:7">
      <c r="A148" s="74" t="s">
        <v>30</v>
      </c>
      <c r="B148" s="4">
        <f>B86</f>
        <v>62.039212007476785</v>
      </c>
      <c r="C148" s="4">
        <f>B91</f>
        <v>10.91031199818182</v>
      </c>
      <c r="D148" s="4">
        <f>B87</f>
        <v>78.61336363636363</v>
      </c>
      <c r="E148" s="4">
        <f>B88</f>
        <v>8.4207462706395919</v>
      </c>
      <c r="F148" s="4">
        <f>B90</f>
        <v>0</v>
      </c>
      <c r="G148" s="87">
        <f>B89</f>
        <v>56.957718613388167</v>
      </c>
    </row>
    <row r="149" spans="1:7">
      <c r="A149" s="74" t="s">
        <v>291</v>
      </c>
      <c r="B149" s="4">
        <f>B136</f>
        <v>64.425568181818178</v>
      </c>
      <c r="C149" s="4">
        <f>B141</f>
        <v>17.636397968457725</v>
      </c>
      <c r="D149" s="4">
        <f>B137</f>
        <v>79.231477272727275</v>
      </c>
      <c r="E149" s="4">
        <f>B138</f>
        <v>9.4582582943465958</v>
      </c>
      <c r="F149" s="4">
        <f>B140</f>
        <v>18.352924410401265</v>
      </c>
      <c r="G149" s="87">
        <f>B139</f>
        <v>43.26328212575288</v>
      </c>
    </row>
    <row r="150" spans="1:7">
      <c r="A150" s="74" t="s">
        <v>247</v>
      </c>
      <c r="B150" s="4">
        <f>B96</f>
        <v>67.894636363636366</v>
      </c>
      <c r="C150" s="4">
        <f>B101</f>
        <v>30.491700086356357</v>
      </c>
      <c r="D150" s="4">
        <f>B97</f>
        <v>79.275818181818167</v>
      </c>
      <c r="E150" s="4">
        <f>B98</f>
        <v>10.785726971005202</v>
      </c>
      <c r="F150" s="4">
        <f>B100</f>
        <v>28.470384740940396</v>
      </c>
      <c r="G150" s="87">
        <f>B99</f>
        <v>30.432070029219531</v>
      </c>
    </row>
    <row r="151" spans="1:7">
      <c r="A151" s="74" t="s">
        <v>248</v>
      </c>
      <c r="B151" s="4">
        <f>B106</f>
        <v>64.890727272727275</v>
      </c>
      <c r="C151" s="4">
        <f>B111</f>
        <v>18.19731415090909</v>
      </c>
      <c r="D151" s="4">
        <f>B107</f>
        <v>77.268727272727276</v>
      </c>
      <c r="E151" s="4">
        <f>B108</f>
        <v>10.362075226383826</v>
      </c>
      <c r="F151" s="4">
        <f>B110</f>
        <v>24.592025946759303</v>
      </c>
      <c r="G151" s="87">
        <f>B109</f>
        <v>45.041083435792864</v>
      </c>
    </row>
    <row r="152" spans="1:7">
      <c r="A152" s="74" t="s">
        <v>300</v>
      </c>
      <c r="B152" s="4">
        <f>B116</f>
        <v>62.348545454545459</v>
      </c>
      <c r="C152" s="4">
        <f>B121</f>
        <v>15.367146645547271</v>
      </c>
      <c r="D152" s="4">
        <f>B117</f>
        <v>77.410272727272726</v>
      </c>
      <c r="E152" s="4">
        <f>B118</f>
        <v>9.0497466972112477</v>
      </c>
      <c r="F152" s="4">
        <f>B120</f>
        <v>14.320734384631811</v>
      </c>
      <c r="G152" s="87">
        <f>B119</f>
        <v>45.920261890405968</v>
      </c>
    </row>
    <row r="153" spans="1:7" ht="15.95" thickBot="1">
      <c r="A153" s="76" t="s">
        <v>250</v>
      </c>
      <c r="B153" s="84">
        <f>B126</f>
        <v>62.568363636363628</v>
      </c>
      <c r="C153" s="84">
        <f>B131</f>
        <v>6.4894309910181818</v>
      </c>
      <c r="D153" s="84">
        <f>B127</f>
        <v>82.971090909090904</v>
      </c>
      <c r="E153" s="84">
        <f>B128</f>
        <v>7.6354842827861065</v>
      </c>
      <c r="F153" s="84">
        <f>B130</f>
        <v>6.028552569273538</v>
      </c>
      <c r="G153" s="88">
        <f>B129</f>
        <v>51.65971314759318</v>
      </c>
    </row>
    <row r="155" spans="1:7" ht="15.95" thickBot="1">
      <c r="A155" s="5" t="s">
        <v>301</v>
      </c>
    </row>
    <row r="156" spans="1:7" ht="15.95" thickBot="1">
      <c r="A156" s="190" t="s">
        <v>66</v>
      </c>
      <c r="B156" s="192"/>
      <c r="C156" s="192"/>
      <c r="D156" s="192"/>
      <c r="E156" s="192"/>
      <c r="F156" s="191"/>
    </row>
    <row r="157" spans="1:7">
      <c r="A157" s="72" t="s">
        <v>302</v>
      </c>
      <c r="B157" s="5" t="s">
        <v>26</v>
      </c>
      <c r="C157" s="5" t="s">
        <v>30</v>
      </c>
      <c r="D157" s="5" t="s">
        <v>32</v>
      </c>
      <c r="F157" s="75"/>
    </row>
    <row r="158" spans="1:7">
      <c r="A158" s="74" t="s">
        <v>303</v>
      </c>
      <c r="B158" s="4" cm="1">
        <f t="array" ref="B158:B163">TRANSPOSE(B146:G146)</f>
        <v>84.715909090909079</v>
      </c>
      <c r="C158" s="4" cm="1">
        <f t="array" ref="C158:C163">TRANSPOSE(B148:G148)</f>
        <v>62.039212007476785</v>
      </c>
      <c r="D158" s="4" cm="1">
        <f t="array" ref="D158:D163">TRANSPOSE(B149:G149)</f>
        <v>64.425568181818178</v>
      </c>
      <c r="F158" s="75"/>
    </row>
    <row r="159" spans="1:7">
      <c r="A159" s="74" t="s">
        <v>304</v>
      </c>
      <c r="B159" s="4">
        <v>0</v>
      </c>
      <c r="C159" s="4">
        <v>10.91031199818182</v>
      </c>
      <c r="D159" s="4">
        <v>17.636397968457725</v>
      </c>
      <c r="F159" s="75"/>
    </row>
    <row r="160" spans="1:7">
      <c r="A160" s="74" t="s">
        <v>305</v>
      </c>
      <c r="B160" s="4">
        <v>92.461363636363629</v>
      </c>
      <c r="C160" s="4">
        <v>78.61336363636363</v>
      </c>
      <c r="D160" s="4">
        <v>79.231477272727275</v>
      </c>
      <c r="F160" s="75"/>
    </row>
    <row r="161" spans="1:6">
      <c r="A161" s="74" t="s">
        <v>306</v>
      </c>
      <c r="B161" s="4">
        <v>8.7732831037363379</v>
      </c>
      <c r="C161" s="4">
        <v>8.4207462706395919</v>
      </c>
      <c r="D161" s="4">
        <v>9.4582582943465958</v>
      </c>
      <c r="F161" s="75"/>
    </row>
    <row r="162" spans="1:6">
      <c r="A162" s="74" t="s">
        <v>307</v>
      </c>
      <c r="B162" s="4">
        <v>0</v>
      </c>
      <c r="C162" s="4">
        <v>0</v>
      </c>
      <c r="D162" s="4">
        <v>18.352924410401265</v>
      </c>
      <c r="F162" s="75"/>
    </row>
    <row r="163" spans="1:6" ht="15.95" thickBot="1">
      <c r="A163" s="76" t="s">
        <v>308</v>
      </c>
      <c r="B163" s="84">
        <v>0</v>
      </c>
      <c r="C163" s="84">
        <v>56.957718613388167</v>
      </c>
      <c r="D163" s="84">
        <v>43.26328212575288</v>
      </c>
      <c r="E163" s="7"/>
      <c r="F163" s="77"/>
    </row>
    <row r="164" spans="1:6">
      <c r="B164" s="4"/>
      <c r="C164" s="4"/>
      <c r="D164" s="4"/>
    </row>
  </sheetData>
  <sortState xmlns:xlrd2="http://schemas.microsoft.com/office/spreadsheetml/2017/richdata2" ref="A158:A163">
    <sortCondition ref="A158:A163"/>
  </sortState>
  <mergeCells count="16">
    <mergeCell ref="A156:F156"/>
    <mergeCell ref="A62:C62"/>
    <mergeCell ref="A2:D2"/>
    <mergeCell ref="A13:E13"/>
    <mergeCell ref="A24:F24"/>
    <mergeCell ref="A35:F35"/>
    <mergeCell ref="A44:E44"/>
    <mergeCell ref="A144:G144"/>
    <mergeCell ref="A133:C133"/>
    <mergeCell ref="A123:C123"/>
    <mergeCell ref="A83:C83"/>
    <mergeCell ref="A63:C63"/>
    <mergeCell ref="A73:C73"/>
    <mergeCell ref="A93:C93"/>
    <mergeCell ref="A103:C103"/>
    <mergeCell ref="A113:C1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F8F80-2E3A-7642-BA17-61D213E53B50}">
  <dimension ref="A1:G92"/>
  <sheetViews>
    <sheetView topLeftCell="A77" zoomScale="150" zoomScaleNormal="150" workbookViewId="0">
      <selection activeCell="G2" sqref="G2"/>
    </sheetView>
  </sheetViews>
  <sheetFormatPr defaultColWidth="11.42578125" defaultRowHeight="15"/>
  <cols>
    <col min="1" max="1" width="16.85546875" customWidth="1"/>
    <col min="2" max="2" width="11.42578125" style="4"/>
    <col min="3" max="3" width="17.28515625" customWidth="1"/>
    <col min="4" max="4" width="16.7109375" bestFit="1" customWidth="1"/>
  </cols>
  <sheetData>
    <row r="1" spans="1:7" ht="15.95" thickBot="1">
      <c r="A1" s="5" t="s">
        <v>309</v>
      </c>
      <c r="G1" s="5"/>
    </row>
    <row r="2" spans="1:7" ht="18" thickBot="1">
      <c r="A2" s="190" t="s">
        <v>241</v>
      </c>
      <c r="B2" s="192"/>
      <c r="C2" s="192"/>
      <c r="D2" s="191"/>
      <c r="G2" s="5" t="s">
        <v>234</v>
      </c>
    </row>
    <row r="3" spans="1:7">
      <c r="A3" s="110" t="s">
        <v>242</v>
      </c>
      <c r="B3" s="133" t="s">
        <v>243</v>
      </c>
      <c r="C3" s="5" t="s">
        <v>244</v>
      </c>
      <c r="D3" s="73" t="s">
        <v>245</v>
      </c>
      <c r="G3" t="s">
        <v>246</v>
      </c>
    </row>
    <row r="4" spans="1:7">
      <c r="A4" s="109" t="s">
        <v>26</v>
      </c>
      <c r="B4" s="4">
        <v>263</v>
      </c>
      <c r="C4" s="4">
        <f>B4/2.2</f>
        <v>119.54545454545453</v>
      </c>
      <c r="D4" s="87">
        <f>C4/1000</f>
        <v>0.11954545454545454</v>
      </c>
    </row>
    <row r="5" spans="1:7">
      <c r="A5" s="109" t="s">
        <v>28</v>
      </c>
      <c r="B5" s="4">
        <v>219</v>
      </c>
      <c r="C5" s="4">
        <f t="shared" ref="C5:C6" si="0">B5/2.2</f>
        <v>99.545454545454533</v>
      </c>
      <c r="D5" s="87">
        <f t="shared" ref="D5:D6" si="1">C5/1000</f>
        <v>9.9545454545454534E-2</v>
      </c>
    </row>
    <row r="6" spans="1:7" ht="15.95" thickBot="1">
      <c r="A6" s="130" t="s">
        <v>247</v>
      </c>
      <c r="B6" s="84">
        <v>193.8</v>
      </c>
      <c r="C6" s="84">
        <f t="shared" si="0"/>
        <v>88.090909090909093</v>
      </c>
      <c r="D6" s="88">
        <f t="shared" si="1"/>
        <v>8.8090909090909095E-2</v>
      </c>
    </row>
    <row r="8" spans="1:7" ht="15.95" thickBot="1">
      <c r="A8" s="5" t="s">
        <v>310</v>
      </c>
    </row>
    <row r="9" spans="1:7" ht="18" thickBot="1">
      <c r="A9" s="190" t="s">
        <v>252</v>
      </c>
      <c r="B9" s="192"/>
      <c r="C9" s="192"/>
      <c r="D9" s="191"/>
    </row>
    <row r="10" spans="1:7">
      <c r="A10" s="72" t="s">
        <v>242</v>
      </c>
      <c r="B10" s="121" t="s">
        <v>253</v>
      </c>
      <c r="C10" s="5" t="s">
        <v>254</v>
      </c>
      <c r="D10" s="73" t="s">
        <v>255</v>
      </c>
      <c r="E10" s="5"/>
    </row>
    <row r="11" spans="1:7">
      <c r="A11" s="74" t="s">
        <v>26</v>
      </c>
      <c r="B11" s="3">
        <v>0.26200000000000001</v>
      </c>
      <c r="C11">
        <v>0.13900000000000001</v>
      </c>
      <c r="D11" s="75">
        <v>0.19500000000000001</v>
      </c>
    </row>
    <row r="12" spans="1:7">
      <c r="A12" s="74" t="s">
        <v>28</v>
      </c>
      <c r="B12" s="3">
        <v>0.36199999999999999</v>
      </c>
      <c r="C12">
        <v>0.13</v>
      </c>
      <c r="D12" s="75">
        <v>0.161</v>
      </c>
    </row>
    <row r="13" spans="1:7" ht="15.95" thickBot="1">
      <c r="A13" s="76" t="s">
        <v>247</v>
      </c>
      <c r="B13" s="129">
        <v>0.308</v>
      </c>
      <c r="C13" s="7">
        <v>0.16300000000000001</v>
      </c>
      <c r="D13" s="77">
        <v>0.161</v>
      </c>
    </row>
    <row r="15" spans="1:7" ht="15.95" thickBot="1">
      <c r="A15" s="5" t="s">
        <v>311</v>
      </c>
    </row>
    <row r="16" spans="1:7" ht="18" thickBot="1">
      <c r="A16" s="190" t="s">
        <v>257</v>
      </c>
      <c r="B16" s="192"/>
      <c r="C16" s="192"/>
      <c r="D16" s="192"/>
      <c r="E16" s="191"/>
    </row>
    <row r="17" spans="1:5">
      <c r="A17" s="72" t="s">
        <v>242</v>
      </c>
      <c r="B17" s="121" t="s">
        <v>258</v>
      </c>
      <c r="C17" s="5" t="s">
        <v>259</v>
      </c>
      <c r="D17" s="5" t="s">
        <v>260</v>
      </c>
      <c r="E17" s="73"/>
    </row>
    <row r="18" spans="1:5">
      <c r="A18" s="74" t="s">
        <v>26</v>
      </c>
      <c r="B18" s="3">
        <v>0.26800000000000002</v>
      </c>
      <c r="E18" s="75"/>
    </row>
    <row r="19" spans="1:5">
      <c r="A19" s="74" t="s">
        <v>28</v>
      </c>
      <c r="B19" s="3">
        <v>0.20399999999999999</v>
      </c>
      <c r="D19">
        <v>0.873</v>
      </c>
      <c r="E19" s="75"/>
    </row>
    <row r="20" spans="1:5" ht="15.95" thickBot="1">
      <c r="A20" s="76" t="s">
        <v>247</v>
      </c>
      <c r="B20" s="129">
        <v>0.38300000000000001</v>
      </c>
      <c r="C20" s="7">
        <v>0.94899999999999995</v>
      </c>
      <c r="D20" s="7"/>
      <c r="E20" s="77"/>
    </row>
    <row r="22" spans="1:5" ht="15.95" thickBot="1">
      <c r="A22" s="5" t="s">
        <v>312</v>
      </c>
    </row>
    <row r="23" spans="1:5" ht="18" thickBot="1">
      <c r="A23" s="190" t="s">
        <v>264</v>
      </c>
      <c r="B23" s="192"/>
      <c r="C23" s="192"/>
      <c r="D23" s="192"/>
      <c r="E23" s="191"/>
    </row>
    <row r="24" spans="1:5">
      <c r="A24" s="72" t="s">
        <v>242</v>
      </c>
      <c r="B24" s="121" t="s">
        <v>265</v>
      </c>
      <c r="C24" s="5" t="s">
        <v>266</v>
      </c>
      <c r="D24" s="5" t="s">
        <v>267</v>
      </c>
      <c r="E24" s="73"/>
    </row>
    <row r="25" spans="1:5" ht="15.95" thickBot="1">
      <c r="A25" s="76" t="s">
        <v>247</v>
      </c>
      <c r="B25" s="129">
        <v>0.56399999999999995</v>
      </c>
      <c r="C25" s="7">
        <v>0.56399999999999995</v>
      </c>
      <c r="D25" s="7">
        <v>0.55000000000000004</v>
      </c>
      <c r="E25" s="77"/>
    </row>
    <row r="26" spans="1:5">
      <c r="A26" s="6"/>
    </row>
    <row r="27" spans="1:5" ht="15.95" thickBot="1">
      <c r="A27" s="5" t="s">
        <v>313</v>
      </c>
    </row>
    <row r="28" spans="1:5" ht="15.95" thickBot="1">
      <c r="A28" s="190" t="s">
        <v>270</v>
      </c>
      <c r="B28" s="192"/>
      <c r="C28" s="192"/>
      <c r="D28" s="191"/>
    </row>
    <row r="29" spans="1:5">
      <c r="A29" s="72" t="s">
        <v>271</v>
      </c>
      <c r="B29" s="121" t="s">
        <v>272</v>
      </c>
      <c r="C29" s="5" t="s">
        <v>273</v>
      </c>
      <c r="D29" s="75"/>
    </row>
    <row r="30" spans="1:5">
      <c r="A30" s="74" t="s">
        <v>274</v>
      </c>
      <c r="B30" s="4">
        <v>26.98</v>
      </c>
      <c r="C30" s="3">
        <f t="shared" ref="C30:C43" si="2">B30/1000</f>
        <v>2.6980000000000001E-2</v>
      </c>
      <c r="D30" s="75"/>
    </row>
    <row r="31" spans="1:5">
      <c r="A31" s="74" t="s">
        <v>275</v>
      </c>
      <c r="B31" s="4">
        <v>342.15</v>
      </c>
      <c r="C31" s="3">
        <f t="shared" si="2"/>
        <v>0.34214999999999995</v>
      </c>
      <c r="D31" s="75"/>
    </row>
    <row r="32" spans="1:5">
      <c r="A32" s="74" t="s">
        <v>276</v>
      </c>
      <c r="B32" s="4">
        <v>58.9</v>
      </c>
      <c r="C32" s="3">
        <f t="shared" si="2"/>
        <v>5.8900000000000001E-2</v>
      </c>
      <c r="D32" s="75"/>
    </row>
    <row r="33" spans="1:4">
      <c r="A33" s="74" t="s">
        <v>266</v>
      </c>
      <c r="B33" s="4">
        <v>155</v>
      </c>
      <c r="C33" s="3">
        <f t="shared" si="2"/>
        <v>0.155</v>
      </c>
      <c r="D33" s="75"/>
    </row>
    <row r="34" spans="1:4">
      <c r="A34" s="74" t="s">
        <v>277</v>
      </c>
      <c r="B34" s="4">
        <v>55.844999999999999</v>
      </c>
      <c r="C34" s="3">
        <f t="shared" si="2"/>
        <v>5.5844999999999999E-2</v>
      </c>
      <c r="D34" s="75"/>
    </row>
    <row r="35" spans="1:4">
      <c r="A35" s="74" t="s">
        <v>278</v>
      </c>
      <c r="B35" s="4">
        <v>151.90799999999999</v>
      </c>
      <c r="C35" s="3">
        <f t="shared" si="2"/>
        <v>0.15190799999999999</v>
      </c>
      <c r="D35" s="75"/>
    </row>
    <row r="36" spans="1:4">
      <c r="A36" s="74" t="s">
        <v>279</v>
      </c>
      <c r="B36" s="4">
        <v>6.94</v>
      </c>
      <c r="C36" s="3">
        <f t="shared" si="2"/>
        <v>6.94E-3</v>
      </c>
      <c r="D36" s="75"/>
    </row>
    <row r="37" spans="1:4">
      <c r="A37" s="74" t="s">
        <v>258</v>
      </c>
      <c r="B37" s="4">
        <v>73.891000000000005</v>
      </c>
      <c r="C37" s="3">
        <f t="shared" si="2"/>
        <v>7.3891000000000012E-2</v>
      </c>
      <c r="D37" s="75"/>
    </row>
    <row r="38" spans="1:4">
      <c r="A38" s="74" t="s">
        <v>280</v>
      </c>
      <c r="B38" s="4">
        <v>23.95</v>
      </c>
      <c r="C38" s="3">
        <f t="shared" si="2"/>
        <v>2.3949999999999999E-2</v>
      </c>
      <c r="D38" s="75"/>
    </row>
    <row r="39" spans="1:4">
      <c r="A39" s="74" t="s">
        <v>281</v>
      </c>
      <c r="B39" s="4">
        <v>54.94</v>
      </c>
      <c r="C39" s="3">
        <f t="shared" si="2"/>
        <v>5.4939999999999996E-2</v>
      </c>
      <c r="D39" s="75"/>
    </row>
    <row r="40" spans="1:4">
      <c r="A40" s="74" t="s">
        <v>260</v>
      </c>
      <c r="B40" s="4">
        <v>157.87</v>
      </c>
      <c r="C40" s="3">
        <f t="shared" si="2"/>
        <v>0.15787000000000001</v>
      </c>
      <c r="D40" s="75"/>
    </row>
    <row r="41" spans="1:4">
      <c r="A41" s="74" t="s">
        <v>267</v>
      </c>
      <c r="B41" s="4">
        <v>151</v>
      </c>
      <c r="C41" s="3">
        <f t="shared" si="2"/>
        <v>0.151</v>
      </c>
      <c r="D41" s="75"/>
    </row>
    <row r="42" spans="1:4">
      <c r="A42" s="74" t="s">
        <v>282</v>
      </c>
      <c r="B42" s="4">
        <v>58.69</v>
      </c>
      <c r="C42" s="3">
        <f t="shared" si="2"/>
        <v>5.8689999999999999E-2</v>
      </c>
      <c r="D42" s="75"/>
    </row>
    <row r="43" spans="1:4" ht="15.95" thickBot="1">
      <c r="A43" s="76" t="s">
        <v>265</v>
      </c>
      <c r="B43" s="84">
        <v>154.75</v>
      </c>
      <c r="C43" s="129">
        <f t="shared" si="2"/>
        <v>0.15475</v>
      </c>
      <c r="D43" s="77"/>
    </row>
    <row r="45" spans="1:4" ht="15.95" thickBot="1">
      <c r="A45" s="5" t="s">
        <v>314</v>
      </c>
    </row>
    <row r="46" spans="1:4" ht="18" thickBot="1">
      <c r="A46" s="190" t="s">
        <v>284</v>
      </c>
      <c r="B46" s="192"/>
      <c r="C46" s="191"/>
    </row>
    <row r="47" spans="1:4" ht="15.95" thickBot="1">
      <c r="A47" s="215" t="s">
        <v>26</v>
      </c>
      <c r="B47" s="216"/>
      <c r="C47" s="217"/>
    </row>
    <row r="48" spans="1:4">
      <c r="A48" s="72" t="s">
        <v>285</v>
      </c>
      <c r="B48" s="121" t="s">
        <v>244</v>
      </c>
      <c r="C48" s="73" t="s">
        <v>245</v>
      </c>
    </row>
    <row r="49" spans="1:3">
      <c r="A49" s="74" t="s">
        <v>253</v>
      </c>
      <c r="B49" s="4">
        <f>$C$4*B11</f>
        <v>31.32090909090909</v>
      </c>
      <c r="C49" s="131">
        <f>B49/1000</f>
        <v>3.1320909090909094E-2</v>
      </c>
    </row>
    <row r="50" spans="1:3">
      <c r="A50" s="74" t="s">
        <v>286</v>
      </c>
      <c r="B50" s="4">
        <f>C4*D11</f>
        <v>23.311363636363634</v>
      </c>
      <c r="C50" s="131">
        <f t="shared" ref="C50:C55" si="3">B50/1000</f>
        <v>2.3311363636363634E-2</v>
      </c>
    </row>
    <row r="51" spans="1:3">
      <c r="A51" s="74" t="s">
        <v>254</v>
      </c>
      <c r="B51" s="4">
        <f>C4*C11</f>
        <v>16.616818181818182</v>
      </c>
      <c r="C51" s="131">
        <f t="shared" si="3"/>
        <v>1.6616818181818181E-2</v>
      </c>
    </row>
    <row r="52" spans="1:3">
      <c r="A52" s="74" t="s">
        <v>287</v>
      </c>
      <c r="B52" s="4">
        <f>B49*B18*(2*B36/B37)</f>
        <v>1.5767653770111012</v>
      </c>
      <c r="C52" s="131">
        <f t="shared" si="3"/>
        <v>1.5767653770111011E-3</v>
      </c>
    </row>
    <row r="53" spans="1:3">
      <c r="A53" s="74" t="s">
        <v>288</v>
      </c>
      <c r="B53" s="4">
        <v>0</v>
      </c>
      <c r="C53" s="75">
        <f t="shared" si="3"/>
        <v>0</v>
      </c>
    </row>
    <row r="54" spans="1:3">
      <c r="A54" s="74" t="s">
        <v>289</v>
      </c>
      <c r="B54" s="4">
        <v>0</v>
      </c>
      <c r="C54" s="75">
        <f t="shared" si="3"/>
        <v>0</v>
      </c>
    </row>
    <row r="55" spans="1:3" ht="15.95" thickBot="1">
      <c r="A55" s="76" t="s">
        <v>290</v>
      </c>
      <c r="B55" s="84">
        <v>0</v>
      </c>
      <c r="C55" s="77">
        <f t="shared" si="3"/>
        <v>0</v>
      </c>
    </row>
    <row r="56" spans="1:3" ht="15.95" thickBot="1">
      <c r="A56" s="74"/>
      <c r="C56" s="75"/>
    </row>
    <row r="57" spans="1:3" ht="15.95" thickBot="1">
      <c r="A57" s="218" t="s">
        <v>28</v>
      </c>
      <c r="B57" s="219"/>
      <c r="C57" s="220"/>
    </row>
    <row r="58" spans="1:3">
      <c r="A58" s="72" t="s">
        <v>285</v>
      </c>
      <c r="B58" s="121" t="s">
        <v>244</v>
      </c>
      <c r="C58" s="73" t="s">
        <v>245</v>
      </c>
    </row>
    <row r="59" spans="1:3">
      <c r="A59" s="74" t="s">
        <v>253</v>
      </c>
      <c r="B59" s="4">
        <f>C5*B12</f>
        <v>36.035454545454542</v>
      </c>
      <c r="C59" s="87">
        <f>B59/1000</f>
        <v>3.6035454545454544E-2</v>
      </c>
    </row>
    <row r="60" spans="1:3">
      <c r="A60" s="74" t="s">
        <v>286</v>
      </c>
      <c r="B60" s="4">
        <f>C5*D12</f>
        <v>16.026818181818179</v>
      </c>
      <c r="C60" s="87">
        <f t="shared" ref="C60:C65" si="4">B60/1000</f>
        <v>1.602681818181818E-2</v>
      </c>
    </row>
    <row r="61" spans="1:3">
      <c r="A61" s="74" t="s">
        <v>254</v>
      </c>
      <c r="B61" s="4">
        <f>C5*C12</f>
        <v>12.94090909090909</v>
      </c>
      <c r="C61" s="87">
        <f t="shared" si="4"/>
        <v>1.294090909090909E-2</v>
      </c>
    </row>
    <row r="62" spans="1:3">
      <c r="A62" s="74" t="s">
        <v>287</v>
      </c>
      <c r="B62" s="4">
        <f>B59*B19*(2*B36/B37)</f>
        <v>1.3808868502868472</v>
      </c>
      <c r="C62" s="87">
        <f t="shared" si="4"/>
        <v>1.3808868502868472E-3</v>
      </c>
    </row>
    <row r="63" spans="1:3">
      <c r="A63" s="74" t="s">
        <v>288</v>
      </c>
      <c r="B63" s="4">
        <v>0</v>
      </c>
      <c r="C63" s="87">
        <f t="shared" si="4"/>
        <v>0</v>
      </c>
    </row>
    <row r="64" spans="1:3">
      <c r="A64" s="74" t="s">
        <v>289</v>
      </c>
      <c r="B64" s="4">
        <f>(B59*D19*(2*B39/B40))</f>
        <v>21.895924658147958</v>
      </c>
      <c r="C64" s="87">
        <f t="shared" si="4"/>
        <v>2.1895924658147957E-2</v>
      </c>
    </row>
    <row r="65" spans="1:7" ht="15.95" thickBot="1">
      <c r="A65" s="76" t="s">
        <v>290</v>
      </c>
      <c r="B65" s="84">
        <v>0</v>
      </c>
      <c r="C65" s="88">
        <f t="shared" si="4"/>
        <v>0</v>
      </c>
    </row>
    <row r="66" spans="1:7" ht="15.95" thickBot="1">
      <c r="A66" s="74"/>
      <c r="C66" s="75"/>
    </row>
    <row r="67" spans="1:7" ht="15.95" thickBot="1">
      <c r="A67" s="218" t="s">
        <v>247</v>
      </c>
      <c r="B67" s="219"/>
      <c r="C67" s="220"/>
    </row>
    <row r="68" spans="1:7">
      <c r="A68" s="72" t="s">
        <v>285</v>
      </c>
      <c r="B68" s="121" t="s">
        <v>244</v>
      </c>
      <c r="C68" s="73" t="s">
        <v>245</v>
      </c>
      <c r="E68" s="3"/>
    </row>
    <row r="69" spans="1:7">
      <c r="A69" s="74" t="s">
        <v>253</v>
      </c>
      <c r="B69" s="4">
        <f>C6*B13</f>
        <v>27.132000000000001</v>
      </c>
      <c r="C69" s="131">
        <f>B69/1000</f>
        <v>2.7132E-2</v>
      </c>
    </row>
    <row r="70" spans="1:7">
      <c r="A70" s="74" t="s">
        <v>286</v>
      </c>
      <c r="B70" s="4">
        <f>C6*D13</f>
        <v>14.182636363636364</v>
      </c>
      <c r="C70" s="131">
        <f t="shared" ref="C70:C75" si="5">B70/1000</f>
        <v>1.4182636363636364E-2</v>
      </c>
    </row>
    <row r="71" spans="1:7">
      <c r="A71" s="74" t="s">
        <v>254</v>
      </c>
      <c r="B71" s="4">
        <f>C6*C13</f>
        <v>14.358818181818183</v>
      </c>
      <c r="C71" s="131">
        <f t="shared" si="5"/>
        <v>1.4358818181818183E-2</v>
      </c>
    </row>
    <row r="72" spans="1:7">
      <c r="A72" s="74" t="s">
        <v>287</v>
      </c>
      <c r="B72" s="4">
        <f>(B69*B20*(2*$B$36/$B$37))</f>
        <v>1.9519941167395218</v>
      </c>
      <c r="C72" s="131">
        <f t="shared" si="5"/>
        <v>1.9519941167395218E-3</v>
      </c>
    </row>
    <row r="73" spans="1:7">
      <c r="A73" s="74" t="s">
        <v>288</v>
      </c>
      <c r="B73" s="4">
        <f>(B69*C20*B25*(B42/B43))</f>
        <v>5.507576987340097</v>
      </c>
      <c r="C73" s="131">
        <f t="shared" si="5"/>
        <v>5.507576987340097E-3</v>
      </c>
    </row>
    <row r="74" spans="1:7">
      <c r="A74" s="74" t="s">
        <v>289</v>
      </c>
      <c r="B74" s="4">
        <f>(B69*C20*D25*(B39/B41))</f>
        <v>5.1525524116291397</v>
      </c>
      <c r="C74" s="131">
        <f t="shared" si="5"/>
        <v>5.15255241162914E-3</v>
      </c>
    </row>
    <row r="75" spans="1:7" ht="15.95" thickBot="1">
      <c r="A75" s="76" t="s">
        <v>290</v>
      </c>
      <c r="B75" s="84">
        <f>(B69*C20*C25*(B32/B33))</f>
        <v>5.51836879776</v>
      </c>
      <c r="C75" s="132">
        <f t="shared" si="5"/>
        <v>5.5183687977599996E-3</v>
      </c>
    </row>
    <row r="77" spans="1:7" ht="15.95" thickBot="1">
      <c r="A77" s="5" t="s">
        <v>315</v>
      </c>
    </row>
    <row r="78" spans="1:7" ht="15.95" thickBot="1">
      <c r="A78" s="190" t="s">
        <v>316</v>
      </c>
      <c r="B78" s="192"/>
      <c r="C78" s="192"/>
      <c r="D78" s="192"/>
      <c r="E78" s="192"/>
      <c r="F78" s="192"/>
      <c r="G78" s="191"/>
    </row>
    <row r="79" spans="1:7" ht="15.95">
      <c r="A79" s="72" t="s">
        <v>242</v>
      </c>
      <c r="B79" s="134" t="s">
        <v>294</v>
      </c>
      <c r="C79" s="135" t="s">
        <v>295</v>
      </c>
      <c r="D79" s="135" t="s">
        <v>296</v>
      </c>
      <c r="E79" s="135" t="s">
        <v>297</v>
      </c>
      <c r="F79" s="135" t="s">
        <v>298</v>
      </c>
      <c r="G79" s="136" t="s">
        <v>299</v>
      </c>
    </row>
    <row r="80" spans="1:7">
      <c r="A80" s="74" t="s">
        <v>26</v>
      </c>
      <c r="B80" s="4">
        <f>B60</f>
        <v>16.026818181818179</v>
      </c>
      <c r="C80" s="4">
        <f>B55</f>
        <v>0</v>
      </c>
      <c r="D80" s="4">
        <f>B51</f>
        <v>16.616818181818182</v>
      </c>
      <c r="E80" s="4">
        <f>B52</f>
        <v>1.5767653770111012</v>
      </c>
      <c r="F80" s="4">
        <f>B54</f>
        <v>0</v>
      </c>
      <c r="G80" s="87">
        <f>B53</f>
        <v>0</v>
      </c>
    </row>
    <row r="81" spans="1:7">
      <c r="A81" s="74" t="s">
        <v>28</v>
      </c>
      <c r="B81" s="4">
        <f>B60</f>
        <v>16.026818181818179</v>
      </c>
      <c r="C81" s="4">
        <f>B65</f>
        <v>0</v>
      </c>
      <c r="D81" s="4">
        <f>B61</f>
        <v>12.94090909090909</v>
      </c>
      <c r="E81" s="4">
        <f>B62</f>
        <v>1.3808868502868472</v>
      </c>
      <c r="F81" s="4">
        <f>B64</f>
        <v>21.895924658147958</v>
      </c>
      <c r="G81" s="87">
        <f>B65</f>
        <v>0</v>
      </c>
    </row>
    <row r="82" spans="1:7" ht="15.95" thickBot="1">
      <c r="A82" s="76" t="s">
        <v>247</v>
      </c>
      <c r="B82" s="84">
        <f>B70</f>
        <v>14.182636363636364</v>
      </c>
      <c r="C82" s="84">
        <f>B75</f>
        <v>5.51836879776</v>
      </c>
      <c r="D82" s="84">
        <f>B71</f>
        <v>14.358818181818183</v>
      </c>
      <c r="E82" s="84">
        <f>B72</f>
        <v>1.9519941167395218</v>
      </c>
      <c r="F82" s="84">
        <f>B74</f>
        <v>5.1525524116291397</v>
      </c>
      <c r="G82" s="88">
        <f>B73</f>
        <v>5.507576987340097</v>
      </c>
    </row>
    <row r="84" spans="1:7" ht="15.95" thickBot="1">
      <c r="A84" s="5" t="s">
        <v>317</v>
      </c>
    </row>
    <row r="85" spans="1:7" ht="15.95" thickBot="1">
      <c r="A85" s="190" t="s">
        <v>316</v>
      </c>
      <c r="B85" s="192"/>
      <c r="C85" s="192"/>
      <c r="D85" s="191"/>
    </row>
    <row r="86" spans="1:7">
      <c r="A86" s="72" t="s">
        <v>302</v>
      </c>
      <c r="B86" s="5" t="s">
        <v>26</v>
      </c>
      <c r="C86" s="5" t="s">
        <v>28</v>
      </c>
      <c r="D86" s="73" t="s">
        <v>247</v>
      </c>
    </row>
    <row r="87" spans="1:7">
      <c r="A87" s="74" t="s">
        <v>303</v>
      </c>
      <c r="B87" s="4" cm="1">
        <f t="array" ref="B87:B92">TRANSPOSE(B80:G80)</f>
        <v>16.026818181818179</v>
      </c>
      <c r="C87" s="4" cm="1">
        <f t="array" ref="C87:C92">TRANSPOSE(B81:G81)</f>
        <v>16.026818181818179</v>
      </c>
      <c r="D87" s="87" cm="1">
        <f t="array" ref="D87:D92">TRANSPOSE(B82:G82)</f>
        <v>14.182636363636364</v>
      </c>
    </row>
    <row r="88" spans="1:7">
      <c r="A88" s="74" t="s">
        <v>304</v>
      </c>
      <c r="B88" s="4">
        <v>0</v>
      </c>
      <c r="C88" s="4">
        <v>0</v>
      </c>
      <c r="D88" s="87">
        <v>5.51836879776</v>
      </c>
    </row>
    <row r="89" spans="1:7">
      <c r="A89" s="74" t="s">
        <v>305</v>
      </c>
      <c r="B89" s="4">
        <v>16.616818181818182</v>
      </c>
      <c r="C89" s="4">
        <v>12.94090909090909</v>
      </c>
      <c r="D89" s="87">
        <v>14.358818181818183</v>
      </c>
    </row>
    <row r="90" spans="1:7">
      <c r="A90" s="74" t="s">
        <v>306</v>
      </c>
      <c r="B90" s="4">
        <v>1.5767653770111012</v>
      </c>
      <c r="C90" s="4">
        <v>1.3808868502868472</v>
      </c>
      <c r="D90" s="87">
        <v>1.9519941167395218</v>
      </c>
    </row>
    <row r="91" spans="1:7">
      <c r="A91" s="74" t="s">
        <v>307</v>
      </c>
      <c r="B91" s="4">
        <v>0</v>
      </c>
      <c r="C91" s="4">
        <v>21.895924658147958</v>
      </c>
      <c r="D91" s="87">
        <v>5.1525524116291397</v>
      </c>
    </row>
    <row r="92" spans="1:7" ht="15.95" thickBot="1">
      <c r="A92" s="76" t="s">
        <v>308</v>
      </c>
      <c r="B92" s="84">
        <v>0</v>
      </c>
      <c r="C92" s="84">
        <v>0</v>
      </c>
      <c r="D92" s="88">
        <v>5.507576987340097</v>
      </c>
    </row>
  </sheetData>
  <mergeCells count="11">
    <mergeCell ref="A85:D85"/>
    <mergeCell ref="A28:D28"/>
    <mergeCell ref="A23:E23"/>
    <mergeCell ref="A16:E16"/>
    <mergeCell ref="A9:D9"/>
    <mergeCell ref="A2:D2"/>
    <mergeCell ref="A47:C47"/>
    <mergeCell ref="A57:C57"/>
    <mergeCell ref="A67:C67"/>
    <mergeCell ref="A78:G78"/>
    <mergeCell ref="A46:C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F0BC4-CDB0-5849-82DF-199C4022287B}">
  <dimension ref="A1:E43"/>
  <sheetViews>
    <sheetView topLeftCell="A28" zoomScale="150" zoomScaleNormal="150" workbookViewId="0">
      <selection activeCell="E37" sqref="E37"/>
    </sheetView>
  </sheetViews>
  <sheetFormatPr defaultColWidth="11.42578125" defaultRowHeight="15"/>
  <cols>
    <col min="2" max="2" width="16.28515625" bestFit="1" customWidth="1"/>
    <col min="3" max="3" width="12.7109375" customWidth="1"/>
  </cols>
  <sheetData>
    <row r="1" spans="1:5" ht="15.95" thickBot="1">
      <c r="A1" s="5" t="s">
        <v>318</v>
      </c>
    </row>
    <row r="2" spans="1:5" ht="15.95" thickBot="1">
      <c r="A2" s="224" t="s">
        <v>77</v>
      </c>
      <c r="B2" s="225"/>
      <c r="C2" s="226"/>
      <c r="E2" s="5" t="s">
        <v>234</v>
      </c>
    </row>
    <row r="3" spans="1:5" ht="15.95" thickBot="1">
      <c r="A3" s="78" t="s">
        <v>285</v>
      </c>
      <c r="B3" s="79" t="s">
        <v>319</v>
      </c>
      <c r="C3" s="80" t="s">
        <v>236</v>
      </c>
      <c r="E3" t="s">
        <v>320</v>
      </c>
    </row>
    <row r="4" spans="1:5">
      <c r="A4" s="74" t="s">
        <v>321</v>
      </c>
      <c r="B4">
        <v>0.97</v>
      </c>
      <c r="C4" s="75">
        <v>1</v>
      </c>
      <c r="D4" t="s">
        <v>322</v>
      </c>
      <c r="E4" t="s">
        <v>323</v>
      </c>
    </row>
    <row r="5" spans="1:5" ht="15.95" thickBot="1">
      <c r="A5" s="76" t="s">
        <v>324</v>
      </c>
      <c r="B5" s="7">
        <v>0.9</v>
      </c>
      <c r="C5" s="77">
        <v>2</v>
      </c>
      <c r="E5" t="s">
        <v>325</v>
      </c>
    </row>
    <row r="6" spans="1:5">
      <c r="E6" t="s">
        <v>326</v>
      </c>
    </row>
    <row r="7" spans="1:5" ht="15.95" thickBot="1">
      <c r="A7" s="5" t="s">
        <v>327</v>
      </c>
      <c r="E7" t="s">
        <v>328</v>
      </c>
    </row>
    <row r="8" spans="1:5" ht="15.95" thickBot="1">
      <c r="A8" s="224" t="s">
        <v>80</v>
      </c>
      <c r="B8" s="225"/>
      <c r="C8" s="226"/>
      <c r="E8" t="s">
        <v>329</v>
      </c>
    </row>
    <row r="9" spans="1:5" ht="15.95" thickBot="1">
      <c r="A9" s="78" t="s">
        <v>285</v>
      </c>
      <c r="B9" s="79" t="s">
        <v>319</v>
      </c>
      <c r="C9" s="80" t="s">
        <v>236</v>
      </c>
      <c r="E9" t="s">
        <v>330</v>
      </c>
    </row>
    <row r="10" spans="1:5" ht="15.95" thickBot="1">
      <c r="A10" s="76" t="s">
        <v>331</v>
      </c>
      <c r="B10" s="7">
        <f>0.029/100</f>
        <v>2.9E-4</v>
      </c>
      <c r="C10" s="77">
        <v>3</v>
      </c>
      <c r="D10" t="s">
        <v>322</v>
      </c>
      <c r="E10" t="s">
        <v>332</v>
      </c>
    </row>
    <row r="11" spans="1:5">
      <c r="E11" t="s">
        <v>333</v>
      </c>
    </row>
    <row r="12" spans="1:5" ht="15.95" thickBot="1">
      <c r="A12" s="5" t="s">
        <v>334</v>
      </c>
    </row>
    <row r="13" spans="1:5" ht="15.95" thickBot="1">
      <c r="A13" s="224" t="s">
        <v>82</v>
      </c>
      <c r="B13" s="225"/>
      <c r="C13" s="226"/>
    </row>
    <row r="14" spans="1:5" s="5" customFormat="1" ht="15.95" thickBot="1">
      <c r="A14" s="78" t="s">
        <v>285</v>
      </c>
      <c r="B14" s="79" t="s">
        <v>319</v>
      </c>
      <c r="C14" s="80" t="s">
        <v>236</v>
      </c>
    </row>
    <row r="15" spans="1:5">
      <c r="A15" s="74" t="s">
        <v>335</v>
      </c>
      <c r="B15">
        <v>0.75</v>
      </c>
      <c r="C15" s="75">
        <v>4</v>
      </c>
    </row>
    <row r="16" spans="1:5">
      <c r="A16" s="74" t="s">
        <v>336</v>
      </c>
      <c r="B16">
        <v>0.86</v>
      </c>
      <c r="C16" s="75">
        <v>4</v>
      </c>
    </row>
    <row r="17" spans="1:4" ht="15.95" thickBot="1">
      <c r="A17" s="76" t="s">
        <v>337</v>
      </c>
      <c r="B17" s="7">
        <v>0.99950000000000006</v>
      </c>
      <c r="C17" s="77">
        <v>4</v>
      </c>
    </row>
    <row r="19" spans="1:4" ht="15.95" thickBot="1">
      <c r="A19" s="5" t="s">
        <v>338</v>
      </c>
    </row>
    <row r="20" spans="1:4" ht="15.95" thickBot="1">
      <c r="A20" s="224" t="s">
        <v>84</v>
      </c>
      <c r="B20" s="225"/>
      <c r="C20" s="226"/>
    </row>
    <row r="21" spans="1:4" s="5" customFormat="1" ht="15.95" thickBot="1">
      <c r="A21" s="78" t="s">
        <v>285</v>
      </c>
      <c r="B21" s="79" t="s">
        <v>319</v>
      </c>
      <c r="C21" s="80" t="s">
        <v>236</v>
      </c>
    </row>
    <row r="22" spans="1:4">
      <c r="A22" s="74" t="s">
        <v>339</v>
      </c>
      <c r="B22">
        <v>0.188</v>
      </c>
      <c r="C22" s="75" t="s">
        <v>340</v>
      </c>
    </row>
    <row r="23" spans="1:4">
      <c r="A23" s="74" t="s">
        <v>341</v>
      </c>
      <c r="B23">
        <v>0.28999999999999998</v>
      </c>
      <c r="C23" s="75" t="s">
        <v>340</v>
      </c>
    </row>
    <row r="24" spans="1:4">
      <c r="A24" s="74" t="s">
        <v>342</v>
      </c>
      <c r="B24">
        <f>0.46*0.07</f>
        <v>3.2200000000000006E-2</v>
      </c>
      <c r="C24" s="75">
        <v>5</v>
      </c>
      <c r="D24" t="s">
        <v>322</v>
      </c>
    </row>
    <row r="25" spans="1:4" ht="15.95" thickBot="1">
      <c r="A25" s="76" t="s">
        <v>343</v>
      </c>
      <c r="B25" s="7">
        <v>0.16400000000000001</v>
      </c>
      <c r="C25" s="77" t="s">
        <v>340</v>
      </c>
    </row>
    <row r="27" spans="1:4" ht="15.95" thickBot="1">
      <c r="A27" s="5" t="s">
        <v>344</v>
      </c>
    </row>
    <row r="28" spans="1:4" ht="15.95" thickBot="1">
      <c r="A28" s="224" t="s">
        <v>86</v>
      </c>
      <c r="B28" s="225"/>
      <c r="C28" s="226"/>
    </row>
    <row r="29" spans="1:4" s="5" customFormat="1" ht="15.95" thickBot="1">
      <c r="A29" s="78" t="s">
        <v>285</v>
      </c>
      <c r="B29" s="79" t="s">
        <v>319</v>
      </c>
      <c r="C29" s="80" t="s">
        <v>236</v>
      </c>
    </row>
    <row r="30" spans="1:4">
      <c r="A30" s="74" t="s">
        <v>345</v>
      </c>
      <c r="B30">
        <v>0.78</v>
      </c>
      <c r="C30" s="75">
        <v>6</v>
      </c>
      <c r="D30" t="s">
        <v>322</v>
      </c>
    </row>
    <row r="31" spans="1:4">
      <c r="A31" s="74" t="s">
        <v>346</v>
      </c>
      <c r="B31">
        <v>0.66</v>
      </c>
      <c r="C31" s="75">
        <v>6</v>
      </c>
      <c r="D31" t="s">
        <v>322</v>
      </c>
    </row>
    <row r="32" spans="1:4">
      <c r="A32" s="74" t="s">
        <v>347</v>
      </c>
      <c r="B32">
        <v>0.63200000000000001</v>
      </c>
      <c r="C32" s="75" t="s">
        <v>340</v>
      </c>
    </row>
    <row r="33" spans="1:4" ht="15.95" thickBot="1">
      <c r="A33" s="76" t="s">
        <v>348</v>
      </c>
      <c r="B33" s="7">
        <v>0.34799999999999998</v>
      </c>
      <c r="C33" s="77" t="s">
        <v>340</v>
      </c>
    </row>
    <row r="35" spans="1:4">
      <c r="A35" s="5" t="s">
        <v>349</v>
      </c>
    </row>
    <row r="36" spans="1:4">
      <c r="A36" s="221" t="s">
        <v>88</v>
      </c>
      <c r="B36" s="222"/>
      <c r="C36" s="223"/>
    </row>
    <row r="37" spans="1:4">
      <c r="A37" s="178" t="s">
        <v>285</v>
      </c>
      <c r="B37" s="179" t="s">
        <v>319</v>
      </c>
      <c r="C37" s="180" t="s">
        <v>236</v>
      </c>
    </row>
    <row r="38" spans="1:4">
      <c r="A38" s="160" t="s">
        <v>350</v>
      </c>
      <c r="B38">
        <v>0.3</v>
      </c>
      <c r="C38" s="161">
        <v>7</v>
      </c>
      <c r="D38" t="s">
        <v>322</v>
      </c>
    </row>
    <row r="39" spans="1:4">
      <c r="A39" s="160" t="s">
        <v>351</v>
      </c>
      <c r="B39">
        <v>0.1</v>
      </c>
      <c r="C39" s="161">
        <v>8</v>
      </c>
      <c r="D39" t="s">
        <v>322</v>
      </c>
    </row>
    <row r="40" spans="1:4">
      <c r="A40" s="160" t="s">
        <v>331</v>
      </c>
      <c r="B40">
        <v>1.4999999999999999E-2</v>
      </c>
      <c r="C40" s="161">
        <v>8</v>
      </c>
      <c r="D40" t="s">
        <v>322</v>
      </c>
    </row>
    <row r="41" spans="1:4">
      <c r="A41" s="160" t="s">
        <v>352</v>
      </c>
      <c r="B41">
        <v>0.43</v>
      </c>
      <c r="C41" s="161">
        <v>9</v>
      </c>
      <c r="D41" t="s">
        <v>322</v>
      </c>
    </row>
    <row r="42" spans="1:4">
      <c r="A42" s="160" t="s">
        <v>353</v>
      </c>
      <c r="B42">
        <v>0.63300000000000001</v>
      </c>
      <c r="C42" s="161" t="s">
        <v>340</v>
      </c>
    </row>
    <row r="43" spans="1:4">
      <c r="A43" s="162" t="s">
        <v>324</v>
      </c>
      <c r="B43" s="163">
        <v>1</v>
      </c>
      <c r="C43" s="164"/>
    </row>
  </sheetData>
  <mergeCells count="6">
    <mergeCell ref="A36:C36"/>
    <mergeCell ref="A2:C2"/>
    <mergeCell ref="A8:C8"/>
    <mergeCell ref="A13:C13"/>
    <mergeCell ref="A20:C20"/>
    <mergeCell ref="A28:C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CA14D-93E9-CF40-9FF6-9A5B71DB9336}">
  <dimension ref="A1:F10"/>
  <sheetViews>
    <sheetView zoomScale="150" zoomScaleNormal="150" workbookViewId="0">
      <selection activeCell="B4" sqref="B4"/>
    </sheetView>
  </sheetViews>
  <sheetFormatPr defaultColWidth="11.42578125" defaultRowHeight="15"/>
  <cols>
    <col min="1" max="1" width="15.42578125" bestFit="1" customWidth="1"/>
  </cols>
  <sheetData>
    <row r="1" spans="1:6" ht="15.95" thickBot="1">
      <c r="A1" s="5" t="s">
        <v>354</v>
      </c>
    </row>
    <row r="2" spans="1:6" ht="15.95" thickBot="1">
      <c r="A2" s="190" t="s">
        <v>355</v>
      </c>
      <c r="B2" s="192"/>
      <c r="C2" s="192"/>
      <c r="D2" s="191"/>
      <c r="F2" s="5" t="s">
        <v>234</v>
      </c>
    </row>
    <row r="3" spans="1:6">
      <c r="A3" s="72" t="s">
        <v>271</v>
      </c>
      <c r="B3" s="5" t="s">
        <v>356</v>
      </c>
      <c r="C3" s="5" t="s">
        <v>236</v>
      </c>
      <c r="D3" s="75"/>
      <c r="F3" t="s">
        <v>357</v>
      </c>
    </row>
    <row r="4" spans="1:6">
      <c r="A4" s="74" t="s">
        <v>286</v>
      </c>
      <c r="B4">
        <v>0.09</v>
      </c>
      <c r="C4">
        <v>1</v>
      </c>
      <c r="D4" s="75"/>
      <c r="F4" t="s">
        <v>358</v>
      </c>
    </row>
    <row r="5" spans="1:6">
      <c r="A5" s="74" t="s">
        <v>290</v>
      </c>
      <c r="B5">
        <v>0.31</v>
      </c>
      <c r="C5">
        <v>2</v>
      </c>
      <c r="D5" s="75"/>
      <c r="F5" t="s">
        <v>359</v>
      </c>
    </row>
    <row r="6" spans="1:6">
      <c r="A6" s="74" t="s">
        <v>360</v>
      </c>
      <c r="B6">
        <v>0.1</v>
      </c>
      <c r="C6">
        <v>3</v>
      </c>
      <c r="D6" s="75"/>
      <c r="F6" t="s">
        <v>361</v>
      </c>
    </row>
    <row r="7" spans="1:6">
      <c r="A7" s="74" t="s">
        <v>362</v>
      </c>
      <c r="B7">
        <v>0.05</v>
      </c>
      <c r="C7">
        <v>3</v>
      </c>
      <c r="D7" s="75"/>
      <c r="F7" t="s">
        <v>363</v>
      </c>
    </row>
    <row r="8" spans="1:6">
      <c r="A8" s="74" t="s">
        <v>287</v>
      </c>
      <c r="B8">
        <v>0.74</v>
      </c>
      <c r="C8">
        <v>4</v>
      </c>
      <c r="D8" s="75"/>
      <c r="F8" t="s">
        <v>364</v>
      </c>
    </row>
    <row r="9" spans="1:6">
      <c r="A9" s="74" t="s">
        <v>289</v>
      </c>
      <c r="B9">
        <v>0.1</v>
      </c>
      <c r="C9">
        <v>5</v>
      </c>
      <c r="D9" s="75"/>
    </row>
    <row r="10" spans="1:6" ht="15.95" thickBot="1">
      <c r="A10" s="76" t="s">
        <v>288</v>
      </c>
      <c r="B10" s="7">
        <v>0.23</v>
      </c>
      <c r="C10" s="7">
        <v>6</v>
      </c>
      <c r="D10" s="77"/>
    </row>
  </sheetData>
  <mergeCells count="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76D56-08BB-C248-9BB5-AD8A3E26E2B1}">
  <dimension ref="A1:L100"/>
  <sheetViews>
    <sheetView topLeftCell="B1" zoomScale="150" zoomScaleNormal="150" workbookViewId="0">
      <selection activeCell="B33" sqref="B33:D33"/>
    </sheetView>
  </sheetViews>
  <sheetFormatPr defaultColWidth="11.42578125" defaultRowHeight="15"/>
  <cols>
    <col min="1" max="1" width="20.28515625" style="8" customWidth="1"/>
    <col min="2" max="2" width="24" style="8" bestFit="1" customWidth="1"/>
    <col min="3" max="3" width="18.28515625" style="8" bestFit="1" customWidth="1"/>
    <col min="4" max="4" width="17.7109375" style="8" bestFit="1" customWidth="1"/>
    <col min="5" max="5" width="16.85546875" style="8" bestFit="1" customWidth="1"/>
    <col min="6" max="6" width="11.42578125" style="8"/>
    <col min="7" max="7" width="14.7109375" style="8" bestFit="1" customWidth="1"/>
    <col min="8" max="8" width="13.85546875" style="8" bestFit="1" customWidth="1"/>
    <col min="9" max="9" width="14.140625" style="8" bestFit="1" customWidth="1"/>
    <col min="10" max="11" width="11.42578125" style="8"/>
    <col min="12" max="12" width="14.42578125" style="8" bestFit="1" customWidth="1"/>
    <col min="13" max="16384" width="11.42578125" style="8"/>
  </cols>
  <sheetData>
    <row r="1" spans="1:6" ht="15.95" thickBot="1">
      <c r="A1" s="12" t="s">
        <v>365</v>
      </c>
    </row>
    <row r="2" spans="1:6" ht="15.95" thickBot="1">
      <c r="B2" s="227" t="s">
        <v>93</v>
      </c>
      <c r="C2" s="228"/>
      <c r="D2" s="229"/>
      <c r="E2" s="12"/>
      <c r="F2" s="5" t="s">
        <v>234</v>
      </c>
    </row>
    <row r="3" spans="1:6" ht="15.95" thickBot="1">
      <c r="A3" s="9" t="s">
        <v>366</v>
      </c>
      <c r="B3" s="31" t="s">
        <v>367</v>
      </c>
      <c r="C3" s="10" t="s">
        <v>368</v>
      </c>
      <c r="D3" s="11" t="s">
        <v>236</v>
      </c>
      <c r="E3" s="12"/>
      <c r="F3" s="8" t="s">
        <v>369</v>
      </c>
    </row>
    <row r="4" spans="1:6">
      <c r="A4" s="32" t="s">
        <v>370</v>
      </c>
      <c r="B4" s="67">
        <f>1012*1000</f>
        <v>1012000</v>
      </c>
      <c r="C4" s="14">
        <f>3050*1000</f>
        <v>3050000</v>
      </c>
      <c r="D4" s="68" t="s">
        <v>371</v>
      </c>
      <c r="F4" s="8" t="s">
        <v>372</v>
      </c>
    </row>
    <row r="5" spans="1:6">
      <c r="A5" s="32" t="s">
        <v>373</v>
      </c>
      <c r="B5" s="67">
        <v>1720000</v>
      </c>
      <c r="D5" s="15" t="s">
        <v>374</v>
      </c>
      <c r="F5" s="8" t="s">
        <v>375</v>
      </c>
    </row>
    <row r="6" spans="1:6">
      <c r="A6" s="32" t="s">
        <v>376</v>
      </c>
      <c r="B6" s="28">
        <f>1549*1000</f>
        <v>1549000</v>
      </c>
      <c r="D6" s="15" t="s">
        <v>377</v>
      </c>
      <c r="F6" s="8" t="s">
        <v>378</v>
      </c>
    </row>
    <row r="7" spans="1:6">
      <c r="A7" s="32" t="s">
        <v>379</v>
      </c>
      <c r="B7" s="67">
        <v>3270000</v>
      </c>
      <c r="D7" s="15" t="s">
        <v>374</v>
      </c>
      <c r="F7" s="8" t="s">
        <v>380</v>
      </c>
    </row>
    <row r="8" spans="1:6" ht="15.95" thickBot="1">
      <c r="A8" s="32" t="s">
        <v>381</v>
      </c>
      <c r="B8" s="28">
        <f>397*1000</f>
        <v>397000</v>
      </c>
      <c r="D8" s="15" t="s">
        <v>377</v>
      </c>
      <c r="F8" s="8" t="s">
        <v>382</v>
      </c>
    </row>
    <row r="9" spans="1:6">
      <c r="A9" s="16" t="s">
        <v>383</v>
      </c>
      <c r="B9" s="45">
        <f>SUM(B4:B8)</f>
        <v>7948000</v>
      </c>
      <c r="C9" s="17">
        <f>SUM(C4:C8)</f>
        <v>3050000</v>
      </c>
      <c r="D9" s="18"/>
      <c r="F9" s="8" t="s">
        <v>384</v>
      </c>
    </row>
    <row r="10" spans="1:6" ht="17.100000000000001" thickBot="1">
      <c r="A10" s="33" t="s">
        <v>385</v>
      </c>
      <c r="B10" s="46">
        <f>B9*1</f>
        <v>7948000</v>
      </c>
      <c r="C10" s="38">
        <f>C9*'4. Mineral Content Percentages'!B5</f>
        <v>2745000</v>
      </c>
      <c r="D10" s="30"/>
    </row>
    <row r="11" spans="1:6" ht="33" thickBot="1">
      <c r="A11" s="93" t="s">
        <v>386</v>
      </c>
      <c r="B11" s="236">
        <f>SUM(B10:C10)</f>
        <v>10693000</v>
      </c>
      <c r="C11" s="237"/>
      <c r="D11" s="238"/>
    </row>
    <row r="13" spans="1:6" ht="15.95" thickBot="1">
      <c r="A13" s="12" t="s">
        <v>387</v>
      </c>
    </row>
    <row r="14" spans="1:6" ht="15.95" thickBot="1">
      <c r="B14" s="233" t="s">
        <v>96</v>
      </c>
      <c r="C14" s="234"/>
      <c r="D14" s="235"/>
    </row>
    <row r="15" spans="1:6" ht="15.95" thickBot="1">
      <c r="A15" s="31" t="s">
        <v>366</v>
      </c>
      <c r="B15" s="31" t="s">
        <v>367</v>
      </c>
      <c r="C15" s="10" t="s">
        <v>368</v>
      </c>
      <c r="D15" s="11" t="s">
        <v>236</v>
      </c>
      <c r="E15" s="23" t="s">
        <v>388</v>
      </c>
    </row>
    <row r="16" spans="1:6">
      <c r="A16" s="28" t="s">
        <v>370</v>
      </c>
      <c r="B16" s="28">
        <v>700</v>
      </c>
      <c r="C16" s="8">
        <v>1600</v>
      </c>
      <c r="D16" s="15" t="s">
        <v>389</v>
      </c>
    </row>
    <row r="17" spans="1:4">
      <c r="A17" s="28" t="s">
        <v>390</v>
      </c>
      <c r="B17" s="28">
        <v>5742</v>
      </c>
      <c r="D17" s="15" t="s">
        <v>391</v>
      </c>
    </row>
    <row r="18" spans="1:4">
      <c r="A18" s="28" t="s">
        <v>392</v>
      </c>
      <c r="B18" s="28">
        <v>3336</v>
      </c>
      <c r="D18" s="15" t="s">
        <v>391</v>
      </c>
    </row>
    <row r="19" spans="1:4">
      <c r="A19" s="28" t="s">
        <v>393</v>
      </c>
      <c r="B19" s="28">
        <v>1100</v>
      </c>
      <c r="D19" s="15" t="s">
        <v>391</v>
      </c>
    </row>
    <row r="20" spans="1:4" ht="15.95" thickBot="1">
      <c r="A20" s="28" t="s">
        <v>394</v>
      </c>
      <c r="B20" s="28">
        <v>2300</v>
      </c>
      <c r="D20" s="15" t="s">
        <v>391</v>
      </c>
    </row>
    <row r="21" spans="1:4">
      <c r="A21" s="34" t="s">
        <v>383</v>
      </c>
      <c r="B21" s="41">
        <f>SUM(B16:B20)</f>
        <v>13178</v>
      </c>
      <c r="C21" s="47">
        <f>SUM(C16:C20)</f>
        <v>1600</v>
      </c>
      <c r="D21" s="18"/>
    </row>
    <row r="22" spans="1:4" ht="15.95" thickBot="1">
      <c r="A22" s="35" t="s">
        <v>395</v>
      </c>
      <c r="B22" s="46">
        <f>B21*1</f>
        <v>13178</v>
      </c>
      <c r="C22" s="38">
        <f>C21*1</f>
        <v>1600</v>
      </c>
      <c r="D22" s="30"/>
    </row>
    <row r="23" spans="1:4" ht="33" thickBot="1">
      <c r="A23" s="94" t="s">
        <v>396</v>
      </c>
      <c r="B23" s="239">
        <f>SUM(B22,C22)</f>
        <v>14778</v>
      </c>
      <c r="C23" s="240"/>
      <c r="D23" s="241"/>
    </row>
    <row r="25" spans="1:4" ht="15.95" thickBot="1">
      <c r="A25" s="12" t="s">
        <v>397</v>
      </c>
    </row>
    <row r="26" spans="1:4" ht="15.95" thickBot="1">
      <c r="B26" s="233" t="s">
        <v>398</v>
      </c>
      <c r="C26" s="234"/>
      <c r="D26" s="235"/>
    </row>
    <row r="27" spans="1:4" ht="15.95" thickBot="1">
      <c r="A27" s="31" t="s">
        <v>366</v>
      </c>
      <c r="B27" s="31" t="s">
        <v>335</v>
      </c>
      <c r="C27" s="10" t="s">
        <v>399</v>
      </c>
      <c r="D27" s="11" t="s">
        <v>236</v>
      </c>
    </row>
    <row r="28" spans="1:4">
      <c r="A28" s="28" t="s">
        <v>370</v>
      </c>
      <c r="B28" s="28">
        <v>0</v>
      </c>
      <c r="C28" s="8">
        <v>0</v>
      </c>
      <c r="D28" s="15" t="s">
        <v>400</v>
      </c>
    </row>
    <row r="29" spans="1:4">
      <c r="A29" s="28" t="s">
        <v>379</v>
      </c>
      <c r="B29" s="28"/>
      <c r="C29" s="8">
        <v>11000</v>
      </c>
      <c r="D29" s="15" t="s">
        <v>401</v>
      </c>
    </row>
    <row r="30" spans="1:4" ht="15.95" thickBot="1">
      <c r="A30" s="28" t="s">
        <v>402</v>
      </c>
      <c r="B30" s="28">
        <v>9000</v>
      </c>
      <c r="D30" s="15" t="s">
        <v>401</v>
      </c>
    </row>
    <row r="31" spans="1:4">
      <c r="A31" s="34" t="s">
        <v>383</v>
      </c>
      <c r="B31" s="41">
        <f>SUM(B28:B30)</f>
        <v>9000</v>
      </c>
      <c r="C31" s="47">
        <f>SUM(C28:C30)</f>
        <v>11000</v>
      </c>
      <c r="D31" s="18"/>
    </row>
    <row r="32" spans="1:4" ht="17.100000000000001" thickBot="1">
      <c r="A32" s="55" t="s">
        <v>403</v>
      </c>
      <c r="B32" s="46">
        <f>B31*'4. Mineral Content Percentages'!B15</f>
        <v>6750</v>
      </c>
      <c r="C32" s="38">
        <f>C31*'4. Mineral Content Percentages'!B16</f>
        <v>9460</v>
      </c>
      <c r="D32" s="30"/>
    </row>
    <row r="33" spans="1:6" ht="33" thickBot="1">
      <c r="A33" s="94" t="s">
        <v>404</v>
      </c>
      <c r="B33" s="239">
        <f>SUM(B32:C32)</f>
        <v>16210</v>
      </c>
      <c r="C33" s="240"/>
      <c r="D33" s="241"/>
    </row>
    <row r="35" spans="1:6" ht="15.95" thickBot="1">
      <c r="A35" s="12" t="s">
        <v>405</v>
      </c>
    </row>
    <row r="36" spans="1:6" ht="15.95" thickBot="1">
      <c r="B36" s="233" t="s">
        <v>406</v>
      </c>
      <c r="C36" s="235"/>
      <c r="D36" s="12"/>
    </row>
    <row r="37" spans="1:6" ht="15.95" thickBot="1">
      <c r="A37" s="9" t="s">
        <v>366</v>
      </c>
      <c r="B37" s="31" t="s">
        <v>367</v>
      </c>
      <c r="C37" s="11" t="s">
        <v>236</v>
      </c>
    </row>
    <row r="38" spans="1:6" ht="15.95" thickBot="1">
      <c r="A38" s="32" t="s">
        <v>370</v>
      </c>
      <c r="B38" s="28">
        <v>276000</v>
      </c>
      <c r="C38" s="15" t="s">
        <v>400</v>
      </c>
    </row>
    <row r="39" spans="1:6">
      <c r="A39" s="16" t="s">
        <v>383</v>
      </c>
      <c r="B39" s="41">
        <f>SUM(B38)</f>
        <v>276000</v>
      </c>
      <c r="C39" s="18"/>
    </row>
    <row r="40" spans="1:6" ht="17.100000000000001" thickBot="1">
      <c r="A40" s="33" t="s">
        <v>403</v>
      </c>
      <c r="B40" s="46">
        <f>B39*'4. Mineral Content Percentages'!B17</f>
        <v>275862</v>
      </c>
      <c r="C40" s="30"/>
    </row>
    <row r="41" spans="1:6" ht="33" thickBot="1">
      <c r="A41" s="95" t="s">
        <v>404</v>
      </c>
      <c r="B41" s="239">
        <f>B40</f>
        <v>275862</v>
      </c>
      <c r="C41" s="241"/>
    </row>
    <row r="43" spans="1:6" ht="15.95" thickBot="1">
      <c r="A43" s="12" t="s">
        <v>407</v>
      </c>
    </row>
    <row r="44" spans="1:6" ht="15.95" thickBot="1">
      <c r="B44" s="233" t="s">
        <v>408</v>
      </c>
      <c r="C44" s="234"/>
      <c r="D44" s="234"/>
      <c r="E44" s="234"/>
      <c r="F44" s="235"/>
    </row>
    <row r="45" spans="1:6" ht="15.95" thickBot="1">
      <c r="A45" s="31" t="s">
        <v>366</v>
      </c>
      <c r="B45" s="31" t="s">
        <v>342</v>
      </c>
      <c r="C45" s="10" t="s">
        <v>409</v>
      </c>
      <c r="D45" s="10" t="s">
        <v>410</v>
      </c>
      <c r="E45" s="10" t="s">
        <v>353</v>
      </c>
      <c r="F45" s="11" t="s">
        <v>236</v>
      </c>
    </row>
    <row r="46" spans="1:6">
      <c r="A46" s="28" t="s">
        <v>370</v>
      </c>
      <c r="B46" s="58"/>
      <c r="C46" s="24"/>
      <c r="D46" s="24"/>
      <c r="E46" s="24"/>
      <c r="F46" s="15" t="s">
        <v>411</v>
      </c>
    </row>
    <row r="47" spans="1:6">
      <c r="A47" s="28" t="s">
        <v>373</v>
      </c>
      <c r="B47" s="58">
        <v>1616764</v>
      </c>
      <c r="C47" s="24"/>
      <c r="D47" s="24"/>
      <c r="E47" s="24"/>
      <c r="F47" s="15" t="s">
        <v>412</v>
      </c>
    </row>
    <row r="48" spans="1:6">
      <c r="A48" s="28" t="s">
        <v>379</v>
      </c>
      <c r="B48" s="58">
        <v>9000</v>
      </c>
      <c r="C48" s="24"/>
      <c r="D48" s="24"/>
      <c r="E48" s="24"/>
      <c r="F48" s="15" t="s">
        <v>412</v>
      </c>
    </row>
    <row r="49" spans="1:9" ht="15.95" thickBot="1">
      <c r="A49" s="28" t="s">
        <v>413</v>
      </c>
      <c r="B49" s="58"/>
      <c r="C49" s="24">
        <v>99300</v>
      </c>
      <c r="D49" s="24">
        <v>3000</v>
      </c>
      <c r="E49" s="24">
        <v>10000</v>
      </c>
      <c r="F49" s="15" t="s">
        <v>412</v>
      </c>
    </row>
    <row r="50" spans="1:9">
      <c r="A50" s="34" t="s">
        <v>383</v>
      </c>
      <c r="B50" s="61">
        <f>SUM(B46:B49)</f>
        <v>1625764</v>
      </c>
      <c r="C50" s="51">
        <f t="shared" ref="C50:E50" si="0">SUM(C46:C49)</f>
        <v>99300</v>
      </c>
      <c r="D50" s="51">
        <f t="shared" si="0"/>
        <v>3000</v>
      </c>
      <c r="E50" s="51">
        <f t="shared" si="0"/>
        <v>10000</v>
      </c>
      <c r="F50" s="18"/>
    </row>
    <row r="51" spans="1:9" ht="17.100000000000001" thickBot="1">
      <c r="A51" s="55" t="s">
        <v>414</v>
      </c>
      <c r="B51" s="59">
        <f>B50*'4. Mineral Content Percentages'!B24</f>
        <v>52349.600800000007</v>
      </c>
      <c r="C51" s="53">
        <f>C50*'4. Mineral Content Percentages'!B22</f>
        <v>18668.400000000001</v>
      </c>
      <c r="D51" s="53">
        <f>D50*'4. Mineral Content Percentages'!B25</f>
        <v>492</v>
      </c>
      <c r="E51" s="53">
        <f>E50*'4. Mineral Content Percentages'!B23</f>
        <v>2900</v>
      </c>
      <c r="F51" s="30"/>
    </row>
    <row r="52" spans="1:9" ht="33" thickBot="1">
      <c r="A52" s="96" t="s">
        <v>415</v>
      </c>
      <c r="B52" s="230">
        <f>SUM(B51:E51)</f>
        <v>74410.000800000009</v>
      </c>
      <c r="C52" s="231"/>
      <c r="D52" s="231"/>
      <c r="E52" s="231"/>
      <c r="F52" s="232"/>
    </row>
    <row r="54" spans="1:9" ht="15.95" thickBot="1">
      <c r="A54" s="12" t="s">
        <v>416</v>
      </c>
    </row>
    <row r="55" spans="1:9" ht="15.95" thickBot="1">
      <c r="B55" s="233" t="s">
        <v>417</v>
      </c>
      <c r="C55" s="234"/>
      <c r="D55" s="234"/>
      <c r="E55" s="235"/>
      <c r="F55" s="12"/>
    </row>
    <row r="56" spans="1:9" ht="15.95" thickBot="1">
      <c r="A56" s="9" t="s">
        <v>366</v>
      </c>
      <c r="B56" s="31" t="s">
        <v>418</v>
      </c>
      <c r="C56" s="10" t="s">
        <v>345</v>
      </c>
      <c r="D56" s="10" t="s">
        <v>346</v>
      </c>
      <c r="E56" s="11" t="s">
        <v>236</v>
      </c>
      <c r="F56" s="12" t="s">
        <v>419</v>
      </c>
    </row>
    <row r="57" spans="1:9">
      <c r="A57" s="32" t="s">
        <v>370</v>
      </c>
      <c r="B57" s="58">
        <v>0</v>
      </c>
      <c r="C57" s="24">
        <v>0</v>
      </c>
      <c r="D57" s="24">
        <v>0</v>
      </c>
      <c r="E57" s="15" t="s">
        <v>420</v>
      </c>
    </row>
    <row r="58" spans="1:9">
      <c r="A58" s="32" t="s">
        <v>373</v>
      </c>
      <c r="B58" s="58">
        <f>3331*1000</f>
        <v>3331000</v>
      </c>
      <c r="C58" s="24">
        <v>83000</v>
      </c>
      <c r="D58" s="24">
        <v>101000</v>
      </c>
      <c r="E58" s="15" t="s">
        <v>421</v>
      </c>
      <c r="F58" s="24"/>
      <c r="I58" s="24"/>
    </row>
    <row r="59" spans="1:9">
      <c r="A59" s="32" t="s">
        <v>422</v>
      </c>
      <c r="B59" s="58"/>
      <c r="C59" s="24">
        <v>258787</v>
      </c>
      <c r="D59" s="24">
        <v>152000</v>
      </c>
      <c r="E59" s="15" t="s">
        <v>421</v>
      </c>
      <c r="F59" s="24"/>
      <c r="I59" s="24"/>
    </row>
    <row r="60" spans="1:9">
      <c r="A60" s="32" t="s">
        <v>402</v>
      </c>
      <c r="B60" s="58">
        <f>198*1000</f>
        <v>198000</v>
      </c>
      <c r="C60" s="24">
        <v>57000</v>
      </c>
      <c r="D60" s="24">
        <v>148000</v>
      </c>
      <c r="E60" s="15" t="s">
        <v>421</v>
      </c>
      <c r="F60" s="24"/>
      <c r="I60" s="24"/>
    </row>
    <row r="61" spans="1:9">
      <c r="A61" s="32" t="s">
        <v>423</v>
      </c>
      <c r="B61" s="58">
        <f>42*1000</f>
        <v>42000</v>
      </c>
      <c r="C61" s="24"/>
      <c r="D61" s="24"/>
      <c r="E61" s="15" t="s">
        <v>421</v>
      </c>
      <c r="F61" s="24"/>
      <c r="I61" s="24"/>
    </row>
    <row r="62" spans="1:9" ht="15.95" thickBot="1">
      <c r="A62" s="32" t="s">
        <v>381</v>
      </c>
      <c r="B62" s="58">
        <v>2000</v>
      </c>
      <c r="C62" s="24"/>
      <c r="D62" s="24"/>
      <c r="E62" s="15" t="s">
        <v>424</v>
      </c>
      <c r="F62" s="24"/>
      <c r="I62" s="24"/>
    </row>
    <row r="63" spans="1:9">
      <c r="A63" s="16" t="s">
        <v>383</v>
      </c>
      <c r="B63" s="61">
        <f>SUM(B57:B62)</f>
        <v>3573000</v>
      </c>
      <c r="C63" s="51">
        <f>SUM(C57:C62)</f>
        <v>398787</v>
      </c>
      <c r="D63" s="51">
        <f>SUM(D57:D62)</f>
        <v>401000</v>
      </c>
      <c r="E63" s="18"/>
      <c r="I63" s="24"/>
    </row>
    <row r="64" spans="1:9" ht="33" thickBot="1">
      <c r="A64" s="33" t="s">
        <v>425</v>
      </c>
      <c r="B64" s="59">
        <f>B63*1</f>
        <v>3573000</v>
      </c>
      <c r="C64" s="53">
        <f>C63*'4. Mineral Content Percentages'!B30</f>
        <v>311053.86</v>
      </c>
      <c r="D64" s="53">
        <f>D63*'4. Mineral Content Percentages'!B31</f>
        <v>264660</v>
      </c>
      <c r="E64" s="30"/>
    </row>
    <row r="65" spans="1:12" ht="33" thickBot="1">
      <c r="A65" s="95" t="s">
        <v>426</v>
      </c>
      <c r="B65" s="230">
        <f>SUM(B64:D64)</f>
        <v>4148713.86</v>
      </c>
      <c r="C65" s="231"/>
      <c r="D65" s="231"/>
      <c r="E65" s="232"/>
    </row>
    <row r="67" spans="1:12" ht="15.95" thickBot="1">
      <c r="A67" s="12" t="s">
        <v>427</v>
      </c>
    </row>
    <row r="68" spans="1:12" ht="15.95" thickBot="1">
      <c r="B68" s="227" t="s">
        <v>106</v>
      </c>
      <c r="C68" s="228"/>
      <c r="D68" s="228"/>
      <c r="E68" s="228"/>
      <c r="F68" s="228"/>
      <c r="G68" s="228"/>
      <c r="H68" s="228"/>
      <c r="I68" s="228"/>
      <c r="J68" s="228"/>
      <c r="K68" s="228"/>
      <c r="L68" s="229"/>
    </row>
    <row r="69" spans="1:12" ht="15.95" thickBot="1">
      <c r="A69" s="9" t="s">
        <v>366</v>
      </c>
      <c r="B69" s="10" t="s">
        <v>352</v>
      </c>
      <c r="C69" s="10" t="s">
        <v>428</v>
      </c>
      <c r="D69" s="10" t="s">
        <v>429</v>
      </c>
      <c r="E69" s="10" t="s">
        <v>350</v>
      </c>
      <c r="F69" s="10" t="s">
        <v>353</v>
      </c>
      <c r="G69" s="10" t="s">
        <v>430</v>
      </c>
      <c r="H69" s="10" t="s">
        <v>431</v>
      </c>
      <c r="I69" s="10" t="s">
        <v>432</v>
      </c>
      <c r="J69" s="10" t="s">
        <v>433</v>
      </c>
      <c r="K69" s="10" t="s">
        <v>434</v>
      </c>
      <c r="L69" s="11" t="s">
        <v>236</v>
      </c>
    </row>
    <row r="70" spans="1:12">
      <c r="A70" s="32" t="s">
        <v>370</v>
      </c>
      <c r="B70" s="24">
        <v>17600</v>
      </c>
      <c r="C70" s="24"/>
      <c r="D70" s="24"/>
      <c r="E70" s="24"/>
      <c r="F70" s="24"/>
      <c r="G70" s="24"/>
      <c r="H70" s="24">
        <v>117000</v>
      </c>
      <c r="I70" s="24">
        <v>5690</v>
      </c>
      <c r="J70" s="24">
        <v>145000</v>
      </c>
      <c r="K70" s="24"/>
      <c r="L70" s="15" t="s">
        <v>435</v>
      </c>
    </row>
    <row r="71" spans="1:12">
      <c r="A71" s="32" t="s">
        <v>373</v>
      </c>
      <c r="B71" s="24"/>
      <c r="C71" s="24"/>
      <c r="D71" s="24"/>
      <c r="E71" s="24"/>
      <c r="F71" s="24"/>
      <c r="G71" s="24">
        <v>113500</v>
      </c>
      <c r="H71" s="24"/>
      <c r="I71" s="24"/>
      <c r="J71" s="24"/>
      <c r="K71" s="24">
        <v>170312</v>
      </c>
      <c r="L71" s="15" t="s">
        <v>436</v>
      </c>
    </row>
    <row r="72" spans="1:12">
      <c r="A72" s="32" t="s">
        <v>379</v>
      </c>
      <c r="B72" s="24"/>
      <c r="C72" s="24">
        <v>175761</v>
      </c>
      <c r="D72" s="24"/>
      <c r="E72" s="24"/>
      <c r="F72" s="24"/>
      <c r="G72" s="24"/>
      <c r="H72" s="24"/>
      <c r="I72" s="24"/>
      <c r="J72" s="24"/>
      <c r="K72" s="24">
        <v>133200</v>
      </c>
      <c r="L72" s="15"/>
    </row>
    <row r="73" spans="1:12">
      <c r="A73" s="32" t="s">
        <v>437</v>
      </c>
      <c r="B73" s="24"/>
      <c r="C73" s="24"/>
      <c r="D73" s="24">
        <v>47700</v>
      </c>
      <c r="E73" s="24">
        <v>43100</v>
      </c>
      <c r="F73" s="24"/>
      <c r="G73" s="24"/>
      <c r="H73" s="24"/>
      <c r="I73" s="24"/>
      <c r="J73" s="24"/>
      <c r="K73" s="24"/>
      <c r="L73" s="15"/>
    </row>
    <row r="74" spans="1:12">
      <c r="A74" s="32" t="s">
        <v>438</v>
      </c>
      <c r="B74" s="24"/>
      <c r="C74" s="24"/>
      <c r="D74" s="24">
        <v>34700</v>
      </c>
      <c r="E74" s="24">
        <v>19214</v>
      </c>
      <c r="F74" s="24"/>
      <c r="G74" s="24"/>
      <c r="H74" s="24"/>
      <c r="I74" s="24"/>
      <c r="J74" s="24"/>
      <c r="K74" s="24"/>
      <c r="L74" s="15"/>
    </row>
    <row r="75" spans="1:12">
      <c r="A75" s="32" t="s">
        <v>439</v>
      </c>
      <c r="B75" s="24"/>
      <c r="C75" s="24"/>
      <c r="D75" s="24">
        <v>39600</v>
      </c>
      <c r="E75" s="24">
        <v>14688</v>
      </c>
      <c r="F75" s="24"/>
      <c r="G75" s="24"/>
      <c r="H75" s="24"/>
      <c r="I75" s="24"/>
      <c r="J75" s="24"/>
      <c r="K75" s="24"/>
      <c r="L75" s="15"/>
    </row>
    <row r="76" spans="1:12">
      <c r="A76" s="32" t="s">
        <v>422</v>
      </c>
      <c r="B76" s="24"/>
      <c r="C76" s="24"/>
      <c r="D76" s="24"/>
      <c r="E76" s="24">
        <v>44500</v>
      </c>
      <c r="F76" s="24"/>
      <c r="G76" s="24"/>
      <c r="H76" s="24"/>
      <c r="I76" s="24"/>
      <c r="J76" s="24"/>
      <c r="K76" s="24"/>
      <c r="L76" s="15"/>
    </row>
    <row r="77" spans="1:12" ht="15.95" thickBot="1">
      <c r="A77" s="32" t="s">
        <v>423</v>
      </c>
      <c r="B77" s="24"/>
      <c r="C77" s="24"/>
      <c r="D77" s="24"/>
      <c r="E77" s="24"/>
      <c r="F77" s="24">
        <v>200</v>
      </c>
      <c r="G77" s="24"/>
      <c r="H77" s="24"/>
      <c r="I77" s="24"/>
      <c r="J77" s="24"/>
      <c r="K77" s="24"/>
      <c r="L77" s="15"/>
    </row>
    <row r="78" spans="1:12">
      <c r="A78" s="16" t="s">
        <v>383</v>
      </c>
      <c r="B78" s="51">
        <f>SUM(B70:B77)</f>
        <v>17600</v>
      </c>
      <c r="C78" s="51">
        <f>SUM(C70:C77)</f>
        <v>175761</v>
      </c>
      <c r="D78" s="51">
        <f t="shared" ref="D78:K78" si="1">SUM(D70:D77)</f>
        <v>122000</v>
      </c>
      <c r="E78" s="51">
        <f t="shared" si="1"/>
        <v>121502</v>
      </c>
      <c r="F78" s="51">
        <f t="shared" si="1"/>
        <v>200</v>
      </c>
      <c r="G78" s="51">
        <f t="shared" si="1"/>
        <v>113500</v>
      </c>
      <c r="H78" s="51">
        <f t="shared" si="1"/>
        <v>117000</v>
      </c>
      <c r="I78" s="51">
        <f t="shared" si="1"/>
        <v>5690</v>
      </c>
      <c r="J78" s="51">
        <f t="shared" si="1"/>
        <v>145000</v>
      </c>
      <c r="K78" s="51">
        <f t="shared" si="1"/>
        <v>303512</v>
      </c>
      <c r="L78" s="18"/>
    </row>
    <row r="79" spans="1:12" ht="17.100000000000001" thickBot="1">
      <c r="A79" s="33" t="s">
        <v>440</v>
      </c>
      <c r="B79" s="69">
        <f>B78*'4. Mineral Content Percentages'!B41</f>
        <v>7568</v>
      </c>
      <c r="C79" s="53">
        <f>C78*'4. Mineral Content Percentages'!B39</f>
        <v>17576.100000000002</v>
      </c>
      <c r="D79" s="53">
        <f>D78*'4. Mineral Content Percentages'!B40</f>
        <v>1830</v>
      </c>
      <c r="E79" s="53">
        <f>E78*'4. Mineral Content Percentages'!B38</f>
        <v>36450.6</v>
      </c>
      <c r="F79" s="53">
        <f>F78*'4. Mineral Content Percentages'!B42</f>
        <v>126.6</v>
      </c>
      <c r="G79" s="53">
        <f>G78*1</f>
        <v>113500</v>
      </c>
      <c r="H79" s="53">
        <f>H78*'4. Mineral Content Percentages'!B38</f>
        <v>35100</v>
      </c>
      <c r="I79" s="53">
        <f>I78*1</f>
        <v>5690</v>
      </c>
      <c r="J79" s="53">
        <f>J78*1</f>
        <v>145000</v>
      </c>
      <c r="K79" s="53">
        <f>K78*1</f>
        <v>303512</v>
      </c>
      <c r="L79" s="30"/>
    </row>
    <row r="80" spans="1:12" ht="33" thickBot="1">
      <c r="A80" s="95" t="s">
        <v>441</v>
      </c>
      <c r="B80" s="230">
        <f>SUM(B79:K79)</f>
        <v>666353.30000000005</v>
      </c>
      <c r="C80" s="231"/>
      <c r="D80" s="231"/>
      <c r="E80" s="231"/>
      <c r="F80" s="231"/>
      <c r="G80" s="231"/>
      <c r="H80" s="231"/>
      <c r="I80" s="231"/>
      <c r="J80" s="231"/>
      <c r="K80" s="231"/>
      <c r="L80" s="232"/>
    </row>
    <row r="82" spans="1:2" ht="15.95" thickBot="1">
      <c r="A82" s="12" t="s">
        <v>442</v>
      </c>
    </row>
    <row r="83" spans="1:2" ht="15.95" thickBot="1">
      <c r="A83" s="227" t="s">
        <v>108</v>
      </c>
      <c r="B83" s="229"/>
    </row>
    <row r="84" spans="1:2" ht="15.95" thickBot="1">
      <c r="A84" s="31" t="s">
        <v>271</v>
      </c>
      <c r="B84" s="11" t="s">
        <v>443</v>
      </c>
    </row>
    <row r="85" spans="1:2">
      <c r="A85" s="28" t="s">
        <v>286</v>
      </c>
      <c r="B85" s="70">
        <f>B11</f>
        <v>10693000</v>
      </c>
    </row>
    <row r="86" spans="1:2">
      <c r="A86" s="28" t="s">
        <v>290</v>
      </c>
      <c r="B86" s="70">
        <f>B23</f>
        <v>14778</v>
      </c>
    </row>
    <row r="87" spans="1:2">
      <c r="A87" s="28" t="s">
        <v>254</v>
      </c>
      <c r="B87" s="70">
        <f>(B41+B33)</f>
        <v>292072</v>
      </c>
    </row>
    <row r="88" spans="1:2">
      <c r="A88" s="28" t="s">
        <v>287</v>
      </c>
      <c r="B88" s="70">
        <f>B52</f>
        <v>74410.000800000009</v>
      </c>
    </row>
    <row r="89" spans="1:2">
      <c r="A89" s="28" t="s">
        <v>289</v>
      </c>
      <c r="B89" s="70">
        <f>B65</f>
        <v>4148713.86</v>
      </c>
    </row>
    <row r="90" spans="1:2" ht="15.95" thickBot="1">
      <c r="A90" s="46" t="s">
        <v>288</v>
      </c>
      <c r="B90" s="71">
        <f>B80</f>
        <v>666353.30000000005</v>
      </c>
    </row>
    <row r="92" spans="1:2" ht="15.95" thickBot="1">
      <c r="A92" s="12" t="s">
        <v>444</v>
      </c>
    </row>
    <row r="93" spans="1:2" ht="15.95" thickBot="1">
      <c r="A93" s="227" t="s">
        <v>110</v>
      </c>
      <c r="B93" s="229"/>
    </row>
    <row r="94" spans="1:2" ht="15.95" thickBot="1">
      <c r="A94" s="31" t="s">
        <v>271</v>
      </c>
      <c r="B94" s="11" t="s">
        <v>443</v>
      </c>
    </row>
    <row r="95" spans="1:2">
      <c r="A95" s="28" t="s">
        <v>286</v>
      </c>
      <c r="B95" s="70">
        <f>B85*'5. Mineral to Battery Stats'!B4</f>
        <v>962370</v>
      </c>
    </row>
    <row r="96" spans="1:2">
      <c r="A96" s="28" t="s">
        <v>290</v>
      </c>
      <c r="B96" s="70">
        <f>B86*'5. Mineral to Battery Stats'!B5</f>
        <v>4581.18</v>
      </c>
    </row>
    <row r="97" spans="1:2">
      <c r="A97" s="28" t="s">
        <v>254</v>
      </c>
      <c r="B97" s="70">
        <f>(B41*'5. Mineral to Battery Stats'!B6+B33*'5. Mineral to Battery Stats'!B7)</f>
        <v>28396.7</v>
      </c>
    </row>
    <row r="98" spans="1:2">
      <c r="A98" s="28" t="s">
        <v>287</v>
      </c>
      <c r="B98" s="70">
        <f>B88*'5. Mineral to Battery Stats'!B8</f>
        <v>55063.400592000005</v>
      </c>
    </row>
    <row r="99" spans="1:2">
      <c r="A99" s="28" t="s">
        <v>289</v>
      </c>
      <c r="B99" s="70">
        <f>B89*'5. Mineral to Battery Stats'!B9</f>
        <v>414871.386</v>
      </c>
    </row>
    <row r="100" spans="1:2" ht="15.95" thickBot="1">
      <c r="A100" s="46" t="s">
        <v>288</v>
      </c>
      <c r="B100" s="71">
        <f>B90*'5. Mineral to Battery Stats'!B10</f>
        <v>153261.25900000002</v>
      </c>
    </row>
  </sheetData>
  <mergeCells count="16">
    <mergeCell ref="B68:L68"/>
    <mergeCell ref="B80:L80"/>
    <mergeCell ref="A83:B83"/>
    <mergeCell ref="A93:B93"/>
    <mergeCell ref="B2:D2"/>
    <mergeCell ref="B14:D14"/>
    <mergeCell ref="B11:D11"/>
    <mergeCell ref="B23:D23"/>
    <mergeCell ref="B26:D26"/>
    <mergeCell ref="B33:D33"/>
    <mergeCell ref="B36:C36"/>
    <mergeCell ref="B41:C41"/>
    <mergeCell ref="B44:F44"/>
    <mergeCell ref="B52:F52"/>
    <mergeCell ref="B55:E55"/>
    <mergeCell ref="B65:E65"/>
  </mergeCells>
  <phoneticPr fontId="6" type="noConversion"/>
  <pageMargins left="0.7" right="0.7" top="0.75" bottom="0.75" header="0.3" footer="0.3"/>
  <ignoredErrors>
    <ignoredError sqref="H7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282F-FA95-C549-AF47-605F29143381}">
  <dimension ref="A2:L157"/>
  <sheetViews>
    <sheetView topLeftCell="A106" zoomScale="150" zoomScaleNormal="150" workbookViewId="0">
      <selection activeCell="D82" sqref="D82"/>
    </sheetView>
  </sheetViews>
  <sheetFormatPr defaultColWidth="10.85546875" defaultRowHeight="15"/>
  <cols>
    <col min="1" max="1" width="17" style="8" customWidth="1"/>
    <col min="2" max="2" width="19.28515625" style="8" bestFit="1" customWidth="1"/>
    <col min="3" max="3" width="20.28515625" style="8" bestFit="1" customWidth="1"/>
    <col min="4" max="4" width="15" style="8" bestFit="1" customWidth="1"/>
    <col min="5" max="5" width="17.7109375" style="8" bestFit="1" customWidth="1"/>
    <col min="6" max="6" width="10.85546875" style="8"/>
    <col min="7" max="7" width="21.28515625" style="8" bestFit="1" customWidth="1"/>
    <col min="8" max="16384" width="10.85546875" style="8"/>
  </cols>
  <sheetData>
    <row r="2" spans="1:12" ht="15.95" thickBot="1">
      <c r="A2" s="12" t="s">
        <v>445</v>
      </c>
      <c r="I2" s="5" t="s">
        <v>234</v>
      </c>
    </row>
    <row r="3" spans="1:12" ht="15.95" thickBot="1">
      <c r="B3" s="227" t="s">
        <v>112</v>
      </c>
      <c r="C3" s="228"/>
      <c r="D3" s="229"/>
      <c r="I3" s="8" t="s">
        <v>369</v>
      </c>
    </row>
    <row r="4" spans="1:12" ht="15.95" thickBot="1">
      <c r="A4" s="12"/>
      <c r="B4" s="34" t="s">
        <v>367</v>
      </c>
      <c r="C4" s="39" t="s">
        <v>368</v>
      </c>
      <c r="D4" s="40" t="s">
        <v>446</v>
      </c>
      <c r="F4" s="12"/>
      <c r="I4" s="8" t="s">
        <v>372</v>
      </c>
      <c r="J4" s="12"/>
      <c r="K4" s="12"/>
      <c r="L4" s="12"/>
    </row>
    <row r="5" spans="1:12" ht="15.95" thickBot="1">
      <c r="A5" s="41" t="s">
        <v>370</v>
      </c>
      <c r="B5" s="42">
        <v>880000</v>
      </c>
      <c r="C5" s="20">
        <f>3200*1000</f>
        <v>3200000</v>
      </c>
      <c r="D5" s="21" t="s">
        <v>374</v>
      </c>
      <c r="I5" s="8" t="s">
        <v>375</v>
      </c>
    </row>
    <row r="6" spans="1:12">
      <c r="A6" s="16" t="s">
        <v>383</v>
      </c>
      <c r="B6" s="17">
        <f>SUM(B5:B5)</f>
        <v>880000</v>
      </c>
      <c r="C6" s="17">
        <f>SUM(C5:C5)</f>
        <v>3200000</v>
      </c>
      <c r="D6" s="18"/>
      <c r="I6" s="8" t="s">
        <v>378</v>
      </c>
    </row>
    <row r="7" spans="1:12" ht="17.100000000000001" thickBot="1">
      <c r="A7" s="19" t="s">
        <v>447</v>
      </c>
      <c r="B7" s="8">
        <f>B6*1</f>
        <v>880000</v>
      </c>
      <c r="C7" s="8">
        <f>C6*'4. Mineral Content Percentages'!B5</f>
        <v>2880000</v>
      </c>
      <c r="D7" s="15"/>
      <c r="I7" s="8" t="s">
        <v>380</v>
      </c>
    </row>
    <row r="8" spans="1:12" ht="33" thickBot="1">
      <c r="A8" s="145" t="s">
        <v>386</v>
      </c>
      <c r="B8" s="239">
        <f>SUM(B7:C7)</f>
        <v>3760000</v>
      </c>
      <c r="C8" s="240"/>
      <c r="D8" s="241"/>
      <c r="I8" s="8" t="s">
        <v>382</v>
      </c>
    </row>
    <row r="9" spans="1:12">
      <c r="A9" s="22"/>
      <c r="C9" s="14"/>
      <c r="I9" s="8" t="s">
        <v>384</v>
      </c>
    </row>
    <row r="10" spans="1:12" ht="17.100000000000001" thickBot="1">
      <c r="A10" s="22" t="s">
        <v>448</v>
      </c>
      <c r="C10" s="14"/>
    </row>
    <row r="11" spans="1:12" ht="15.95" thickBot="1">
      <c r="B11" s="227" t="s">
        <v>115</v>
      </c>
      <c r="C11" s="228"/>
      <c r="D11" s="228"/>
      <c r="E11" s="229"/>
    </row>
    <row r="12" spans="1:12" ht="15.95" thickBot="1">
      <c r="A12" s="9" t="s">
        <v>366</v>
      </c>
      <c r="B12" s="10" t="s">
        <v>449</v>
      </c>
      <c r="C12" s="10" t="s">
        <v>450</v>
      </c>
      <c r="D12" s="10" t="s">
        <v>324</v>
      </c>
      <c r="E12" s="11" t="s">
        <v>446</v>
      </c>
    </row>
    <row r="13" spans="1:12">
      <c r="A13" s="32" t="s">
        <v>373</v>
      </c>
      <c r="B13" s="14">
        <v>86700</v>
      </c>
      <c r="C13" s="14">
        <v>387</v>
      </c>
      <c r="D13" s="14">
        <v>19</v>
      </c>
      <c r="E13" s="15" t="s">
        <v>451</v>
      </c>
    </row>
    <row r="14" spans="1:12">
      <c r="A14" s="32" t="s">
        <v>376</v>
      </c>
      <c r="B14" s="14">
        <v>75000</v>
      </c>
      <c r="C14" s="14">
        <v>17700</v>
      </c>
      <c r="D14" s="14"/>
      <c r="E14" s="15" t="s">
        <v>451</v>
      </c>
    </row>
    <row r="15" spans="1:12">
      <c r="A15" s="32" t="s">
        <v>379</v>
      </c>
      <c r="B15" s="14">
        <v>2300000</v>
      </c>
      <c r="C15" s="14">
        <v>212000</v>
      </c>
      <c r="D15" s="14">
        <v>353000</v>
      </c>
      <c r="E15" s="15" t="s">
        <v>451</v>
      </c>
    </row>
    <row r="16" spans="1:12">
      <c r="A16" s="32" t="s">
        <v>422</v>
      </c>
      <c r="B16" s="14">
        <v>14000</v>
      </c>
      <c r="C16" s="14">
        <v>26300</v>
      </c>
      <c r="D16" s="14"/>
      <c r="E16" s="15" t="s">
        <v>451</v>
      </c>
    </row>
    <row r="17" spans="1:5">
      <c r="A17" s="32" t="s">
        <v>402</v>
      </c>
      <c r="B17" s="14">
        <v>705</v>
      </c>
      <c r="C17" s="14">
        <v>36700</v>
      </c>
      <c r="D17" s="14">
        <v>142000</v>
      </c>
      <c r="E17" s="15" t="s">
        <v>451</v>
      </c>
    </row>
    <row r="18" spans="1:5" ht="15.95" thickBot="1">
      <c r="A18" s="32" t="s">
        <v>381</v>
      </c>
      <c r="B18" s="14">
        <v>99</v>
      </c>
      <c r="C18" s="14">
        <v>63000</v>
      </c>
      <c r="D18" s="14"/>
      <c r="E18" s="15" t="s">
        <v>451</v>
      </c>
    </row>
    <row r="19" spans="1:5">
      <c r="A19" s="16" t="s">
        <v>383</v>
      </c>
      <c r="B19" s="17">
        <f>SUM(B13:B18)</f>
        <v>2476504</v>
      </c>
      <c r="C19" s="17">
        <f>SUM(C13:C18)</f>
        <v>356087</v>
      </c>
      <c r="D19" s="17">
        <f>SUM(D13:D18)</f>
        <v>495019</v>
      </c>
      <c r="E19" s="18"/>
    </row>
    <row r="20" spans="1:5" ht="17.100000000000001" thickBot="1">
      <c r="A20" s="33" t="s">
        <v>447</v>
      </c>
      <c r="B20" s="29">
        <f>B19*'4. Mineral Content Percentages'!B4</f>
        <v>2402208.88</v>
      </c>
      <c r="C20" s="29">
        <f>C19*1</f>
        <v>356087</v>
      </c>
      <c r="D20" s="29">
        <f>D19*'4. Mineral Content Percentages'!B5</f>
        <v>445517.10000000003</v>
      </c>
      <c r="E20" s="30"/>
    </row>
    <row r="21" spans="1:5" ht="33" thickBot="1">
      <c r="A21" s="93" t="s">
        <v>386</v>
      </c>
      <c r="B21" s="248">
        <f>SUM(B20:D20)</f>
        <v>3203812.98</v>
      </c>
      <c r="C21" s="249"/>
      <c r="D21" s="249"/>
      <c r="E21" s="250"/>
    </row>
    <row r="23" spans="1:5" ht="15.95" thickBot="1">
      <c r="A23" s="12" t="s">
        <v>452</v>
      </c>
    </row>
    <row r="24" spans="1:5" ht="15.95" thickBot="1">
      <c r="B24" s="227" t="s">
        <v>117</v>
      </c>
      <c r="C24" s="228"/>
      <c r="D24" s="229"/>
    </row>
    <row r="25" spans="1:5" ht="15.95" thickBot="1">
      <c r="A25" s="12"/>
      <c r="B25" s="34" t="s">
        <v>453</v>
      </c>
      <c r="C25" s="39" t="s">
        <v>454</v>
      </c>
      <c r="D25" s="40" t="s">
        <v>446</v>
      </c>
      <c r="E25" s="23" t="s">
        <v>388</v>
      </c>
    </row>
    <row r="26" spans="1:5" ht="15.95" thickBot="1">
      <c r="A26" s="44" t="s">
        <v>370</v>
      </c>
      <c r="B26" s="42">
        <v>700</v>
      </c>
      <c r="C26" s="20">
        <v>1600</v>
      </c>
      <c r="D26" s="21" t="s">
        <v>455</v>
      </c>
    </row>
    <row r="27" spans="1:5">
      <c r="A27" s="34" t="s">
        <v>383</v>
      </c>
      <c r="B27" s="45">
        <f>SUM(B26)</f>
        <v>700</v>
      </c>
      <c r="C27" s="17">
        <f>SUM(C26)</f>
        <v>1600</v>
      </c>
      <c r="D27" s="18"/>
    </row>
    <row r="28" spans="1:5" ht="15.95" thickBot="1">
      <c r="A28" s="35" t="s">
        <v>395</v>
      </c>
      <c r="B28" s="37">
        <f>SUM(B26:B26)</f>
        <v>700</v>
      </c>
      <c r="C28" s="29">
        <f>SUM(C26)</f>
        <v>1600</v>
      </c>
      <c r="D28" s="30"/>
    </row>
    <row r="29" spans="1:5" ht="33" thickBot="1">
      <c r="A29" s="94" t="s">
        <v>396</v>
      </c>
      <c r="B29" s="248">
        <f>SUM(B28:C28)</f>
        <v>2300</v>
      </c>
      <c r="C29" s="249"/>
      <c r="D29" s="250"/>
    </row>
    <row r="31" spans="1:5" ht="15.95" thickBot="1">
      <c r="A31" s="12" t="s">
        <v>456</v>
      </c>
    </row>
    <row r="32" spans="1:5" ht="15.95" thickBot="1">
      <c r="B32" s="233" t="s">
        <v>119</v>
      </c>
      <c r="C32" s="234"/>
      <c r="D32" s="234"/>
      <c r="E32" s="235"/>
    </row>
    <row r="33" spans="1:5" ht="15.95" thickBot="1">
      <c r="A33" s="9" t="s">
        <v>366</v>
      </c>
      <c r="B33" s="31" t="s">
        <v>457</v>
      </c>
      <c r="C33" s="10" t="s">
        <v>458</v>
      </c>
      <c r="D33" s="10" t="s">
        <v>459</v>
      </c>
      <c r="E33" s="11" t="s">
        <v>446</v>
      </c>
    </row>
    <row r="34" spans="1:5">
      <c r="A34" s="32" t="s">
        <v>373</v>
      </c>
      <c r="B34" s="28">
        <v>725</v>
      </c>
      <c r="E34" s="15" t="s">
        <v>460</v>
      </c>
    </row>
    <row r="35" spans="1:5">
      <c r="A35" s="32" t="s">
        <v>379</v>
      </c>
      <c r="B35" s="28">
        <v>2400</v>
      </c>
      <c r="D35" s="8">
        <v>1</v>
      </c>
      <c r="E35" s="15" t="s">
        <v>460</v>
      </c>
    </row>
    <row r="36" spans="1:5">
      <c r="A36" s="32" t="s">
        <v>422</v>
      </c>
      <c r="B36" s="28"/>
      <c r="C36" s="8">
        <v>106</v>
      </c>
      <c r="E36" s="15" t="s">
        <v>460</v>
      </c>
    </row>
    <row r="37" spans="1:5">
      <c r="A37" s="32" t="s">
        <v>402</v>
      </c>
      <c r="B37" s="28">
        <v>45</v>
      </c>
      <c r="E37" s="15" t="s">
        <v>460</v>
      </c>
    </row>
    <row r="38" spans="1:5" ht="15.95" thickBot="1">
      <c r="A38" s="32" t="s">
        <v>423</v>
      </c>
      <c r="B38" s="28">
        <v>339</v>
      </c>
      <c r="E38" s="15" t="s">
        <v>460</v>
      </c>
    </row>
    <row r="39" spans="1:5">
      <c r="A39" s="16" t="s">
        <v>383</v>
      </c>
      <c r="B39" s="41">
        <f>SUM(B34:B38)</f>
        <v>3509</v>
      </c>
      <c r="C39" s="47">
        <f t="shared" ref="C39:D39" si="0">SUM(C34:C38)</f>
        <v>106</v>
      </c>
      <c r="D39" s="47">
        <f t="shared" si="0"/>
        <v>1</v>
      </c>
      <c r="E39" s="18"/>
    </row>
    <row r="40" spans="1:5" ht="15.95" thickBot="1">
      <c r="A40" s="36" t="s">
        <v>395</v>
      </c>
      <c r="B40" s="46">
        <f>SUM(B34:B38)</f>
        <v>3509</v>
      </c>
      <c r="C40" s="38">
        <f t="shared" ref="C40:D40" si="1">SUM(C34:C38)</f>
        <v>106</v>
      </c>
      <c r="D40" s="38">
        <f t="shared" si="1"/>
        <v>1</v>
      </c>
      <c r="E40" s="30"/>
    </row>
    <row r="41" spans="1:5" ht="33" thickBot="1">
      <c r="A41" s="93" t="s">
        <v>396</v>
      </c>
      <c r="B41" s="239">
        <f>SUM(B40:D40)</f>
        <v>3616</v>
      </c>
      <c r="C41" s="240"/>
      <c r="D41" s="240"/>
      <c r="E41" s="241"/>
    </row>
    <row r="43" spans="1:5" ht="15.95" thickBot="1">
      <c r="A43" s="12" t="s">
        <v>461</v>
      </c>
    </row>
    <row r="44" spans="1:5" ht="15.95" thickBot="1">
      <c r="B44" s="233" t="s">
        <v>462</v>
      </c>
      <c r="C44" s="234"/>
      <c r="D44" s="235"/>
    </row>
    <row r="45" spans="1:5" ht="15.95" thickBot="1">
      <c r="A45" s="12"/>
      <c r="B45" s="31" t="s">
        <v>335</v>
      </c>
      <c r="C45" s="10" t="s">
        <v>399</v>
      </c>
      <c r="D45" s="11" t="s">
        <v>236</v>
      </c>
    </row>
    <row r="46" spans="1:5" ht="15.95" thickBot="1">
      <c r="A46" s="43" t="s">
        <v>370</v>
      </c>
      <c r="B46" s="28">
        <v>0</v>
      </c>
      <c r="C46" s="8">
        <v>0</v>
      </c>
      <c r="D46" s="15" t="s">
        <v>400</v>
      </c>
    </row>
    <row r="47" spans="1:5">
      <c r="A47" s="16" t="s">
        <v>383</v>
      </c>
      <c r="B47" s="41">
        <f>B46</f>
        <v>0</v>
      </c>
      <c r="C47" s="47">
        <f>C46</f>
        <v>0</v>
      </c>
      <c r="D47" s="18"/>
    </row>
    <row r="48" spans="1:5" ht="17.100000000000001" thickBot="1">
      <c r="A48" s="33" t="s">
        <v>403</v>
      </c>
      <c r="B48" s="46">
        <f>B47*'4. Mineral Content Percentages'!B15</f>
        <v>0</v>
      </c>
      <c r="C48" s="38">
        <f>C47*'4. Mineral Content Percentages'!B16</f>
        <v>0</v>
      </c>
      <c r="D48" s="30"/>
      <c r="E48" s="12"/>
    </row>
    <row r="49" spans="1:5" ht="33" thickBot="1">
      <c r="A49" s="145" t="s">
        <v>404</v>
      </c>
      <c r="B49" s="239">
        <f>SUM(B48:C48)</f>
        <v>0</v>
      </c>
      <c r="C49" s="240"/>
      <c r="D49" s="241"/>
      <c r="E49" s="12"/>
    </row>
    <row r="50" spans="1:5">
      <c r="A50" s="22"/>
      <c r="B50" s="12"/>
      <c r="C50" s="12"/>
      <c r="D50" s="12"/>
      <c r="E50" s="12"/>
    </row>
    <row r="51" spans="1:5" ht="17.100000000000001" thickBot="1">
      <c r="A51" s="22" t="s">
        <v>463</v>
      </c>
      <c r="B51" s="12"/>
      <c r="C51" s="12"/>
      <c r="D51" s="12"/>
      <c r="E51" s="12"/>
    </row>
    <row r="52" spans="1:5" ht="15.95" thickBot="1">
      <c r="B52" s="245" t="s">
        <v>464</v>
      </c>
      <c r="C52" s="246"/>
      <c r="D52" s="246"/>
      <c r="E52" s="247"/>
    </row>
    <row r="53" spans="1:5" ht="15.95" thickBot="1">
      <c r="A53" s="56" t="s">
        <v>366</v>
      </c>
      <c r="B53" s="48" t="s">
        <v>335</v>
      </c>
      <c r="C53" s="48" t="s">
        <v>399</v>
      </c>
      <c r="D53" s="48" t="s">
        <v>465</v>
      </c>
      <c r="E53" s="49" t="s">
        <v>236</v>
      </c>
    </row>
    <row r="54" spans="1:5">
      <c r="A54" s="13" t="s">
        <v>379</v>
      </c>
      <c r="B54" s="50"/>
      <c r="C54" s="50">
        <v>3960</v>
      </c>
      <c r="D54" s="51">
        <v>6590</v>
      </c>
      <c r="E54" s="52" t="s">
        <v>466</v>
      </c>
    </row>
    <row r="55" spans="1:5" ht="15.95" thickBot="1">
      <c r="A55" s="57" t="s">
        <v>402</v>
      </c>
      <c r="B55" s="53">
        <v>11200</v>
      </c>
      <c r="C55" s="53"/>
      <c r="D55" s="53"/>
      <c r="E55" s="54" t="s">
        <v>466</v>
      </c>
    </row>
    <row r="56" spans="1:5">
      <c r="A56" s="16" t="s">
        <v>383</v>
      </c>
      <c r="B56" s="51">
        <f>SUM(B54:B55)</f>
        <v>11200</v>
      </c>
      <c r="C56" s="51">
        <f>SUM(C54:C55)</f>
        <v>3960</v>
      </c>
      <c r="D56" s="51">
        <f>SUM(D54:D55)</f>
        <v>6590</v>
      </c>
      <c r="E56" s="18"/>
    </row>
    <row r="57" spans="1:5" ht="17.100000000000001" thickBot="1">
      <c r="A57" s="33" t="s">
        <v>403</v>
      </c>
      <c r="B57" s="53">
        <f>B56*'4. Mineral Content Percentages'!B15</f>
        <v>8400</v>
      </c>
      <c r="C57" s="53">
        <f>C56*'4. Mineral Content Percentages'!B16</f>
        <v>3405.6</v>
      </c>
      <c r="D57" s="53">
        <f>D56*1</f>
        <v>6590</v>
      </c>
      <c r="E57" s="30"/>
    </row>
    <row r="58" spans="1:5" ht="33" thickBot="1">
      <c r="A58" s="145" t="s">
        <v>404</v>
      </c>
      <c r="B58" s="230">
        <f>SUM(B57:D57)</f>
        <v>18395.599999999999</v>
      </c>
      <c r="C58" s="231"/>
      <c r="D58" s="231"/>
      <c r="E58" s="232"/>
    </row>
    <row r="60" spans="1:5" ht="15.95" thickBot="1">
      <c r="A60" s="12" t="s">
        <v>467</v>
      </c>
    </row>
    <row r="61" spans="1:5" ht="15.95" thickBot="1">
      <c r="B61" s="227" t="s">
        <v>468</v>
      </c>
      <c r="C61" s="229"/>
      <c r="D61" s="12"/>
    </row>
    <row r="62" spans="1:5" ht="15.95" thickBot="1">
      <c r="A62" s="12"/>
      <c r="B62" s="26" t="s">
        <v>367</v>
      </c>
      <c r="C62" s="27" t="s">
        <v>236</v>
      </c>
    </row>
    <row r="63" spans="1:5" ht="15.95" thickBot="1">
      <c r="A63" s="43" t="s">
        <v>370</v>
      </c>
      <c r="B63" s="44">
        <v>276000</v>
      </c>
      <c r="C63" s="21" t="s">
        <v>400</v>
      </c>
    </row>
    <row r="64" spans="1:5">
      <c r="A64" s="16" t="s">
        <v>383</v>
      </c>
      <c r="B64" s="41">
        <f>B63</f>
        <v>276000</v>
      </c>
      <c r="C64" s="18"/>
    </row>
    <row r="65" spans="1:5" ht="17.100000000000001" thickBot="1">
      <c r="A65" s="33" t="s">
        <v>403</v>
      </c>
      <c r="B65" s="46">
        <f>B64*'4. Mineral Content Percentages'!B17</f>
        <v>275862</v>
      </c>
      <c r="C65" s="30"/>
    </row>
    <row r="66" spans="1:5" ht="33" thickBot="1">
      <c r="A66" s="93" t="s">
        <v>404</v>
      </c>
      <c r="B66" s="239">
        <f>SUM(B65)</f>
        <v>275862</v>
      </c>
      <c r="C66" s="241"/>
    </row>
    <row r="68" spans="1:5" ht="15.95" thickBot="1">
      <c r="A68" s="12" t="s">
        <v>469</v>
      </c>
    </row>
    <row r="69" spans="1:5" ht="15.95" thickBot="1">
      <c r="B69" s="245" t="s">
        <v>470</v>
      </c>
      <c r="C69" s="247"/>
      <c r="D69" s="23"/>
    </row>
    <row r="70" spans="1:5" ht="15.95" thickBot="1">
      <c r="A70" s="9" t="s">
        <v>366</v>
      </c>
      <c r="B70" s="31" t="s">
        <v>367</v>
      </c>
      <c r="C70" s="11" t="s">
        <v>236</v>
      </c>
    </row>
    <row r="71" spans="1:5">
      <c r="A71" s="32" t="s">
        <v>379</v>
      </c>
      <c r="B71" s="58">
        <v>1220</v>
      </c>
      <c r="C71" s="15" t="s">
        <v>471</v>
      </c>
    </row>
    <row r="72" spans="1:5">
      <c r="A72" s="32" t="s">
        <v>422</v>
      </c>
      <c r="B72" s="58">
        <v>695</v>
      </c>
      <c r="C72" s="15" t="s">
        <v>471</v>
      </c>
    </row>
    <row r="73" spans="1:5" ht="15.95" thickBot="1">
      <c r="A73" s="32" t="s">
        <v>402</v>
      </c>
      <c r="B73" s="58">
        <v>20800</v>
      </c>
      <c r="C73" s="15" t="s">
        <v>471</v>
      </c>
    </row>
    <row r="74" spans="1:5">
      <c r="A74" s="16" t="s">
        <v>383</v>
      </c>
      <c r="B74" s="61">
        <f>SUM(B71:B73)</f>
        <v>22715</v>
      </c>
      <c r="C74" s="62"/>
    </row>
    <row r="75" spans="1:5" ht="17.100000000000001" thickBot="1">
      <c r="A75" s="33" t="s">
        <v>403</v>
      </c>
      <c r="B75" s="59">
        <f>B74*'4. Mineral Content Percentages'!B17</f>
        <v>22703.642500000002</v>
      </c>
      <c r="C75" s="60"/>
    </row>
    <row r="76" spans="1:5" ht="33" thickBot="1">
      <c r="A76" s="93" t="s">
        <v>404</v>
      </c>
      <c r="B76" s="230">
        <f>B75</f>
        <v>22703.642500000002</v>
      </c>
      <c r="C76" s="232"/>
    </row>
    <row r="78" spans="1:5" ht="15.95" thickBot="1">
      <c r="A78" s="12" t="s">
        <v>472</v>
      </c>
    </row>
    <row r="79" spans="1:5" ht="15.95" thickBot="1">
      <c r="B79" s="233" t="s">
        <v>129</v>
      </c>
      <c r="C79" s="235"/>
      <c r="D79" s="12"/>
    </row>
    <row r="80" spans="1:5" ht="15.95" thickBot="1">
      <c r="A80" s="12"/>
      <c r="B80" s="31" t="s">
        <v>367</v>
      </c>
      <c r="C80" s="11" t="s">
        <v>236</v>
      </c>
      <c r="E80" s="23"/>
    </row>
    <row r="81" spans="1:5" ht="15.95" thickBot="1">
      <c r="A81" s="13" t="s">
        <v>370</v>
      </c>
      <c r="B81" s="28">
        <v>0</v>
      </c>
      <c r="C81" s="15" t="s">
        <v>411</v>
      </c>
      <c r="D81" s="8" t="s">
        <v>473</v>
      </c>
      <c r="E81" s="25"/>
    </row>
    <row r="82" spans="1:5">
      <c r="A82" s="16" t="s">
        <v>383</v>
      </c>
      <c r="B82" s="41">
        <f>B81</f>
        <v>0</v>
      </c>
      <c r="C82" s="18"/>
      <c r="E82" s="25"/>
    </row>
    <row r="83" spans="1:5" ht="17.100000000000001" thickBot="1">
      <c r="A83" s="33" t="s">
        <v>414</v>
      </c>
      <c r="B83" s="46">
        <f>B82</f>
        <v>0</v>
      </c>
      <c r="C83" s="30"/>
      <c r="E83" s="25"/>
    </row>
    <row r="84" spans="1:5" ht="33" thickBot="1">
      <c r="A84" s="93" t="s">
        <v>415</v>
      </c>
      <c r="B84" s="239">
        <f>B83</f>
        <v>0</v>
      </c>
      <c r="C84" s="241"/>
      <c r="E84" s="25"/>
    </row>
    <row r="85" spans="1:5">
      <c r="E85" s="25"/>
    </row>
    <row r="86" spans="1:5" ht="15.95" thickBot="1">
      <c r="A86" s="12" t="s">
        <v>474</v>
      </c>
      <c r="E86" s="25"/>
    </row>
    <row r="87" spans="1:5" ht="15.95" thickBot="1">
      <c r="B87" s="245" t="s">
        <v>475</v>
      </c>
      <c r="C87" s="246"/>
      <c r="D87" s="247"/>
    </row>
    <row r="88" spans="1:5" ht="15.95" thickBot="1">
      <c r="A88" s="9" t="s">
        <v>366</v>
      </c>
      <c r="B88" s="31" t="s">
        <v>339</v>
      </c>
      <c r="C88" s="10" t="s">
        <v>341</v>
      </c>
      <c r="D88" s="11" t="s">
        <v>236</v>
      </c>
    </row>
    <row r="89" spans="1:5">
      <c r="A89" s="32" t="s">
        <v>413</v>
      </c>
      <c r="B89" s="58">
        <v>3600</v>
      </c>
      <c r="C89" s="24">
        <v>419</v>
      </c>
      <c r="D89" s="15" t="s">
        <v>476</v>
      </c>
    </row>
    <row r="90" spans="1:5" ht="15.95" thickBot="1">
      <c r="A90" s="32" t="s">
        <v>422</v>
      </c>
      <c r="B90" s="58">
        <v>548</v>
      </c>
      <c r="C90" s="24"/>
      <c r="D90" s="15" t="s">
        <v>476</v>
      </c>
    </row>
    <row r="91" spans="1:5">
      <c r="A91" s="16" t="s">
        <v>383</v>
      </c>
      <c r="B91" s="61">
        <f>SUM(B89:B90)</f>
        <v>4148</v>
      </c>
      <c r="C91" s="51">
        <f>SUM(C89:C90)</f>
        <v>419</v>
      </c>
      <c r="D91" s="18"/>
    </row>
    <row r="92" spans="1:5" ht="17.100000000000001" thickBot="1">
      <c r="A92" s="33" t="s">
        <v>414</v>
      </c>
      <c r="B92" s="59">
        <f>B91*'4. Mineral Content Percentages'!B22</f>
        <v>779.82399999999996</v>
      </c>
      <c r="C92" s="53">
        <f>C91*'4. Mineral Content Percentages'!B23</f>
        <v>121.50999999999999</v>
      </c>
      <c r="D92" s="30"/>
    </row>
    <row r="93" spans="1:5" ht="33" thickBot="1">
      <c r="A93" s="93" t="s">
        <v>415</v>
      </c>
      <c r="B93" s="230">
        <f>SUM(B92:C92)</f>
        <v>901.33399999999995</v>
      </c>
      <c r="C93" s="231"/>
      <c r="D93" s="232"/>
    </row>
    <row r="95" spans="1:5" ht="15.95" thickBot="1">
      <c r="A95" s="12" t="s">
        <v>477</v>
      </c>
    </row>
    <row r="96" spans="1:5" ht="15.95" thickBot="1">
      <c r="B96" s="227" t="s">
        <v>133</v>
      </c>
      <c r="C96" s="228"/>
      <c r="D96" s="228"/>
      <c r="E96" s="229"/>
    </row>
    <row r="97" spans="1:9" ht="15.95" thickBot="1">
      <c r="A97" s="12"/>
      <c r="B97" s="26" t="s">
        <v>478</v>
      </c>
      <c r="C97" s="12" t="s">
        <v>345</v>
      </c>
      <c r="D97" s="12" t="s">
        <v>346</v>
      </c>
      <c r="E97" s="27" t="s">
        <v>236</v>
      </c>
    </row>
    <row r="98" spans="1:9" ht="15.95" thickBot="1">
      <c r="A98" s="43" t="s">
        <v>370</v>
      </c>
      <c r="B98" s="44">
        <v>0</v>
      </c>
      <c r="C98" s="20"/>
      <c r="D98" s="20"/>
      <c r="E98" s="21" t="s">
        <v>420</v>
      </c>
    </row>
    <row r="99" spans="1:9">
      <c r="A99" s="63" t="s">
        <v>383</v>
      </c>
      <c r="B99" s="41">
        <f>B98</f>
        <v>0</v>
      </c>
      <c r="C99" s="47"/>
      <c r="D99" s="47"/>
      <c r="E99" s="18"/>
    </row>
    <row r="100" spans="1:9" ht="33" thickBot="1">
      <c r="A100" s="64" t="s">
        <v>425</v>
      </c>
      <c r="B100" s="46">
        <f>B99</f>
        <v>0</v>
      </c>
      <c r="C100" s="38"/>
      <c r="D100" s="38"/>
      <c r="E100" s="30"/>
    </row>
    <row r="101" spans="1:9" ht="33" thickBot="1">
      <c r="A101" s="93" t="s">
        <v>426</v>
      </c>
      <c r="B101" s="239">
        <f>B100</f>
        <v>0</v>
      </c>
      <c r="C101" s="240"/>
      <c r="D101" s="240"/>
      <c r="E101" s="241"/>
    </row>
    <row r="103" spans="1:9" ht="15.95" thickBot="1">
      <c r="A103" s="12" t="s">
        <v>479</v>
      </c>
    </row>
    <row r="104" spans="1:9" ht="15.95" thickBot="1">
      <c r="B104" s="242" t="s">
        <v>480</v>
      </c>
      <c r="C104" s="243"/>
      <c r="D104" s="243"/>
      <c r="E104" s="243"/>
      <c r="F104" s="243"/>
      <c r="G104" s="243"/>
      <c r="H104" s="244"/>
    </row>
    <row r="105" spans="1:9" ht="15.95" thickBot="1">
      <c r="A105" s="9" t="s">
        <v>366</v>
      </c>
      <c r="B105" s="31" t="s">
        <v>418</v>
      </c>
      <c r="C105" s="10" t="s">
        <v>481</v>
      </c>
      <c r="D105" s="10" t="s">
        <v>482</v>
      </c>
      <c r="E105" s="10" t="s">
        <v>430</v>
      </c>
      <c r="F105" s="10" t="s">
        <v>483</v>
      </c>
      <c r="G105" s="10" t="s">
        <v>484</v>
      </c>
      <c r="H105" s="11" t="s">
        <v>236</v>
      </c>
      <c r="I105" s="12" t="s">
        <v>419</v>
      </c>
    </row>
    <row r="106" spans="1:9">
      <c r="A106" s="32" t="s">
        <v>373</v>
      </c>
      <c r="B106" s="58"/>
      <c r="C106" s="24">
        <v>31500</v>
      </c>
      <c r="D106" s="24">
        <v>43000</v>
      </c>
      <c r="E106" s="24">
        <f>8+325+2</f>
        <v>335</v>
      </c>
      <c r="F106" s="24"/>
      <c r="G106" s="24">
        <v>8</v>
      </c>
      <c r="H106" s="15" t="s">
        <v>485</v>
      </c>
    </row>
    <row r="107" spans="1:9">
      <c r="A107" s="32" t="s">
        <v>379</v>
      </c>
      <c r="B107" s="58"/>
      <c r="C107" s="24"/>
      <c r="D107" s="24"/>
      <c r="E107" s="24">
        <v>555</v>
      </c>
      <c r="F107" s="24">
        <v>5</v>
      </c>
      <c r="G107" s="24"/>
      <c r="H107" s="15" t="s">
        <v>485</v>
      </c>
    </row>
    <row r="108" spans="1:9">
      <c r="A108" s="32" t="s">
        <v>422</v>
      </c>
      <c r="B108" s="58"/>
      <c r="C108" s="24">
        <v>23000</v>
      </c>
      <c r="D108" s="24"/>
      <c r="E108" s="24"/>
      <c r="F108" s="24"/>
      <c r="G108" s="24"/>
      <c r="H108" s="15" t="s">
        <v>485</v>
      </c>
    </row>
    <row r="109" spans="1:9">
      <c r="A109" s="32" t="s">
        <v>402</v>
      </c>
      <c r="B109" s="58">
        <v>30000</v>
      </c>
      <c r="C109" s="24">
        <v>1180</v>
      </c>
      <c r="D109" s="24">
        <v>10100</v>
      </c>
      <c r="E109" s="24"/>
      <c r="F109" s="24">
        <v>63</v>
      </c>
      <c r="G109" s="24"/>
      <c r="H109" s="15" t="s">
        <v>485</v>
      </c>
    </row>
    <row r="110" spans="1:9">
      <c r="A110" s="32" t="s">
        <v>423</v>
      </c>
      <c r="B110" s="58">
        <v>762</v>
      </c>
      <c r="C110" s="24"/>
      <c r="D110" s="24">
        <v>912</v>
      </c>
      <c r="E110" s="24"/>
      <c r="F110" s="24">
        <v>274</v>
      </c>
      <c r="G110" s="24"/>
      <c r="H110" s="15" t="s">
        <v>485</v>
      </c>
    </row>
    <row r="111" spans="1:9">
      <c r="A111" s="32" t="s">
        <v>381</v>
      </c>
      <c r="B111" s="58"/>
      <c r="C111" s="24"/>
      <c r="D111" s="24"/>
      <c r="E111" s="24"/>
      <c r="F111" s="24"/>
      <c r="G111" s="24"/>
      <c r="H111" s="15" t="s">
        <v>485</v>
      </c>
    </row>
    <row r="112" spans="1:9" ht="15.95" thickBot="1">
      <c r="A112" s="32" t="s">
        <v>486</v>
      </c>
      <c r="B112" s="58"/>
      <c r="C112" s="24"/>
      <c r="D112" s="24"/>
      <c r="E112" s="24">
        <v>48</v>
      </c>
      <c r="F112" s="24"/>
      <c r="G112" s="24"/>
      <c r="H112" s="15" t="s">
        <v>485</v>
      </c>
    </row>
    <row r="113" spans="1:10">
      <c r="A113" s="16" t="s">
        <v>383</v>
      </c>
      <c r="B113" s="61">
        <f>SUM(B106:B112)</f>
        <v>30762</v>
      </c>
      <c r="C113" s="51">
        <f t="shared" ref="C113:G113" si="2">SUM(C106:C112)</f>
        <v>55680</v>
      </c>
      <c r="D113" s="51">
        <f t="shared" si="2"/>
        <v>54012</v>
      </c>
      <c r="E113" s="51">
        <f t="shared" si="2"/>
        <v>938</v>
      </c>
      <c r="F113" s="51">
        <f t="shared" si="2"/>
        <v>342</v>
      </c>
      <c r="G113" s="51">
        <f t="shared" si="2"/>
        <v>8</v>
      </c>
      <c r="H113" s="18"/>
    </row>
    <row r="114" spans="1:10" ht="33" thickBot="1">
      <c r="A114" s="33" t="s">
        <v>425</v>
      </c>
      <c r="B114" s="59">
        <f>B113*1</f>
        <v>30762</v>
      </c>
      <c r="C114" s="53">
        <f t="shared" ref="C114:D114" si="3">C113*1</f>
        <v>55680</v>
      </c>
      <c r="D114" s="53">
        <f t="shared" si="3"/>
        <v>54012</v>
      </c>
      <c r="E114" s="53">
        <f>E113*1</f>
        <v>938</v>
      </c>
      <c r="F114" s="53">
        <f>F113*'4. Mineral Content Percentages'!B32</f>
        <v>216.14400000000001</v>
      </c>
      <c r="G114" s="53">
        <f>G113*'4. Mineral Content Percentages'!B33</f>
        <v>2.7839999999999998</v>
      </c>
      <c r="H114" s="30"/>
    </row>
    <row r="115" spans="1:10" ht="33" thickBot="1">
      <c r="A115" s="93" t="s">
        <v>426</v>
      </c>
      <c r="B115" s="230">
        <f>SUM(B114:G114)</f>
        <v>141610.92800000001</v>
      </c>
      <c r="C115" s="231"/>
      <c r="D115" s="231"/>
      <c r="E115" s="231"/>
      <c r="F115" s="231"/>
      <c r="G115" s="231"/>
      <c r="H115" s="232"/>
    </row>
    <row r="117" spans="1:10" ht="15.95" thickBot="1">
      <c r="A117" s="12" t="s">
        <v>487</v>
      </c>
    </row>
    <row r="118" spans="1:10" ht="15.95" thickBot="1">
      <c r="B118" s="227" t="s">
        <v>137</v>
      </c>
      <c r="C118" s="228"/>
      <c r="D118" s="228"/>
      <c r="E118" s="228"/>
      <c r="F118" s="229"/>
    </row>
    <row r="119" spans="1:10" ht="15.95" thickBot="1">
      <c r="A119" s="12"/>
      <c r="B119" s="31" t="s">
        <v>352</v>
      </c>
      <c r="C119" s="10" t="s">
        <v>431</v>
      </c>
      <c r="D119" s="10" t="s">
        <v>432</v>
      </c>
      <c r="E119" s="10" t="s">
        <v>433</v>
      </c>
      <c r="F119" s="11" t="s">
        <v>236</v>
      </c>
    </row>
    <row r="120" spans="1:10" ht="15.95" thickBot="1">
      <c r="A120" s="13" t="s">
        <v>370</v>
      </c>
      <c r="B120" s="41">
        <v>17600</v>
      </c>
      <c r="C120" s="47">
        <v>117000</v>
      </c>
      <c r="D120" s="47">
        <v>5690</v>
      </c>
      <c r="E120" s="47">
        <v>145000</v>
      </c>
      <c r="F120" s="18" t="s">
        <v>488</v>
      </c>
    </row>
    <row r="121" spans="1:10">
      <c r="A121" s="63" t="s">
        <v>383</v>
      </c>
      <c r="B121" s="41">
        <f>SUM(B120)</f>
        <v>17600</v>
      </c>
      <c r="C121" s="47">
        <f t="shared" ref="C121:E121" si="4">SUM(C120)</f>
        <v>117000</v>
      </c>
      <c r="D121" s="47">
        <f t="shared" si="4"/>
        <v>5690</v>
      </c>
      <c r="E121" s="47">
        <f t="shared" si="4"/>
        <v>145000</v>
      </c>
      <c r="F121" s="18"/>
    </row>
    <row r="122" spans="1:10" ht="17.100000000000001" thickBot="1">
      <c r="A122" s="64" t="s">
        <v>440</v>
      </c>
      <c r="B122" s="46">
        <f>B121*'4. Mineral Content Percentages'!B41</f>
        <v>7568</v>
      </c>
      <c r="C122" s="38">
        <f>C121*'4. Mineral Content Percentages'!B38</f>
        <v>35100</v>
      </c>
      <c r="D122" s="38">
        <f>D121*1</f>
        <v>5690</v>
      </c>
      <c r="E122" s="38">
        <f>E121*1</f>
        <v>145000</v>
      </c>
      <c r="F122" s="30"/>
    </row>
    <row r="123" spans="1:10" ht="33" thickBot="1">
      <c r="A123" s="93" t="s">
        <v>441</v>
      </c>
      <c r="B123" s="239">
        <f>SUM(B122:E122)</f>
        <v>193358</v>
      </c>
      <c r="C123" s="240"/>
      <c r="D123" s="240"/>
      <c r="E123" s="240"/>
      <c r="F123" s="241"/>
    </row>
    <row r="124" spans="1:10">
      <c r="A124" s="22"/>
    </row>
    <row r="125" spans="1:10" ht="17.100000000000001" thickBot="1">
      <c r="A125" s="22" t="s">
        <v>489</v>
      </c>
    </row>
    <row r="126" spans="1:10" ht="15.95" thickBot="1">
      <c r="B126" s="245" t="s">
        <v>490</v>
      </c>
      <c r="C126" s="246"/>
      <c r="D126" s="246"/>
      <c r="E126" s="246"/>
      <c r="F126" s="246"/>
      <c r="G126" s="246"/>
      <c r="H126" s="246"/>
      <c r="I126" s="247"/>
    </row>
    <row r="127" spans="1:10" ht="15.95" thickBot="1">
      <c r="A127" s="9" t="s">
        <v>366</v>
      </c>
      <c r="B127" s="31" t="s">
        <v>491</v>
      </c>
      <c r="C127" s="10" t="s">
        <v>492</v>
      </c>
      <c r="D127" s="10" t="s">
        <v>350</v>
      </c>
      <c r="E127" s="10" t="s">
        <v>493</v>
      </c>
      <c r="F127" s="10" t="s">
        <v>494</v>
      </c>
      <c r="G127" s="10" t="s">
        <v>495</v>
      </c>
      <c r="H127" s="10" t="s">
        <v>496</v>
      </c>
      <c r="I127" s="11" t="s">
        <v>236</v>
      </c>
      <c r="J127" s="12" t="s">
        <v>497</v>
      </c>
    </row>
    <row r="128" spans="1:10">
      <c r="A128" s="32" t="s">
        <v>373</v>
      </c>
      <c r="B128" s="58">
        <v>18200</v>
      </c>
      <c r="C128" s="24">
        <v>378</v>
      </c>
      <c r="D128" s="24">
        <v>73</v>
      </c>
      <c r="E128" s="24">
        <v>19.8</v>
      </c>
      <c r="F128" s="24">
        <v>130</v>
      </c>
      <c r="G128" s="24">
        <v>0.15</v>
      </c>
      <c r="H128" s="24"/>
      <c r="I128" s="15" t="s">
        <v>498</v>
      </c>
    </row>
    <row r="129" spans="1:9">
      <c r="A129" s="32" t="s">
        <v>379</v>
      </c>
      <c r="B129" s="58">
        <v>48400</v>
      </c>
      <c r="C129" s="24">
        <v>4090</v>
      </c>
      <c r="D129" s="24"/>
      <c r="E129" s="24"/>
      <c r="F129" s="24">
        <v>2340</v>
      </c>
      <c r="G129" s="24">
        <v>717</v>
      </c>
      <c r="H129" s="24">
        <v>34.1</v>
      </c>
      <c r="I129" s="15" t="s">
        <v>498</v>
      </c>
    </row>
    <row r="130" spans="1:9">
      <c r="A130" s="32" t="s">
        <v>438</v>
      </c>
      <c r="B130" s="58"/>
      <c r="C130" s="24"/>
      <c r="D130" s="24">
        <v>5640</v>
      </c>
      <c r="E130" s="24"/>
      <c r="F130" s="24"/>
      <c r="G130" s="24">
        <v>0.3</v>
      </c>
      <c r="H130" s="24"/>
      <c r="I130" s="15" t="s">
        <v>498</v>
      </c>
    </row>
    <row r="131" spans="1:9">
      <c r="A131" s="32" t="s">
        <v>439</v>
      </c>
      <c r="B131" s="58"/>
      <c r="C131" s="24"/>
      <c r="D131" s="24">
        <v>3110</v>
      </c>
      <c r="E131" s="24"/>
      <c r="F131" s="24"/>
      <c r="G131" s="24">
        <v>0.67500000000000004</v>
      </c>
      <c r="H131" s="24"/>
      <c r="I131" s="15" t="s">
        <v>498</v>
      </c>
    </row>
    <row r="132" spans="1:9">
      <c r="A132" s="32" t="s">
        <v>422</v>
      </c>
      <c r="B132" s="58"/>
      <c r="C132" s="24"/>
      <c r="D132" s="24"/>
      <c r="E132" s="24">
        <v>6.93</v>
      </c>
      <c r="F132" s="24">
        <v>159</v>
      </c>
      <c r="G132" s="24">
        <v>0.375</v>
      </c>
      <c r="H132" s="24">
        <v>7.04</v>
      </c>
      <c r="I132" s="15" t="s">
        <v>498</v>
      </c>
    </row>
    <row r="133" spans="1:9">
      <c r="A133" s="32" t="s">
        <v>402</v>
      </c>
      <c r="B133" s="58"/>
      <c r="C133" s="24"/>
      <c r="D133" s="24"/>
      <c r="E133" s="24">
        <v>13.86</v>
      </c>
      <c r="F133" s="24">
        <v>860</v>
      </c>
      <c r="G133" s="24">
        <v>795</v>
      </c>
      <c r="H133" s="24">
        <v>0.22</v>
      </c>
      <c r="I133" s="15" t="s">
        <v>498</v>
      </c>
    </row>
    <row r="134" spans="1:9" ht="15.95" thickBot="1">
      <c r="A134" s="32" t="s">
        <v>486</v>
      </c>
      <c r="B134" s="58"/>
      <c r="C134" s="24"/>
      <c r="D134" s="24"/>
      <c r="E134" s="24"/>
      <c r="F134" s="24">
        <v>304</v>
      </c>
      <c r="G134" s="24"/>
      <c r="H134" s="24"/>
      <c r="I134" s="15" t="s">
        <v>498</v>
      </c>
    </row>
    <row r="135" spans="1:9">
      <c r="A135" s="63" t="s">
        <v>383</v>
      </c>
      <c r="B135" s="61">
        <f>SUM(B128:B134)</f>
        <v>66600</v>
      </c>
      <c r="C135" s="51">
        <f t="shared" ref="C135:H135" si="5">SUM(C128:C134)</f>
        <v>4468</v>
      </c>
      <c r="D135" s="51">
        <f t="shared" si="5"/>
        <v>8823</v>
      </c>
      <c r="E135" s="51">
        <f t="shared" si="5"/>
        <v>40.590000000000003</v>
      </c>
      <c r="F135" s="51">
        <f t="shared" si="5"/>
        <v>3793</v>
      </c>
      <c r="G135" s="51">
        <f t="shared" si="5"/>
        <v>1513.5</v>
      </c>
      <c r="H135" s="51">
        <f t="shared" si="5"/>
        <v>41.36</v>
      </c>
      <c r="I135" s="18"/>
    </row>
    <row r="136" spans="1:9" ht="17.100000000000001" thickBot="1">
      <c r="A136" s="64" t="s">
        <v>440</v>
      </c>
      <c r="B136" s="59">
        <f>B135*1</f>
        <v>66600</v>
      </c>
      <c r="C136" s="53">
        <f t="shared" ref="C136:H136" si="6">C135*1</f>
        <v>4468</v>
      </c>
      <c r="D136" s="53">
        <f t="shared" si="6"/>
        <v>8823</v>
      </c>
      <c r="E136" s="53">
        <f t="shared" si="6"/>
        <v>40.590000000000003</v>
      </c>
      <c r="F136" s="53">
        <f t="shared" si="6"/>
        <v>3793</v>
      </c>
      <c r="G136" s="53">
        <f t="shared" si="6"/>
        <v>1513.5</v>
      </c>
      <c r="H136" s="53">
        <f t="shared" si="6"/>
        <v>41.36</v>
      </c>
      <c r="I136" s="30"/>
    </row>
    <row r="137" spans="1:9" ht="33" thickBot="1">
      <c r="A137" s="93" t="s">
        <v>441</v>
      </c>
      <c r="B137" s="230">
        <f>SUM(B136:H136)</f>
        <v>85279.45</v>
      </c>
      <c r="C137" s="231"/>
      <c r="D137" s="231"/>
      <c r="E137" s="231"/>
      <c r="F137" s="231"/>
      <c r="G137" s="231"/>
      <c r="H137" s="231"/>
      <c r="I137" s="232"/>
    </row>
    <row r="139" spans="1:9" ht="15.95" thickBot="1">
      <c r="A139" s="12" t="s">
        <v>499</v>
      </c>
    </row>
    <row r="140" spans="1:9" ht="15.95" thickBot="1">
      <c r="A140" s="233" t="s">
        <v>141</v>
      </c>
      <c r="B140" s="234"/>
      <c r="C140" s="235"/>
    </row>
    <row r="141" spans="1:9" ht="15.95" thickBot="1">
      <c r="A141" s="31" t="s">
        <v>271</v>
      </c>
      <c r="B141" s="10" t="s">
        <v>443</v>
      </c>
      <c r="C141" s="21"/>
    </row>
    <row r="142" spans="1:9">
      <c r="A142" s="28" t="s">
        <v>286</v>
      </c>
      <c r="B142" s="65">
        <f>SUM(B8,B21)</f>
        <v>6963812.9800000004</v>
      </c>
      <c r="C142" s="15"/>
    </row>
    <row r="143" spans="1:9">
      <c r="A143" s="28" t="s">
        <v>290</v>
      </c>
      <c r="B143" s="65">
        <f>SUM(B29,B41)</f>
        <v>5916</v>
      </c>
      <c r="C143" s="15"/>
    </row>
    <row r="144" spans="1:9">
      <c r="A144" s="28" t="s">
        <v>254</v>
      </c>
      <c r="B144" s="65">
        <f>SUM(B49,B58,B66,B76)</f>
        <v>316961.24249999999</v>
      </c>
      <c r="C144" s="15"/>
    </row>
    <row r="145" spans="1:3">
      <c r="A145" s="28" t="s">
        <v>287</v>
      </c>
      <c r="B145" s="65">
        <f>SUM(B84,B93)</f>
        <v>901.33399999999995</v>
      </c>
      <c r="C145" s="15"/>
    </row>
    <row r="146" spans="1:3">
      <c r="A146" s="28" t="s">
        <v>289</v>
      </c>
      <c r="B146" s="65">
        <f>SUM(B101,B115)</f>
        <v>141610.92800000001</v>
      </c>
      <c r="C146" s="15"/>
    </row>
    <row r="147" spans="1:3" ht="15.95" thickBot="1">
      <c r="A147" s="46" t="s">
        <v>288</v>
      </c>
      <c r="B147" s="66">
        <f>SUM(B123,B137)</f>
        <v>278637.45</v>
      </c>
      <c r="C147" s="30"/>
    </row>
    <row r="149" spans="1:3" ht="15.95" thickBot="1">
      <c r="A149" s="12" t="s">
        <v>500</v>
      </c>
    </row>
    <row r="150" spans="1:3" ht="15.95" thickBot="1">
      <c r="A150" s="233" t="s">
        <v>143</v>
      </c>
      <c r="B150" s="234"/>
      <c r="C150" s="235"/>
    </row>
    <row r="151" spans="1:3" ht="15.95" thickBot="1">
      <c r="A151" s="31" t="s">
        <v>271</v>
      </c>
      <c r="B151" s="10" t="s">
        <v>443</v>
      </c>
      <c r="C151" s="21"/>
    </row>
    <row r="152" spans="1:3">
      <c r="A152" s="28" t="s">
        <v>286</v>
      </c>
      <c r="B152" s="65">
        <f>B142*'5. Mineral to Battery Stats'!B4</f>
        <v>626743.16820000007</v>
      </c>
      <c r="C152" s="15"/>
    </row>
    <row r="153" spans="1:3">
      <c r="A153" s="28" t="s">
        <v>290</v>
      </c>
      <c r="B153" s="65">
        <f>B143*'5. Mineral to Battery Stats'!B5</f>
        <v>1833.96</v>
      </c>
      <c r="C153" s="15"/>
    </row>
    <row r="154" spans="1:3">
      <c r="A154" s="28" t="s">
        <v>254</v>
      </c>
      <c r="B154" s="65">
        <f>(((B49+B58)*('5. Mineral to Battery Stats'!B6))+((B66+B76)*('5. Mineral to Battery Stats'!B7)))</f>
        <v>16767.842125000003</v>
      </c>
      <c r="C154" s="15"/>
    </row>
    <row r="155" spans="1:3">
      <c r="A155" s="28" t="s">
        <v>287</v>
      </c>
      <c r="B155" s="65">
        <f>B145*'5. Mineral to Battery Stats'!B8</f>
        <v>666.9871599999999</v>
      </c>
      <c r="C155" s="15"/>
    </row>
    <row r="156" spans="1:3">
      <c r="A156" s="28" t="s">
        <v>289</v>
      </c>
      <c r="B156" s="65">
        <f>B146*'5. Mineral to Battery Stats'!B9</f>
        <v>14161.092800000002</v>
      </c>
      <c r="C156" s="15"/>
    </row>
    <row r="157" spans="1:3" ht="15.95" thickBot="1">
      <c r="A157" s="46" t="s">
        <v>288</v>
      </c>
      <c r="B157" s="66">
        <f>B147*'5. Mineral to Battery Stats'!B10</f>
        <v>64086.613500000007</v>
      </c>
      <c r="C157" s="30"/>
    </row>
  </sheetData>
  <mergeCells count="30">
    <mergeCell ref="B87:D87"/>
    <mergeCell ref="B93:D93"/>
    <mergeCell ref="B96:E96"/>
    <mergeCell ref="B101:E101"/>
    <mergeCell ref="B21:E21"/>
    <mergeCell ref="B29:D29"/>
    <mergeCell ref="B66:C66"/>
    <mergeCell ref="B69:C69"/>
    <mergeCell ref="B76:C76"/>
    <mergeCell ref="B79:C79"/>
    <mergeCell ref="B84:C84"/>
    <mergeCell ref="B44:D44"/>
    <mergeCell ref="B49:D49"/>
    <mergeCell ref="B52:E52"/>
    <mergeCell ref="B58:E58"/>
    <mergeCell ref="B61:C61"/>
    <mergeCell ref="B3:D3"/>
    <mergeCell ref="B11:E11"/>
    <mergeCell ref="B24:D24"/>
    <mergeCell ref="B32:E32"/>
    <mergeCell ref="B41:E41"/>
    <mergeCell ref="B8:D8"/>
    <mergeCell ref="B137:I137"/>
    <mergeCell ref="A140:C140"/>
    <mergeCell ref="A150:C150"/>
    <mergeCell ref="B104:H104"/>
    <mergeCell ref="B115:H115"/>
    <mergeCell ref="B118:F118"/>
    <mergeCell ref="B123:F123"/>
    <mergeCell ref="B126:I126"/>
  </mergeCells>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5A82B-A083-924F-8A93-36DBB65F77BE}">
  <dimension ref="A1:I63"/>
  <sheetViews>
    <sheetView zoomScale="150" zoomScaleNormal="150" workbookViewId="0">
      <selection activeCell="B60" sqref="B60"/>
    </sheetView>
  </sheetViews>
  <sheetFormatPr defaultColWidth="11.42578125" defaultRowHeight="15"/>
  <cols>
    <col min="1" max="1" width="15.7109375" bestFit="1" customWidth="1"/>
    <col min="2" max="2" width="15.42578125" customWidth="1"/>
    <col min="3" max="3" width="15.85546875" bestFit="1" customWidth="1"/>
    <col min="6" max="7" width="28.7109375" bestFit="1" customWidth="1"/>
  </cols>
  <sheetData>
    <row r="1" spans="1:9" ht="15.95" thickBot="1">
      <c r="A1" s="5" t="s">
        <v>501</v>
      </c>
    </row>
    <row r="2" spans="1:9" ht="15.95" thickBot="1">
      <c r="A2" s="203" t="s">
        <v>145</v>
      </c>
      <c r="B2" s="204"/>
      <c r="C2" s="204"/>
      <c r="D2" s="204"/>
      <c r="E2" s="204"/>
      <c r="F2" s="204"/>
      <c r="G2" s="205"/>
      <c r="I2" s="5" t="s">
        <v>234</v>
      </c>
    </row>
    <row r="3" spans="1:9" ht="15.95" thickBot="1">
      <c r="A3" s="78">
        <v>2016</v>
      </c>
      <c r="B3" s="79">
        <v>2017</v>
      </c>
      <c r="C3" s="79">
        <v>2018</v>
      </c>
      <c r="D3" s="79">
        <v>2019</v>
      </c>
      <c r="E3" s="79">
        <v>2020</v>
      </c>
      <c r="F3" s="79" t="s">
        <v>502</v>
      </c>
      <c r="G3" s="80" t="s">
        <v>236</v>
      </c>
      <c r="I3" s="8" t="s">
        <v>503</v>
      </c>
    </row>
    <row r="4" spans="1:9">
      <c r="A4" s="74">
        <v>80.400000000000006</v>
      </c>
      <c r="B4">
        <v>98.3</v>
      </c>
      <c r="C4">
        <v>114.7</v>
      </c>
      <c r="D4">
        <v>99.5</v>
      </c>
      <c r="E4">
        <v>89.7</v>
      </c>
      <c r="F4" t="s">
        <v>504</v>
      </c>
      <c r="G4" s="75" t="s">
        <v>505</v>
      </c>
      <c r="I4" s="8" t="s">
        <v>506</v>
      </c>
    </row>
    <row r="5" spans="1:9" ht="15.95" thickBot="1">
      <c r="A5" s="76">
        <f>(A4/100)*(2.2*1000)</f>
        <v>1768.8000000000002</v>
      </c>
      <c r="B5" s="7">
        <f t="shared" ref="B5:E5" si="0">(B4/100)*(2.2*1000)</f>
        <v>2162.6</v>
      </c>
      <c r="C5" s="7">
        <f t="shared" si="0"/>
        <v>2523.4</v>
      </c>
      <c r="D5" s="7">
        <f t="shared" si="0"/>
        <v>2189</v>
      </c>
      <c r="E5" s="7">
        <f t="shared" si="0"/>
        <v>1973.4</v>
      </c>
      <c r="F5" s="7" t="s">
        <v>507</v>
      </c>
      <c r="G5" s="77"/>
      <c r="I5" s="8" t="s">
        <v>508</v>
      </c>
    </row>
    <row r="6" spans="1:9">
      <c r="I6" s="8" t="s">
        <v>509</v>
      </c>
    </row>
    <row r="7" spans="1:9" ht="15.95" thickBot="1">
      <c r="A7" s="5" t="s">
        <v>510</v>
      </c>
      <c r="I7" s="8" t="s">
        <v>511</v>
      </c>
    </row>
    <row r="8" spans="1:9" ht="15.95" thickBot="1">
      <c r="A8" s="251" t="s">
        <v>148</v>
      </c>
      <c r="B8" s="252"/>
      <c r="C8" s="252"/>
      <c r="D8" s="252"/>
      <c r="E8" s="252"/>
      <c r="F8" s="252"/>
      <c r="G8" s="253"/>
    </row>
    <row r="9" spans="1:9" ht="15.95" thickBot="1">
      <c r="A9" s="78">
        <v>2015</v>
      </c>
      <c r="B9" s="79">
        <v>2016</v>
      </c>
      <c r="C9" s="79">
        <v>2017</v>
      </c>
      <c r="D9" s="79">
        <v>2018</v>
      </c>
      <c r="E9" s="79">
        <v>2019</v>
      </c>
      <c r="F9" s="79" t="s">
        <v>502</v>
      </c>
      <c r="G9" s="80" t="s">
        <v>236</v>
      </c>
    </row>
    <row r="10" spans="1:9">
      <c r="A10" s="74">
        <v>13.44</v>
      </c>
      <c r="B10">
        <v>12.01</v>
      </c>
      <c r="C10">
        <v>26.97</v>
      </c>
      <c r="D10">
        <v>37.43</v>
      </c>
      <c r="E10">
        <v>16.95</v>
      </c>
      <c r="F10" t="s">
        <v>512</v>
      </c>
      <c r="G10" s="75" t="s">
        <v>371</v>
      </c>
    </row>
    <row r="11" spans="1:9" ht="15.95" thickBot="1">
      <c r="A11" s="76">
        <f>(A10)*(2.2*1000)</f>
        <v>29568</v>
      </c>
      <c r="B11" s="7">
        <f t="shared" ref="B11:E11" si="1">(B10)*(2.2*1000)</f>
        <v>26422</v>
      </c>
      <c r="C11" s="7">
        <f t="shared" si="1"/>
        <v>59334</v>
      </c>
      <c r="D11" s="7">
        <f t="shared" si="1"/>
        <v>82346</v>
      </c>
      <c r="E11" s="7">
        <f t="shared" si="1"/>
        <v>37290</v>
      </c>
      <c r="F11" s="7" t="s">
        <v>513</v>
      </c>
      <c r="G11" s="77"/>
    </row>
    <row r="13" spans="1:9" ht="15.95" thickBot="1">
      <c r="A13" s="5" t="s">
        <v>514</v>
      </c>
    </row>
    <row r="14" spans="1:9" ht="15.95" thickBot="1">
      <c r="A14" s="203" t="s">
        <v>150</v>
      </c>
      <c r="B14" s="204"/>
      <c r="C14" s="204"/>
      <c r="D14" s="204"/>
      <c r="E14" s="204"/>
      <c r="F14" s="204"/>
      <c r="G14" s="205"/>
    </row>
    <row r="15" spans="1:9">
      <c r="A15" s="89" t="s">
        <v>335</v>
      </c>
      <c r="B15" s="90"/>
      <c r="C15" s="90"/>
      <c r="D15" s="90"/>
      <c r="E15" s="90"/>
      <c r="F15" s="90"/>
      <c r="G15" s="91"/>
    </row>
    <row r="16" spans="1:9">
      <c r="A16" s="72">
        <v>2017</v>
      </c>
      <c r="B16" s="5">
        <v>2018</v>
      </c>
      <c r="C16" s="5">
        <v>2019</v>
      </c>
      <c r="D16" s="5">
        <v>2020</v>
      </c>
      <c r="E16" s="5">
        <v>2021</v>
      </c>
      <c r="F16" s="5" t="s">
        <v>502</v>
      </c>
      <c r="G16" s="73" t="s">
        <v>236</v>
      </c>
      <c r="I16" s="8"/>
    </row>
    <row r="17" spans="1:9" ht="15.95" thickBot="1">
      <c r="A17" s="76">
        <v>451</v>
      </c>
      <c r="B17" s="7">
        <v>319</v>
      </c>
      <c r="C17" s="7">
        <v>498</v>
      </c>
      <c r="D17" s="7">
        <v>687</v>
      </c>
      <c r="E17" s="7">
        <v>630</v>
      </c>
      <c r="F17" s="7" t="s">
        <v>507</v>
      </c>
      <c r="G17" s="77" t="s">
        <v>515</v>
      </c>
      <c r="I17" s="8"/>
    </row>
    <row r="18" spans="1:9">
      <c r="A18" s="89" t="s">
        <v>399</v>
      </c>
      <c r="B18" s="90"/>
      <c r="C18" s="90"/>
      <c r="D18" s="90"/>
      <c r="E18" s="90"/>
      <c r="F18" s="90"/>
      <c r="G18" s="91"/>
    </row>
    <row r="19" spans="1:9">
      <c r="A19" s="72">
        <v>2017</v>
      </c>
      <c r="B19" s="5">
        <v>2018</v>
      </c>
      <c r="C19" s="5">
        <v>2019</v>
      </c>
      <c r="D19" s="5">
        <v>2020</v>
      </c>
      <c r="E19" s="5">
        <v>2021</v>
      </c>
      <c r="F19" s="5" t="s">
        <v>502</v>
      </c>
      <c r="G19" s="73" t="s">
        <v>236</v>
      </c>
    </row>
    <row r="20" spans="1:9" ht="15.95" thickBot="1">
      <c r="A20" s="76">
        <v>1390</v>
      </c>
      <c r="B20" s="7">
        <v>1520</v>
      </c>
      <c r="C20" s="7">
        <v>1350</v>
      </c>
      <c r="D20" s="7">
        <v>1540</v>
      </c>
      <c r="E20" s="7">
        <v>1600</v>
      </c>
      <c r="F20" s="7" t="s">
        <v>507</v>
      </c>
      <c r="G20" s="77" t="s">
        <v>515</v>
      </c>
    </row>
    <row r="21" spans="1:9">
      <c r="A21" s="81" t="s">
        <v>516</v>
      </c>
      <c r="G21" s="75"/>
    </row>
    <row r="22" spans="1:9">
      <c r="A22" s="72">
        <v>2017</v>
      </c>
      <c r="B22" s="5">
        <v>2018</v>
      </c>
      <c r="C22" s="5">
        <v>2019</v>
      </c>
      <c r="D22" s="5">
        <v>2020</v>
      </c>
      <c r="E22" s="5">
        <v>2021</v>
      </c>
      <c r="F22" s="5" t="s">
        <v>502</v>
      </c>
      <c r="G22" s="73" t="s">
        <v>236</v>
      </c>
    </row>
    <row r="23" spans="1:9" ht="15.95" thickBot="1">
      <c r="A23" s="86">
        <f>((A17*'7.US Mineral Production&amp;Imports'!$B$57)+(A20*'7.US Mineral Production&amp;Imports'!$C$57))/SUM('7.US Mineral Production&amp;Imports'!$B$57:$C$57)</f>
        <v>721.8763976417971</v>
      </c>
      <c r="B23" s="84">
        <f>((B17*'7.US Mineral Production&amp;Imports'!$B$57)+(B20*'7.US Mineral Production&amp;Imports'!$C$57))/SUM('7.US Mineral Production&amp;Imports'!$B$57:$C$57)</f>
        <v>665.45639357593006</v>
      </c>
      <c r="C23" s="84">
        <f>((C17*'7.US Mineral Production&amp;Imports'!$B$57)+(C20*'7.US Mineral Production&amp;Imports'!$C$57))/SUM('7.US Mineral Production&amp;Imports'!$B$57:$C$57)</f>
        <v>743.77922341939416</v>
      </c>
      <c r="D23" s="84">
        <f>((D17*'7.US Mineral Production&amp;Imports'!$B$57)+(D20*'7.US Mineral Production&amp;Imports'!$C$57))/SUM('7.US Mineral Production&amp;Imports'!$B$57:$C$57)</f>
        <v>933.0676966863183</v>
      </c>
      <c r="E23" s="84">
        <f>((E17*'7.US Mineral Production&amp;Imports'!$B$57)+(E20*'7.US Mineral Production&amp;Imports'!$C$57))/SUM('7.US Mineral Production&amp;Imports'!$B$57:$C$57)</f>
        <v>909.81906891644644</v>
      </c>
      <c r="F23" s="84" t="s">
        <v>507</v>
      </c>
      <c r="G23" s="77"/>
    </row>
    <row r="24" spans="1:9">
      <c r="A24" s="4"/>
      <c r="B24" s="4"/>
      <c r="C24" s="4"/>
      <c r="D24" s="4"/>
      <c r="E24" s="4"/>
      <c r="F24" s="4"/>
    </row>
    <row r="25" spans="1:9" ht="15.95" thickBot="1">
      <c r="A25" s="5" t="s">
        <v>517</v>
      </c>
    </row>
    <row r="26" spans="1:9" ht="15.95" thickBot="1">
      <c r="A26" s="251" t="s">
        <v>152</v>
      </c>
      <c r="B26" s="252"/>
      <c r="C26" s="252"/>
      <c r="D26" s="252"/>
      <c r="E26" s="252"/>
      <c r="F26" s="252"/>
      <c r="G26" s="253"/>
    </row>
    <row r="27" spans="1:9" ht="15.95" thickBot="1">
      <c r="A27" s="78">
        <v>2015</v>
      </c>
      <c r="B27" s="79">
        <v>2016</v>
      </c>
      <c r="C27" s="79">
        <v>2017</v>
      </c>
      <c r="D27" s="79">
        <v>2018</v>
      </c>
      <c r="E27" s="79">
        <v>2019</v>
      </c>
      <c r="F27" s="79" t="s">
        <v>502</v>
      </c>
      <c r="G27" s="80" t="s">
        <v>236</v>
      </c>
    </row>
    <row r="28" spans="1:9" ht="15.95" thickBot="1">
      <c r="A28" s="76">
        <v>6857.14</v>
      </c>
      <c r="B28" s="7">
        <v>3178.74</v>
      </c>
      <c r="C28" s="7">
        <v>3212.39</v>
      </c>
      <c r="D28" s="7">
        <v>5342.47</v>
      </c>
      <c r="E28" s="7">
        <v>4239.13</v>
      </c>
      <c r="F28" s="7" t="s">
        <v>507</v>
      </c>
      <c r="G28" s="148" t="s">
        <v>515</v>
      </c>
    </row>
    <row r="30" spans="1:9" ht="15.95" thickBot="1">
      <c r="A30" s="5" t="s">
        <v>518</v>
      </c>
    </row>
    <row r="31" spans="1:9" ht="15.95" thickBot="1">
      <c r="A31" s="251" t="s">
        <v>154</v>
      </c>
      <c r="B31" s="252"/>
      <c r="C31" s="252"/>
      <c r="D31" s="252"/>
      <c r="E31" s="252"/>
      <c r="F31" s="252"/>
      <c r="G31" s="253"/>
    </row>
    <row r="32" spans="1:9" ht="15.95" thickBot="1">
      <c r="A32" s="85"/>
      <c r="B32" s="79" t="s">
        <v>519</v>
      </c>
      <c r="C32" s="79" t="s">
        <v>520</v>
      </c>
      <c r="D32" s="79" t="s">
        <v>521</v>
      </c>
      <c r="E32" s="79" t="s">
        <v>522</v>
      </c>
      <c r="F32" s="79" t="s">
        <v>502</v>
      </c>
      <c r="G32" s="80" t="s">
        <v>236</v>
      </c>
    </row>
    <row r="33" spans="1:7">
      <c r="A33" s="81" t="s">
        <v>523</v>
      </c>
      <c r="B33" s="4">
        <f>AVERAGE(A23:E23)</f>
        <v>794.79975604797733</v>
      </c>
      <c r="C33">
        <f>STDEV(A23:E23)</f>
        <v>119.37135555443984</v>
      </c>
      <c r="D33" s="4">
        <f>B33-C33</f>
        <v>675.42840049353754</v>
      </c>
      <c r="E33" s="4">
        <f>B33+C33</f>
        <v>914.17111160241711</v>
      </c>
      <c r="F33" s="75" t="s">
        <v>507</v>
      </c>
      <c r="G33" s="75"/>
    </row>
    <row r="34" spans="1:7">
      <c r="A34" s="81" t="s">
        <v>337</v>
      </c>
      <c r="B34">
        <f>AVERAGE(A28:E28)</f>
        <v>4565.9740000000002</v>
      </c>
      <c r="C34">
        <f>STDEV(A28:E28)</f>
        <v>1558.5107068705042</v>
      </c>
      <c r="D34" s="4">
        <f>B34-C34</f>
        <v>3007.4632931294959</v>
      </c>
      <c r="E34" s="4">
        <f>B34+C34</f>
        <v>6124.4847068705039</v>
      </c>
      <c r="F34" s="75" t="s">
        <v>507</v>
      </c>
      <c r="G34" s="75"/>
    </row>
    <row r="35" spans="1:7" ht="15.95" thickBot="1">
      <c r="A35" s="83" t="s">
        <v>524</v>
      </c>
      <c r="B35" s="7">
        <f>((B33*('7.US Mineral Production&amp;Imports'!$B$65+'7.US Mineral Production&amp;Imports'!$B$75))+(B34*(SUM('7.US Mineral Production&amp;Imports'!$B$57:$D$57))))/(SUM('7.US Mineral Production&amp;Imports'!$B$57:$D$57,'7.US Mineral Production&amp;Imports'!$B$65,'7.US Mineral Production&amp;Imports'!$B$75))</f>
        <v>1013.6688277832823</v>
      </c>
      <c r="C35" s="7">
        <f>((C33*('7.US Mineral Production&amp;Imports'!$B$65+'7.US Mineral Production&amp;Imports'!$B$75))+(C34*(SUM('7.US Mineral Production&amp;Imports'!$B$57:$D$57))))/(SUM('7.US Mineral Production&amp;Imports'!$B$57:$D$57,'7.US Mineral Production&amp;Imports'!$B$65,'7.US Mineral Production&amp;Imports'!$B$75))</f>
        <v>202.89523261354051</v>
      </c>
      <c r="D35" s="84">
        <f>B35-C35</f>
        <v>810.77359516974172</v>
      </c>
      <c r="E35" s="84">
        <f>B35+C35</f>
        <v>1216.5640603968227</v>
      </c>
      <c r="F35" s="77" t="s">
        <v>507</v>
      </c>
      <c r="G35" s="77"/>
    </row>
    <row r="36" spans="1:7">
      <c r="A36" s="92"/>
      <c r="D36" s="4"/>
      <c r="E36" s="4"/>
      <c r="F36" s="4"/>
    </row>
    <row r="37" spans="1:7" ht="15.95" thickBot="1">
      <c r="A37" s="5" t="s">
        <v>525</v>
      </c>
      <c r="D37" s="4"/>
      <c r="E37" s="4"/>
      <c r="F37" s="4"/>
    </row>
    <row r="38" spans="1:7" ht="15.95" thickBot="1">
      <c r="A38" s="251" t="s">
        <v>156</v>
      </c>
      <c r="B38" s="252"/>
      <c r="C38" s="252"/>
      <c r="D38" s="252"/>
      <c r="E38" s="252"/>
      <c r="F38" s="252"/>
      <c r="G38" s="253"/>
    </row>
    <row r="39" spans="1:7" ht="15.95" thickBot="1">
      <c r="A39" s="78">
        <v>2017</v>
      </c>
      <c r="B39" s="79">
        <v>2018</v>
      </c>
      <c r="C39" s="79">
        <v>2019</v>
      </c>
      <c r="D39" s="79">
        <v>2020</v>
      </c>
      <c r="E39" s="79">
        <v>2021</v>
      </c>
      <c r="F39" s="79" t="s">
        <v>502</v>
      </c>
      <c r="G39" s="80" t="s">
        <v>236</v>
      </c>
    </row>
    <row r="40" spans="1:7">
      <c r="A40" s="81" t="s">
        <v>339</v>
      </c>
      <c r="B40" s="5"/>
      <c r="C40" s="5"/>
      <c r="D40" s="5"/>
      <c r="E40" s="5"/>
      <c r="F40" s="5"/>
      <c r="G40" s="73"/>
    </row>
    <row r="41" spans="1:7">
      <c r="A41" s="74">
        <v>15000</v>
      </c>
      <c r="B41">
        <v>17000</v>
      </c>
      <c r="C41">
        <v>12700</v>
      </c>
      <c r="D41">
        <v>8000</v>
      </c>
      <c r="E41">
        <v>17000</v>
      </c>
      <c r="F41" t="s">
        <v>526</v>
      </c>
      <c r="G41" s="75" t="s">
        <v>527</v>
      </c>
    </row>
    <row r="42" spans="1:7" ht="15.95" thickBot="1">
      <c r="A42" s="86">
        <f>(A41)*(2*'2. BEV Battery Chemistry Stats'!$B$52/'2. BEV Battery Chemistry Stats'!$B$53)</f>
        <v>2817.663856220649</v>
      </c>
      <c r="B42" s="84">
        <f>(B41)*(2*'2. BEV Battery Chemistry Stats'!$B$52/'2. BEV Battery Chemistry Stats'!$B$53)</f>
        <v>3193.3523703834026</v>
      </c>
      <c r="C42" s="84">
        <f>(C41)*(2*'2. BEV Battery Chemistry Stats'!$B$52/'2. BEV Battery Chemistry Stats'!$B$53)</f>
        <v>2385.6220649334832</v>
      </c>
      <c r="D42" s="84">
        <f>(D41)*(2*'2. BEV Battery Chemistry Stats'!$B$52/'2. BEV Battery Chemistry Stats'!$B$53)</f>
        <v>1502.7540566510129</v>
      </c>
      <c r="E42" s="84">
        <f>(E41)*(2*'2. BEV Battery Chemistry Stats'!$B$52/'2. BEV Battery Chemistry Stats'!$B$53)</f>
        <v>3193.3523703834026</v>
      </c>
      <c r="F42" s="84" t="s">
        <v>528</v>
      </c>
      <c r="G42" s="77"/>
    </row>
    <row r="44" spans="1:7" ht="15.95" thickBot="1">
      <c r="A44" s="5" t="s">
        <v>529</v>
      </c>
    </row>
    <row r="45" spans="1:7" ht="15.95" thickBot="1">
      <c r="A45" s="251" t="s">
        <v>158</v>
      </c>
      <c r="B45" s="252"/>
      <c r="C45" s="252"/>
      <c r="D45" s="252"/>
      <c r="E45" s="252"/>
      <c r="F45" s="252"/>
      <c r="G45" s="253"/>
    </row>
    <row r="46" spans="1:7" ht="15.95" thickBot="1">
      <c r="A46" s="78">
        <v>2017</v>
      </c>
      <c r="B46" s="79">
        <v>2018</v>
      </c>
      <c r="C46" s="79">
        <v>2019</v>
      </c>
      <c r="D46" s="79">
        <v>2020</v>
      </c>
      <c r="E46" s="79">
        <v>2021</v>
      </c>
      <c r="F46" s="79" t="s">
        <v>502</v>
      </c>
      <c r="G46" s="80" t="s">
        <v>236</v>
      </c>
    </row>
    <row r="47" spans="1:7">
      <c r="A47" s="74">
        <v>5.97</v>
      </c>
      <c r="B47">
        <v>7.16</v>
      </c>
      <c r="C47">
        <v>5.63</v>
      </c>
      <c r="D47">
        <v>4.59</v>
      </c>
      <c r="E47">
        <v>5.2</v>
      </c>
      <c r="F47" t="s">
        <v>530</v>
      </c>
      <c r="G47" s="75" t="s">
        <v>531</v>
      </c>
    </row>
    <row r="48" spans="1:7" ht="15.95" thickBot="1">
      <c r="A48" s="76">
        <f>A47*1000</f>
        <v>5970</v>
      </c>
      <c r="B48" s="7">
        <f t="shared" ref="B48:E48" si="2">B47*1000</f>
        <v>7160</v>
      </c>
      <c r="C48" s="7">
        <f t="shared" si="2"/>
        <v>5630</v>
      </c>
      <c r="D48" s="7">
        <f t="shared" si="2"/>
        <v>4590</v>
      </c>
      <c r="E48" s="7">
        <f t="shared" si="2"/>
        <v>5200</v>
      </c>
      <c r="F48" s="7" t="s">
        <v>507</v>
      </c>
      <c r="G48" s="77"/>
    </row>
    <row r="50" spans="1:7" ht="15.95" thickBot="1">
      <c r="A50" s="5" t="s">
        <v>532</v>
      </c>
    </row>
    <row r="51" spans="1:7" ht="15.95" thickBot="1">
      <c r="A51" s="251" t="s">
        <v>160</v>
      </c>
      <c r="B51" s="252"/>
      <c r="C51" s="252"/>
      <c r="D51" s="252"/>
      <c r="E51" s="252"/>
      <c r="F51" s="252"/>
      <c r="G51" s="253"/>
    </row>
    <row r="52" spans="1:7" ht="15.95" thickBot="1">
      <c r="A52" s="78">
        <v>2014</v>
      </c>
      <c r="B52" s="79">
        <v>2015</v>
      </c>
      <c r="C52" s="79">
        <v>2016</v>
      </c>
      <c r="D52" s="79">
        <v>2017</v>
      </c>
      <c r="E52" s="79">
        <v>2018</v>
      </c>
      <c r="F52" s="79" t="s">
        <v>502</v>
      </c>
      <c r="G52" s="80" t="s">
        <v>236</v>
      </c>
    </row>
    <row r="53" spans="1:7" ht="15.95" thickBot="1">
      <c r="A53" s="76">
        <v>16865</v>
      </c>
      <c r="B53" s="7">
        <v>11831</v>
      </c>
      <c r="C53" s="7">
        <v>9594</v>
      </c>
      <c r="D53" s="7">
        <v>10403</v>
      </c>
      <c r="E53" s="7">
        <v>13114</v>
      </c>
      <c r="F53" s="7" t="s">
        <v>507</v>
      </c>
      <c r="G53" s="77" t="s">
        <v>411</v>
      </c>
    </row>
    <row r="55" spans="1:7" ht="15.95" thickBot="1">
      <c r="A55" s="5" t="s">
        <v>533</v>
      </c>
    </row>
    <row r="56" spans="1:7" ht="15.95" thickBot="1">
      <c r="A56" s="251" t="s">
        <v>534</v>
      </c>
      <c r="B56" s="252"/>
      <c r="C56" s="252"/>
      <c r="D56" s="252"/>
      <c r="E56" s="253"/>
      <c r="F56" s="147"/>
    </row>
    <row r="57" spans="1:7" ht="15.95" thickBot="1">
      <c r="A57" s="78" t="s">
        <v>271</v>
      </c>
      <c r="B57" s="79" t="s">
        <v>535</v>
      </c>
      <c r="C57" s="79" t="s">
        <v>520</v>
      </c>
      <c r="D57" s="79" t="s">
        <v>536</v>
      </c>
      <c r="E57" s="80" t="s">
        <v>537</v>
      </c>
      <c r="F57" s="5"/>
    </row>
    <row r="58" spans="1:7">
      <c r="A58" s="74" t="s">
        <v>286</v>
      </c>
      <c r="B58" s="4">
        <f>AVERAGE(A5:E5)</f>
        <v>2123.4399999999996</v>
      </c>
      <c r="C58" s="4">
        <f>STDEV(A5:E5)</f>
        <v>280.21471767200518</v>
      </c>
      <c r="D58" s="4">
        <f>B58-C58</f>
        <v>1843.2252823279944</v>
      </c>
      <c r="E58" s="87">
        <f>B58+C58</f>
        <v>2403.6547176720046</v>
      </c>
      <c r="F58" s="4"/>
    </row>
    <row r="59" spans="1:7">
      <c r="A59" s="74" t="s">
        <v>290</v>
      </c>
      <c r="B59" s="4">
        <f>AVERAGE(A11:E11)</f>
        <v>46992</v>
      </c>
      <c r="C59" s="4">
        <f>STDEV(A11:E11)</f>
        <v>23574.773381731582</v>
      </c>
      <c r="D59" s="4">
        <f>B59-C59</f>
        <v>23417.226618268418</v>
      </c>
      <c r="E59" s="87">
        <f>B59+C59</f>
        <v>70566.773381731589</v>
      </c>
      <c r="F59" s="4"/>
    </row>
    <row r="60" spans="1:7">
      <c r="A60" s="74" t="s">
        <v>254</v>
      </c>
      <c r="B60" s="4" cm="1">
        <f t="array" ref="B60:E60">B35:E35</f>
        <v>1013.6688277832823</v>
      </c>
      <c r="C60" s="4">
        <v>202.89523261354051</v>
      </c>
      <c r="D60" s="4">
        <v>810.77359516974172</v>
      </c>
      <c r="E60" s="87">
        <v>1216.5640603968227</v>
      </c>
      <c r="F60" s="4"/>
    </row>
    <row r="61" spans="1:7">
      <c r="A61" s="74" t="s">
        <v>287</v>
      </c>
      <c r="B61" s="4">
        <f>AVERAGE(A42:E42)</f>
        <v>2618.5489437143901</v>
      </c>
      <c r="C61" s="4">
        <f>STDEV(A42:E42)</f>
        <v>707.05336924779601</v>
      </c>
      <c r="D61" s="4">
        <f>B61-C61</f>
        <v>1911.495574466594</v>
      </c>
      <c r="E61" s="87">
        <f>B61+C61</f>
        <v>3325.6023129621863</v>
      </c>
      <c r="F61" s="4"/>
    </row>
    <row r="62" spans="1:7">
      <c r="A62" s="74" t="s">
        <v>289</v>
      </c>
      <c r="B62" s="4">
        <f>AVERAGE(A48:E48)</f>
        <v>5710</v>
      </c>
      <c r="C62" s="4">
        <f>STDEV(A48:E48)</f>
        <v>960.59877160029725</v>
      </c>
      <c r="D62" s="4">
        <f>B62-C62</f>
        <v>4749.4012283997026</v>
      </c>
      <c r="E62" s="87">
        <f>B62+C62</f>
        <v>6670.5987716002974</v>
      </c>
      <c r="F62" s="4"/>
    </row>
    <row r="63" spans="1:7" ht="15.95" thickBot="1">
      <c r="A63" s="76" t="s">
        <v>288</v>
      </c>
      <c r="B63" s="84">
        <f>AVERAGE(A53:E53)</f>
        <v>12361.4</v>
      </c>
      <c r="C63" s="84">
        <f>STDEV(A53:E53)</f>
        <v>2855.8701476082579</v>
      </c>
      <c r="D63" s="84">
        <f>B63-C63</f>
        <v>9505.5298523917409</v>
      </c>
      <c r="E63" s="88">
        <f>B63+C63</f>
        <v>15217.270147608258</v>
      </c>
      <c r="F63" s="4"/>
    </row>
  </sheetData>
  <mergeCells count="9">
    <mergeCell ref="A45:G45"/>
    <mergeCell ref="A51:G51"/>
    <mergeCell ref="A31:G31"/>
    <mergeCell ref="A56:E56"/>
    <mergeCell ref="A2:G2"/>
    <mergeCell ref="A8:G8"/>
    <mergeCell ref="A14:G14"/>
    <mergeCell ref="A26:G26"/>
    <mergeCell ref="A38:G3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81C05-A356-D54F-9B20-809CE52FF1B0}">
  <dimension ref="A1:G173"/>
  <sheetViews>
    <sheetView topLeftCell="A10" zoomScale="150" zoomScaleNormal="150" workbookViewId="0">
      <selection activeCell="D24" sqref="D24"/>
    </sheetView>
  </sheetViews>
  <sheetFormatPr defaultColWidth="11.42578125" defaultRowHeight="15"/>
  <cols>
    <col min="1" max="1" width="22" bestFit="1" customWidth="1"/>
    <col min="2" max="2" width="26.42578125" bestFit="1" customWidth="1"/>
    <col min="3" max="3" width="23" bestFit="1" customWidth="1"/>
    <col min="4" max="4" width="26.42578125" bestFit="1" customWidth="1"/>
    <col min="5" max="5" width="35.140625" bestFit="1" customWidth="1"/>
    <col min="6" max="6" width="44.7109375" bestFit="1" customWidth="1"/>
    <col min="7" max="7" width="14.28515625" bestFit="1" customWidth="1"/>
  </cols>
  <sheetData>
    <row r="1" spans="1:6" ht="15.95" thickBot="1">
      <c r="A1" s="5" t="s">
        <v>538</v>
      </c>
    </row>
    <row r="2" spans="1:6" ht="15.95" thickBot="1">
      <c r="A2" s="224" t="s">
        <v>164</v>
      </c>
      <c r="B2" s="225"/>
      <c r="C2" s="226"/>
      <c r="E2" s="5" t="s">
        <v>234</v>
      </c>
    </row>
    <row r="3" spans="1:6">
      <c r="A3" s="103" t="s">
        <v>539</v>
      </c>
      <c r="B3" s="101" t="s">
        <v>540</v>
      </c>
      <c r="C3" s="102" t="s">
        <v>236</v>
      </c>
      <c r="E3" t="s">
        <v>237</v>
      </c>
    </row>
    <row r="4" spans="1:6">
      <c r="A4" s="74" t="s">
        <v>238</v>
      </c>
      <c r="B4" cm="1">
        <f t="array" ref="B4:B5">'1. EV Forecast'!B4:B5</f>
        <v>1000000</v>
      </c>
      <c r="C4" s="75">
        <v>1</v>
      </c>
    </row>
    <row r="5" spans="1:6" ht="15.95" thickBot="1">
      <c r="A5" s="76" t="s">
        <v>239</v>
      </c>
      <c r="B5" s="7">
        <v>2000000</v>
      </c>
      <c r="C5" s="77">
        <v>1</v>
      </c>
    </row>
    <row r="7" spans="1:6" ht="15.95" thickBot="1">
      <c r="A7" s="5" t="s">
        <v>541</v>
      </c>
    </row>
    <row r="8" spans="1:6" ht="15.95" thickBot="1">
      <c r="A8" s="190" t="s">
        <v>167</v>
      </c>
      <c r="B8" s="192"/>
      <c r="C8" s="192"/>
      <c r="D8" s="191"/>
      <c r="E8" s="5"/>
      <c r="F8" s="5"/>
    </row>
    <row r="9" spans="1:6" ht="15.95" thickBot="1">
      <c r="A9" s="201" t="s">
        <v>542</v>
      </c>
      <c r="B9" s="202"/>
      <c r="C9" s="201" t="s">
        <v>543</v>
      </c>
      <c r="D9" s="202"/>
    </row>
    <row r="10" spans="1:6">
      <c r="A10" s="72" t="s">
        <v>271</v>
      </c>
      <c r="B10" s="73" t="s">
        <v>544</v>
      </c>
      <c r="C10" s="72" t="s">
        <v>271</v>
      </c>
      <c r="D10" s="73" t="s">
        <v>544</v>
      </c>
      <c r="E10" s="5"/>
      <c r="F10" s="5"/>
    </row>
    <row r="11" spans="1:6">
      <c r="A11" s="74" t="s">
        <v>286</v>
      </c>
      <c r="B11" s="99" cm="1">
        <f t="array" ref="B11:B16">('6. Global Mineral Production'!B95:B100)*1000</f>
        <v>962370000</v>
      </c>
      <c r="C11" s="74" t="s">
        <v>286</v>
      </c>
      <c r="D11" s="123" cm="1">
        <f t="array" ref="D11:D16">('7.US Mineral Production&amp;Imports'!B152:B157)*1000</f>
        <v>626743168.20000005</v>
      </c>
      <c r="E11" s="176"/>
      <c r="F11" s="176"/>
    </row>
    <row r="12" spans="1:6">
      <c r="A12" s="74" t="s">
        <v>290</v>
      </c>
      <c r="B12" s="189">
        <v>4581180</v>
      </c>
      <c r="C12" s="74" t="s">
        <v>290</v>
      </c>
      <c r="D12" s="123">
        <v>1833960</v>
      </c>
      <c r="E12" s="176"/>
      <c r="F12" s="176"/>
    </row>
    <row r="13" spans="1:6">
      <c r="A13" s="74" t="s">
        <v>254</v>
      </c>
      <c r="B13" s="99">
        <v>28396700</v>
      </c>
      <c r="C13" s="74" t="s">
        <v>254</v>
      </c>
      <c r="D13" s="123">
        <v>16767842.125000004</v>
      </c>
      <c r="E13" s="176"/>
      <c r="F13" s="176"/>
    </row>
    <row r="14" spans="1:6">
      <c r="A14" s="74" t="s">
        <v>287</v>
      </c>
      <c r="B14" s="99">
        <v>55063400.592000008</v>
      </c>
      <c r="C14" s="74" t="s">
        <v>287</v>
      </c>
      <c r="D14" s="123">
        <v>666987.15999999992</v>
      </c>
      <c r="E14" s="176"/>
      <c r="F14" s="176"/>
    </row>
    <row r="15" spans="1:6">
      <c r="A15" s="74" t="s">
        <v>289</v>
      </c>
      <c r="B15" s="99">
        <v>414871386</v>
      </c>
      <c r="C15" s="74" t="s">
        <v>289</v>
      </c>
      <c r="D15" s="123">
        <v>14161092.800000003</v>
      </c>
    </row>
    <row r="16" spans="1:6" ht="15.95" thickBot="1">
      <c r="A16" s="76" t="s">
        <v>288</v>
      </c>
      <c r="B16" s="100">
        <v>153261259.00000003</v>
      </c>
      <c r="C16" s="76" t="s">
        <v>288</v>
      </c>
      <c r="D16" s="146">
        <v>64086613.500000007</v>
      </c>
    </row>
    <row r="18" spans="1:7">
      <c r="A18" s="177" t="s">
        <v>545</v>
      </c>
      <c r="B18" s="177"/>
      <c r="C18" s="177"/>
      <c r="D18" s="177"/>
    </row>
    <row r="20" spans="1:7" ht="15.95" thickBot="1">
      <c r="A20" s="5" t="s">
        <v>546</v>
      </c>
    </row>
    <row r="21" spans="1:7" ht="15.95" thickBot="1">
      <c r="A21" s="190" t="s">
        <v>169</v>
      </c>
      <c r="B21" s="192"/>
      <c r="C21" s="192"/>
      <c r="D21" s="192"/>
      <c r="E21" s="191"/>
      <c r="F21" s="5"/>
    </row>
    <row r="22" spans="1:7">
      <c r="A22" s="72" t="s">
        <v>302</v>
      </c>
      <c r="B22" s="5" t="s">
        <v>26</v>
      </c>
      <c r="C22" s="5" t="s">
        <v>30</v>
      </c>
      <c r="D22" s="5" t="s">
        <v>32</v>
      </c>
      <c r="E22" s="75"/>
      <c r="F22" s="5"/>
    </row>
    <row r="23" spans="1:7">
      <c r="A23" s="74" t="s">
        <v>303</v>
      </c>
      <c r="B23" s="4" cm="1">
        <f t="array" ref="B23:D28">'2. BEV Battery Chemistry Stats'!B158:D163</f>
        <v>84.715909090909079</v>
      </c>
      <c r="C23" s="4">
        <v>62.039212007476785</v>
      </c>
      <c r="D23" s="4">
        <v>64.425568181818178</v>
      </c>
      <c r="E23" s="75"/>
      <c r="F23" s="175"/>
    </row>
    <row r="24" spans="1:7">
      <c r="A24" s="74" t="s">
        <v>304</v>
      </c>
      <c r="B24" s="4">
        <v>0</v>
      </c>
      <c r="C24" s="4">
        <v>10.91031199818182</v>
      </c>
      <c r="D24" s="4">
        <v>17.636397968457725</v>
      </c>
      <c r="E24" s="75"/>
      <c r="F24" s="119"/>
    </row>
    <row r="25" spans="1:7">
      <c r="A25" s="74" t="s">
        <v>305</v>
      </c>
      <c r="B25" s="4">
        <v>92.461363636363629</v>
      </c>
      <c r="C25" s="4">
        <v>78.61336363636363</v>
      </c>
      <c r="D25" s="4">
        <v>79.231477272727275</v>
      </c>
      <c r="E25" s="75"/>
      <c r="F25" s="119"/>
    </row>
    <row r="26" spans="1:7">
      <c r="A26" s="74" t="s">
        <v>306</v>
      </c>
      <c r="B26" s="4">
        <v>8.7732831037363379</v>
      </c>
      <c r="C26" s="4">
        <v>8.4207462706395919</v>
      </c>
      <c r="D26" s="4">
        <v>9.4582582943465958</v>
      </c>
      <c r="E26" s="75"/>
      <c r="F26" s="119"/>
    </row>
    <row r="27" spans="1:7">
      <c r="A27" s="74" t="s">
        <v>307</v>
      </c>
      <c r="B27" s="4">
        <v>0</v>
      </c>
      <c r="C27" s="4">
        <v>0</v>
      </c>
      <c r="D27" s="4">
        <v>18.352924410401265</v>
      </c>
      <c r="E27" s="75"/>
      <c r="F27" s="119"/>
    </row>
    <row r="28" spans="1:7" ht="15.95" thickBot="1">
      <c r="A28" s="76" t="s">
        <v>308</v>
      </c>
      <c r="B28" s="84">
        <v>0</v>
      </c>
      <c r="C28" s="84">
        <v>56.957718613388167</v>
      </c>
      <c r="D28" s="84">
        <v>43.26328212575288</v>
      </c>
      <c r="E28" s="77"/>
      <c r="F28" s="119"/>
    </row>
    <row r="29" spans="1:7" ht="15.95" thickBot="1">
      <c r="A29" s="76" t="s">
        <v>383</v>
      </c>
      <c r="B29" s="84">
        <f>SUM(B23:B28)</f>
        <v>185.95055583100904</v>
      </c>
      <c r="C29" s="84">
        <f>SUM(C23:C28)</f>
        <v>216.94135252605003</v>
      </c>
      <c r="D29" s="84">
        <f>SUM(D23:D28)</f>
        <v>232.36790825350391</v>
      </c>
      <c r="E29" s="77"/>
      <c r="F29" s="4"/>
    </row>
    <row r="30" spans="1:7">
      <c r="B30" s="4"/>
      <c r="F30" s="4"/>
    </row>
    <row r="31" spans="1:7" ht="15.95" thickBot="1">
      <c r="A31" s="5" t="s">
        <v>547</v>
      </c>
    </row>
    <row r="32" spans="1:7" ht="15.95" thickBot="1">
      <c r="A32" s="190" t="s">
        <v>189</v>
      </c>
      <c r="B32" s="192"/>
      <c r="C32" s="192"/>
      <c r="D32" s="192"/>
      <c r="E32" s="192"/>
      <c r="F32" s="192"/>
      <c r="G32" s="191"/>
    </row>
    <row r="33" spans="1:7" ht="15.95" thickBot="1">
      <c r="A33" s="254" t="s">
        <v>286</v>
      </c>
      <c r="B33" s="255"/>
      <c r="C33" s="255"/>
      <c r="D33" s="255"/>
      <c r="E33" s="255"/>
      <c r="F33" s="255"/>
      <c r="G33" s="256"/>
    </row>
    <row r="34" spans="1:7">
      <c r="A34" s="104" t="s">
        <v>548</v>
      </c>
      <c r="B34" s="120" t="s">
        <v>549</v>
      </c>
      <c r="C34" s="5" t="s">
        <v>550</v>
      </c>
      <c r="D34" s="5" t="s">
        <v>551</v>
      </c>
      <c r="E34" s="121" t="s">
        <v>552</v>
      </c>
      <c r="F34" s="121" t="s">
        <v>553</v>
      </c>
      <c r="G34" s="105" t="s">
        <v>554</v>
      </c>
    </row>
    <row r="35" spans="1:7">
      <c r="A35" s="82" t="s">
        <v>542</v>
      </c>
      <c r="B35" s="108">
        <f>B11</f>
        <v>962370000</v>
      </c>
      <c r="C35" s="4">
        <f>$B$4/1000000</f>
        <v>1</v>
      </c>
      <c r="D35" s="4">
        <f>$B$5/1000000</f>
        <v>2</v>
      </c>
      <c r="E35" s="118">
        <f>$B35/B$23/1000000</f>
        <v>11.359967806841048</v>
      </c>
      <c r="F35" s="118">
        <f>$B35/C$23/1000000</f>
        <v>15.512286002021076</v>
      </c>
      <c r="G35" s="122">
        <f t="shared" ref="F35:G36" si="0">$B35/D$23/1000000</f>
        <v>14.937702951785447</v>
      </c>
    </row>
    <row r="36" spans="1:7" ht="15.95" thickBot="1">
      <c r="A36" s="86" t="s">
        <v>543</v>
      </c>
      <c r="B36" s="124">
        <f>D11</f>
        <v>626743168.20000005</v>
      </c>
      <c r="C36" s="84">
        <f t="shared" ref="C36:C61" si="1">$B$4/1000000</f>
        <v>1</v>
      </c>
      <c r="D36" s="84">
        <f>$B$5/1000000</f>
        <v>2</v>
      </c>
      <c r="E36" s="125">
        <f>$B36/B$23/1000000</f>
        <v>7.3981755602414507</v>
      </c>
      <c r="F36" s="125">
        <f t="shared" si="0"/>
        <v>10.102371515042242</v>
      </c>
      <c r="G36" s="126">
        <f t="shared" si="0"/>
        <v>9.728174479288116</v>
      </c>
    </row>
    <row r="37" spans="1:7" ht="15.95" thickBot="1">
      <c r="A37" s="82"/>
      <c r="B37" s="108"/>
      <c r="C37" s="4"/>
      <c r="D37" s="4"/>
      <c r="E37" s="117"/>
      <c r="F37" s="117"/>
      <c r="G37" s="123"/>
    </row>
    <row r="38" spans="1:7" ht="15.95" thickBot="1">
      <c r="A38" s="257" t="s">
        <v>290</v>
      </c>
      <c r="B38" s="258"/>
      <c r="C38" s="258"/>
      <c r="D38" s="258"/>
      <c r="E38" s="258"/>
      <c r="F38" s="258"/>
      <c r="G38" s="259"/>
    </row>
    <row r="39" spans="1:7">
      <c r="A39" s="104" t="s">
        <v>548</v>
      </c>
      <c r="B39" s="120" t="s">
        <v>549</v>
      </c>
      <c r="C39" s="5" t="s">
        <v>550</v>
      </c>
      <c r="D39" s="5" t="s">
        <v>555</v>
      </c>
      <c r="E39" s="121" t="s">
        <v>552</v>
      </c>
      <c r="F39" s="121" t="s">
        <v>553</v>
      </c>
      <c r="G39" s="105" t="s">
        <v>554</v>
      </c>
    </row>
    <row r="40" spans="1:7">
      <c r="A40" s="82" t="s">
        <v>542</v>
      </c>
      <c r="B40" s="108">
        <f>B12</f>
        <v>4581180</v>
      </c>
      <c r="C40" s="4">
        <f t="shared" si="1"/>
        <v>1</v>
      </c>
      <c r="D40" s="4">
        <f>$B$5/1000000</f>
        <v>2</v>
      </c>
      <c r="E40" s="127">
        <v>0</v>
      </c>
      <c r="F40" s="118">
        <f>$B40/C$24/1000000</f>
        <v>0.4198944998789626</v>
      </c>
      <c r="G40" s="122">
        <f>$B40/D$24/1000000</f>
        <v>0.25975712320584571</v>
      </c>
    </row>
    <row r="41" spans="1:7" ht="15.95" thickBot="1">
      <c r="A41" s="86" t="s">
        <v>543</v>
      </c>
      <c r="B41" s="124">
        <f>D12</f>
        <v>1833960</v>
      </c>
      <c r="C41" s="84">
        <f t="shared" si="1"/>
        <v>1</v>
      </c>
      <c r="D41" s="84">
        <f>$B$5/1000000</f>
        <v>2</v>
      </c>
      <c r="E41" s="128">
        <v>0</v>
      </c>
      <c r="F41" s="125">
        <f t="shared" ref="F41" si="2">$B41/C$24/1000000</f>
        <v>0.16809418468560985</v>
      </c>
      <c r="G41" s="126">
        <f t="shared" ref="G41" si="3">$B41/D$24/1000000</f>
        <v>0.10398722025211686</v>
      </c>
    </row>
    <row r="42" spans="1:7" ht="15.95" thickBot="1">
      <c r="A42" s="82"/>
      <c r="B42" s="108"/>
      <c r="C42" s="4"/>
      <c r="D42" s="4"/>
      <c r="E42" s="117"/>
      <c r="F42" s="117"/>
      <c r="G42" s="123"/>
    </row>
    <row r="43" spans="1:7" ht="15.95" thickBot="1">
      <c r="A43" s="257" t="s">
        <v>254</v>
      </c>
      <c r="B43" s="258"/>
      <c r="C43" s="258"/>
      <c r="D43" s="258"/>
      <c r="E43" s="258"/>
      <c r="F43" s="258"/>
      <c r="G43" s="259"/>
    </row>
    <row r="44" spans="1:7">
      <c r="A44" s="104" t="s">
        <v>548</v>
      </c>
      <c r="B44" s="120" t="s">
        <v>549</v>
      </c>
      <c r="C44" s="5" t="s">
        <v>550</v>
      </c>
      <c r="D44" s="5" t="s">
        <v>555</v>
      </c>
      <c r="E44" s="121" t="s">
        <v>552</v>
      </c>
      <c r="F44" s="121" t="s">
        <v>553</v>
      </c>
      <c r="G44" s="105" t="s">
        <v>554</v>
      </c>
    </row>
    <row r="45" spans="1:7">
      <c r="A45" s="82" t="s">
        <v>542</v>
      </c>
      <c r="B45" s="108">
        <f>B13</f>
        <v>28396700</v>
      </c>
      <c r="C45" s="4">
        <f t="shared" si="1"/>
        <v>1</v>
      </c>
      <c r="D45" s="4">
        <f>$B$5/1000000</f>
        <v>2</v>
      </c>
      <c r="E45" s="118">
        <f>$B45/B$25/1000000</f>
        <v>0.30711963227883882</v>
      </c>
      <c r="F45" s="118">
        <f t="shared" ref="F45:G45" si="4">$B45/C$25/1000000</f>
        <v>0.3612197556048185</v>
      </c>
      <c r="G45" s="122">
        <f t="shared" si="4"/>
        <v>0.35840174861632418</v>
      </c>
    </row>
    <row r="46" spans="1:7" ht="15.95" thickBot="1">
      <c r="A46" s="86" t="s">
        <v>543</v>
      </c>
      <c r="B46" s="124">
        <f>D13</f>
        <v>16767842.125000004</v>
      </c>
      <c r="C46" s="84">
        <f t="shared" si="1"/>
        <v>1</v>
      </c>
      <c r="D46" s="84">
        <f>$B$5/1000000</f>
        <v>2</v>
      </c>
      <c r="E46" s="125">
        <f>$B46/B$25/1000000</f>
        <v>0.18134971695794316</v>
      </c>
      <c r="F46" s="125">
        <f t="shared" ref="F46" si="5">$B46/C$25/1000000</f>
        <v>0.21329506014475916</v>
      </c>
      <c r="G46" s="126">
        <f t="shared" ref="G46" si="6">$B46/D$25/1000000</f>
        <v>0.21163106762836742</v>
      </c>
    </row>
    <row r="47" spans="1:7" ht="15.95" thickBot="1">
      <c r="A47" s="82"/>
      <c r="B47" s="4"/>
      <c r="C47" s="4"/>
      <c r="D47" s="4"/>
      <c r="E47" s="117"/>
      <c r="F47" s="117"/>
      <c r="G47" s="123"/>
    </row>
    <row r="48" spans="1:7" ht="15.95" thickBot="1">
      <c r="A48" s="257" t="s">
        <v>287</v>
      </c>
      <c r="B48" s="258"/>
      <c r="C48" s="258"/>
      <c r="D48" s="258"/>
      <c r="E48" s="258"/>
      <c r="F48" s="258"/>
      <c r="G48" s="259"/>
    </row>
    <row r="49" spans="1:7">
      <c r="A49" s="104" t="s">
        <v>548</v>
      </c>
      <c r="B49" s="120" t="s">
        <v>549</v>
      </c>
      <c r="C49" s="5" t="s">
        <v>550</v>
      </c>
      <c r="D49" s="5" t="s">
        <v>555</v>
      </c>
      <c r="E49" s="121" t="s">
        <v>552</v>
      </c>
      <c r="F49" s="121" t="s">
        <v>553</v>
      </c>
      <c r="G49" s="105" t="s">
        <v>554</v>
      </c>
    </row>
    <row r="50" spans="1:7">
      <c r="A50" s="82" t="s">
        <v>542</v>
      </c>
      <c r="B50" s="108">
        <f>B14</f>
        <v>55063400.592000008</v>
      </c>
      <c r="C50" s="4">
        <f t="shared" si="1"/>
        <v>1</v>
      </c>
      <c r="D50" s="4">
        <f>$B$5/1000000</f>
        <v>2</v>
      </c>
      <c r="E50" s="118">
        <f>$B50/B$26/1000000</f>
        <v>6.2762594049369937</v>
      </c>
      <c r="F50" s="118">
        <f t="shared" ref="F50:G50" si="7">$B50/C$26/1000000</f>
        <v>6.5390167120921587</v>
      </c>
      <c r="G50" s="122">
        <f t="shared" si="7"/>
        <v>5.8217273073323224</v>
      </c>
    </row>
    <row r="51" spans="1:7" ht="15.95" thickBot="1">
      <c r="A51" s="86" t="s">
        <v>543</v>
      </c>
      <c r="B51" s="124">
        <f>D14</f>
        <v>666987.15999999992</v>
      </c>
      <c r="C51" s="84">
        <f t="shared" si="1"/>
        <v>1</v>
      </c>
      <c r="D51" s="84">
        <f>$B$5/1000000</f>
        <v>2</v>
      </c>
      <c r="E51" s="125">
        <f>$B51/B$26/1000000</f>
        <v>7.6024807602064676E-2</v>
      </c>
      <c r="F51" s="125">
        <f t="shared" ref="F51" si="8">$B51/C$26/1000000</f>
        <v>7.9207606851374623E-2</v>
      </c>
      <c r="G51" s="126">
        <f t="shared" ref="G51" si="9">$B51/D$26/1000000</f>
        <v>7.0519025727884016E-2</v>
      </c>
    </row>
    <row r="52" spans="1:7" ht="15.95" thickBot="1">
      <c r="A52" s="82"/>
      <c r="B52" s="4"/>
      <c r="C52" s="4"/>
      <c r="D52" s="4"/>
      <c r="E52" s="117"/>
      <c r="F52" s="117"/>
      <c r="G52" s="123"/>
    </row>
    <row r="53" spans="1:7" ht="15.95" thickBot="1">
      <c r="A53" s="257" t="s">
        <v>289</v>
      </c>
      <c r="B53" s="258"/>
      <c r="C53" s="258"/>
      <c r="D53" s="258"/>
      <c r="E53" s="258"/>
      <c r="F53" s="258"/>
      <c r="G53" s="259"/>
    </row>
    <row r="54" spans="1:7">
      <c r="A54" s="104" t="s">
        <v>548</v>
      </c>
      <c r="B54" s="120" t="s">
        <v>549</v>
      </c>
      <c r="C54" s="5" t="s">
        <v>550</v>
      </c>
      <c r="D54" s="5" t="s">
        <v>555</v>
      </c>
      <c r="E54" s="121" t="s">
        <v>552</v>
      </c>
      <c r="F54" s="121" t="s">
        <v>553</v>
      </c>
      <c r="G54" s="105" t="s">
        <v>554</v>
      </c>
    </row>
    <row r="55" spans="1:7">
      <c r="A55" s="82" t="s">
        <v>542</v>
      </c>
      <c r="B55" s="108">
        <f>B15</f>
        <v>414871386</v>
      </c>
      <c r="C55" s="4">
        <f t="shared" si="1"/>
        <v>1</v>
      </c>
      <c r="D55" s="4">
        <f>$B$5/1000000</f>
        <v>2</v>
      </c>
      <c r="E55" s="127">
        <v>0</v>
      </c>
      <c r="F55" s="127">
        <v>0</v>
      </c>
      <c r="G55" s="122">
        <f>$B55/D$27/1000000</f>
        <v>22.605192323730023</v>
      </c>
    </row>
    <row r="56" spans="1:7" ht="15.95" thickBot="1">
      <c r="A56" s="86" t="s">
        <v>543</v>
      </c>
      <c r="B56" s="124">
        <f>D15</f>
        <v>14161092.800000003</v>
      </c>
      <c r="C56" s="84">
        <f t="shared" si="1"/>
        <v>1</v>
      </c>
      <c r="D56" s="84">
        <f>$B$5/1000000</f>
        <v>2</v>
      </c>
      <c r="E56" s="128">
        <v>0</v>
      </c>
      <c r="F56" s="128">
        <v>0</v>
      </c>
      <c r="G56" s="126">
        <f>$B56/D$27/1000000</f>
        <v>0.77159871001127212</v>
      </c>
    </row>
    <row r="57" spans="1:7" ht="15.95" thickBot="1">
      <c r="A57" s="82"/>
      <c r="B57" s="4"/>
      <c r="C57" s="4"/>
      <c r="D57" s="4"/>
      <c r="E57" s="117"/>
      <c r="F57" s="117"/>
      <c r="G57" s="123"/>
    </row>
    <row r="58" spans="1:7" ht="15.95" thickBot="1">
      <c r="A58" s="257" t="s">
        <v>288</v>
      </c>
      <c r="B58" s="258"/>
      <c r="C58" s="258"/>
      <c r="D58" s="258"/>
      <c r="E58" s="258"/>
      <c r="F58" s="258"/>
      <c r="G58" s="259"/>
    </row>
    <row r="59" spans="1:7">
      <c r="A59" s="104" t="s">
        <v>548</v>
      </c>
      <c r="B59" s="120" t="s">
        <v>549</v>
      </c>
      <c r="C59" s="5" t="s">
        <v>550</v>
      </c>
      <c r="D59" s="5" t="s">
        <v>551</v>
      </c>
      <c r="E59" s="121" t="s">
        <v>552</v>
      </c>
      <c r="F59" s="121" t="s">
        <v>553</v>
      </c>
      <c r="G59" s="105" t="s">
        <v>554</v>
      </c>
    </row>
    <row r="60" spans="1:7">
      <c r="A60" s="82" t="s">
        <v>542</v>
      </c>
      <c r="B60" s="108">
        <f>B16</f>
        <v>153261259.00000003</v>
      </c>
      <c r="C60" s="4">
        <f t="shared" si="1"/>
        <v>1</v>
      </c>
      <c r="D60" s="4">
        <f>$B$5/1000000</f>
        <v>2</v>
      </c>
      <c r="E60" s="127">
        <v>0</v>
      </c>
      <c r="F60" s="118">
        <f>$B60/C$28/1000000</f>
        <v>2.6907899882769408</v>
      </c>
      <c r="G60" s="122">
        <f>$B60/D$28/1000000</f>
        <v>3.5425250112674598</v>
      </c>
    </row>
    <row r="61" spans="1:7" ht="15.95" thickBot="1">
      <c r="A61" s="86" t="s">
        <v>543</v>
      </c>
      <c r="B61" s="124">
        <f>D16</f>
        <v>64086613.500000007</v>
      </c>
      <c r="C61" s="84">
        <f t="shared" si="1"/>
        <v>1</v>
      </c>
      <c r="D61" s="84">
        <f>$B$5/1000000</f>
        <v>2</v>
      </c>
      <c r="E61" s="128">
        <v>0</v>
      </c>
      <c r="F61" s="125">
        <f>$B61/C$28/1000000</f>
        <v>1.1251611732380056</v>
      </c>
      <c r="G61" s="126">
        <f>$B61/D$28/1000000</f>
        <v>1.4813164963702983</v>
      </c>
    </row>
    <row r="62" spans="1:7">
      <c r="A62" s="4"/>
      <c r="B62" s="108"/>
      <c r="C62" s="4"/>
      <c r="D62" s="4"/>
      <c r="E62" s="127"/>
      <c r="F62" s="118"/>
      <c r="G62" s="118"/>
    </row>
    <row r="64" spans="1:7">
      <c r="A64" s="177" t="s">
        <v>556</v>
      </c>
      <c r="B64" s="177"/>
      <c r="C64" s="177"/>
      <c r="D64" s="177"/>
    </row>
    <row r="65" spans="1:6" ht="15.95" thickBot="1">
      <c r="A65" s="121" t="s">
        <v>557</v>
      </c>
    </row>
    <row r="66" spans="1:6" ht="15.95" thickBot="1">
      <c r="A66" s="190" t="s">
        <v>173</v>
      </c>
      <c r="B66" s="192"/>
      <c r="C66" s="192"/>
      <c r="D66" s="192"/>
      <c r="E66" s="191"/>
    </row>
    <row r="67" spans="1:6">
      <c r="A67" s="72" t="s">
        <v>302</v>
      </c>
      <c r="B67" s="5" t="s">
        <v>26</v>
      </c>
      <c r="C67" s="5" t="s">
        <v>30</v>
      </c>
      <c r="D67" s="5" t="s">
        <v>32</v>
      </c>
      <c r="E67" s="75"/>
    </row>
    <row r="68" spans="1:6">
      <c r="A68" s="74" t="s">
        <v>303</v>
      </c>
      <c r="B68" s="4">
        <f t="shared" ref="B68:B73" si="10">B23/B$29</f>
        <v>0.45558298394062607</v>
      </c>
      <c r="C68" s="4">
        <f t="shared" ref="C68:D68" si="11">C23/C$29</f>
        <v>0.28597227446540974</v>
      </c>
      <c r="D68" s="4">
        <f t="shared" si="11"/>
        <v>0.27725673767107512</v>
      </c>
      <c r="E68" s="75"/>
    </row>
    <row r="69" spans="1:6">
      <c r="A69" s="74" t="s">
        <v>304</v>
      </c>
      <c r="B69" s="4">
        <f t="shared" si="10"/>
        <v>0</v>
      </c>
      <c r="C69" s="4">
        <f t="shared" ref="C69:D73" si="12">C24/C$29</f>
        <v>5.0291527507978107E-2</v>
      </c>
      <c r="D69" s="4">
        <f t="shared" si="12"/>
        <v>7.5898595899125343E-2</v>
      </c>
      <c r="E69" s="75"/>
    </row>
    <row r="70" spans="1:6">
      <c r="A70" s="74" t="s">
        <v>305</v>
      </c>
      <c r="B70" s="4">
        <f t="shared" si="10"/>
        <v>0.49723628532948333</v>
      </c>
      <c r="C70" s="4">
        <f t="shared" si="12"/>
        <v>0.36237150142651497</v>
      </c>
      <c r="D70" s="4">
        <f t="shared" si="12"/>
        <v>0.34097426735144926</v>
      </c>
      <c r="E70" s="75"/>
    </row>
    <row r="71" spans="1:6">
      <c r="A71" s="74" t="s">
        <v>306</v>
      </c>
      <c r="B71" s="4">
        <f t="shared" si="10"/>
        <v>4.7180730729890666E-2</v>
      </c>
      <c r="C71" s="4">
        <f t="shared" si="12"/>
        <v>3.8815772892484571E-2</v>
      </c>
      <c r="D71" s="4">
        <f t="shared" si="12"/>
        <v>4.0703806155659078E-2</v>
      </c>
      <c r="E71" s="75"/>
    </row>
    <row r="72" spans="1:6">
      <c r="A72" s="74" t="s">
        <v>307</v>
      </c>
      <c r="B72" s="4">
        <f t="shared" si="10"/>
        <v>0</v>
      </c>
      <c r="C72" s="4">
        <f t="shared" si="12"/>
        <v>0</v>
      </c>
      <c r="D72" s="4">
        <f t="shared" si="12"/>
        <v>7.8982181955947944E-2</v>
      </c>
      <c r="E72" s="75"/>
    </row>
    <row r="73" spans="1:6" ht="15.95" thickBot="1">
      <c r="A73" s="76" t="s">
        <v>308</v>
      </c>
      <c r="B73" s="84">
        <f t="shared" si="10"/>
        <v>0</v>
      </c>
      <c r="C73" s="84">
        <f t="shared" si="12"/>
        <v>0.26254892370761246</v>
      </c>
      <c r="D73" s="84">
        <f t="shared" si="12"/>
        <v>0.18618441096674332</v>
      </c>
      <c r="E73" s="77"/>
    </row>
    <row r="75" spans="1:6" ht="15.95" thickBot="1">
      <c r="A75" s="5" t="s">
        <v>558</v>
      </c>
    </row>
    <row r="76" spans="1:6" ht="15.95" thickBot="1">
      <c r="A76" s="190" t="s">
        <v>559</v>
      </c>
      <c r="B76" s="192"/>
      <c r="C76" s="192"/>
      <c r="D76" s="192"/>
      <c r="E76" s="192"/>
      <c r="F76" s="191"/>
    </row>
    <row r="77" spans="1:6" ht="15.95" thickBot="1">
      <c r="A77" s="254" t="s">
        <v>26</v>
      </c>
      <c r="B77" s="255"/>
      <c r="C77" s="255"/>
      <c r="D77" s="255"/>
      <c r="E77" s="255"/>
      <c r="F77" s="256"/>
    </row>
    <row r="78" spans="1:6">
      <c r="A78" s="72" t="s">
        <v>560</v>
      </c>
      <c r="B78" s="5" t="s">
        <v>561</v>
      </c>
      <c r="C78" s="270" t="s">
        <v>562</v>
      </c>
      <c r="D78" s="270"/>
      <c r="E78" s="270"/>
      <c r="F78" s="73" t="s">
        <v>261</v>
      </c>
    </row>
    <row r="79" spans="1:6">
      <c r="A79" s="74" t="s">
        <v>542</v>
      </c>
      <c r="B79" t="s">
        <v>254</v>
      </c>
      <c r="C79" s="4">
        <f>0.8-(1-B70)</f>
        <v>0.29723628532948343</v>
      </c>
      <c r="F79" s="75"/>
    </row>
    <row r="80" spans="1:6" ht="15.95" thickBot="1">
      <c r="A80" s="76" t="s">
        <v>543</v>
      </c>
      <c r="B80" s="7" t="s">
        <v>254</v>
      </c>
      <c r="C80" s="84">
        <f>0.8-(1-B71-B70)</f>
        <v>0.34441701605937408</v>
      </c>
      <c r="D80" s="7"/>
      <c r="E80" s="7"/>
      <c r="F80" s="77" t="s">
        <v>563</v>
      </c>
    </row>
    <row r="81" spans="1:6" ht="15.95" thickBot="1">
      <c r="A81" s="74"/>
      <c r="F81" s="75"/>
    </row>
    <row r="82" spans="1:6" ht="15.95" thickBot="1">
      <c r="A82" s="254" t="s">
        <v>30</v>
      </c>
      <c r="B82" s="255"/>
      <c r="C82" s="255"/>
      <c r="D82" s="255"/>
      <c r="E82" s="255"/>
      <c r="F82" s="256"/>
    </row>
    <row r="83" spans="1:6">
      <c r="A83" s="72" t="s">
        <v>560</v>
      </c>
      <c r="B83" s="5" t="s">
        <v>561</v>
      </c>
      <c r="C83" s="270" t="s">
        <v>562</v>
      </c>
      <c r="D83" s="270"/>
      <c r="E83" s="270"/>
      <c r="F83" s="75"/>
    </row>
    <row r="84" spans="1:6">
      <c r="A84" s="74" t="s">
        <v>542</v>
      </c>
      <c r="B84" t="s">
        <v>254</v>
      </c>
      <c r="C84" s="4">
        <f>0.8-(1-C70)</f>
        <v>0.16237150142651502</v>
      </c>
      <c r="F84" s="75"/>
    </row>
    <row r="85" spans="1:6" ht="15.95" thickBot="1">
      <c r="A85" s="76" t="s">
        <v>543</v>
      </c>
      <c r="B85" s="7" t="s">
        <v>254</v>
      </c>
      <c r="C85" s="84">
        <f>0.8-(1-C71-C69-C70)</f>
        <v>0.25147880182697779</v>
      </c>
      <c r="D85" s="7"/>
      <c r="E85" s="7"/>
      <c r="F85" s="77" t="s">
        <v>564</v>
      </c>
    </row>
    <row r="86" spans="1:6" ht="15.95" thickBot="1">
      <c r="A86" s="74"/>
      <c r="F86" s="75"/>
    </row>
    <row r="87" spans="1:6" ht="15.95" thickBot="1">
      <c r="A87" s="267" t="s">
        <v>32</v>
      </c>
      <c r="B87" s="268"/>
      <c r="C87" s="268"/>
      <c r="D87" s="268"/>
      <c r="E87" s="268"/>
      <c r="F87" s="269"/>
    </row>
    <row r="88" spans="1:6">
      <c r="A88" s="110" t="s">
        <v>560</v>
      </c>
      <c r="B88" s="1" t="s">
        <v>561</v>
      </c>
      <c r="C88" s="266" t="s">
        <v>562</v>
      </c>
      <c r="D88" s="266"/>
      <c r="E88" s="266"/>
      <c r="F88" s="75"/>
    </row>
    <row r="89" spans="1:6">
      <c r="A89" s="109" t="s">
        <v>542</v>
      </c>
      <c r="B89" s="2" t="s">
        <v>254</v>
      </c>
      <c r="C89" s="143">
        <f>0.8-(1-D69-D70)</f>
        <v>0.21687286325057475</v>
      </c>
      <c r="D89" s="2"/>
      <c r="E89" s="2"/>
      <c r="F89" s="75" t="s">
        <v>565</v>
      </c>
    </row>
    <row r="90" spans="1:6" ht="15.95" thickBot="1">
      <c r="A90" s="130" t="s">
        <v>543</v>
      </c>
      <c r="B90" s="139" t="s">
        <v>254</v>
      </c>
      <c r="C90" s="111">
        <f>0.8-(1-D71-D69-D70)</f>
        <v>0.2575766694062338</v>
      </c>
      <c r="D90" s="139"/>
      <c r="E90" s="139"/>
      <c r="F90" s="77" t="s">
        <v>564</v>
      </c>
    </row>
    <row r="92" spans="1:6" ht="15.95" thickBot="1">
      <c r="A92" s="5" t="s">
        <v>566</v>
      </c>
    </row>
    <row r="93" spans="1:6" ht="15.95" thickBot="1">
      <c r="A93" s="190" t="s">
        <v>177</v>
      </c>
      <c r="B93" s="192"/>
      <c r="C93" s="192"/>
      <c r="D93" s="191"/>
      <c r="E93" s="5"/>
    </row>
    <row r="94" spans="1:6" ht="15.95" thickBot="1">
      <c r="A94" s="254" t="s">
        <v>26</v>
      </c>
      <c r="B94" s="255"/>
      <c r="C94" s="255"/>
      <c r="D94" s="256"/>
    </row>
    <row r="95" spans="1:6">
      <c r="A95" s="110" t="s">
        <v>560</v>
      </c>
      <c r="B95" s="1" t="s">
        <v>561</v>
      </c>
      <c r="C95" s="5" t="s">
        <v>567</v>
      </c>
      <c r="D95" s="75"/>
    </row>
    <row r="96" spans="1:6">
      <c r="A96" s="109" t="s">
        <v>542</v>
      </c>
      <c r="B96" s="2" t="s">
        <v>254</v>
      </c>
      <c r="C96" s="4">
        <f>C79*$B$29</f>
        <v>55.271252470161841</v>
      </c>
      <c r="D96" s="75"/>
    </row>
    <row r="97" spans="1:5" ht="15.95" thickBot="1">
      <c r="A97" s="130" t="s">
        <v>543</v>
      </c>
      <c r="B97" s="139" t="s">
        <v>254</v>
      </c>
      <c r="C97" s="84">
        <f>C80*$B$29</f>
        <v>64.044535573898173</v>
      </c>
      <c r="D97" s="77"/>
    </row>
    <row r="98" spans="1:5" ht="15.95" thickBot="1">
      <c r="A98" s="74"/>
      <c r="D98" s="75"/>
    </row>
    <row r="99" spans="1:5" ht="15.95" thickBot="1">
      <c r="A99" s="254" t="s">
        <v>30</v>
      </c>
      <c r="B99" s="255"/>
      <c r="C99" s="255"/>
      <c r="D99" s="256"/>
    </row>
    <row r="100" spans="1:5">
      <c r="A100" s="110" t="s">
        <v>560</v>
      </c>
      <c r="B100" s="1" t="s">
        <v>561</v>
      </c>
      <c r="C100" s="5" t="s">
        <v>567</v>
      </c>
      <c r="D100" s="75"/>
    </row>
    <row r="101" spans="1:5">
      <c r="A101" s="109" t="s">
        <v>542</v>
      </c>
      <c r="B101" s="2" t="s">
        <v>254</v>
      </c>
      <c r="C101" s="4">
        <f>C84*$C$29</f>
        <v>35.225093131153628</v>
      </c>
      <c r="D101" s="75"/>
    </row>
    <row r="102" spans="1:5" ht="15.95" thickBot="1">
      <c r="A102" s="130" t="s">
        <v>543</v>
      </c>
      <c r="B102" s="139" t="s">
        <v>254</v>
      </c>
      <c r="C102" s="84">
        <f>C85*$C$29</f>
        <v>54.556151399975064</v>
      </c>
      <c r="D102" s="77"/>
    </row>
    <row r="103" spans="1:5" ht="15.95" thickBot="1">
      <c r="A103" s="74"/>
      <c r="D103" s="75"/>
    </row>
    <row r="104" spans="1:5" ht="15.95" thickBot="1">
      <c r="A104" s="254" t="s">
        <v>32</v>
      </c>
      <c r="B104" s="255"/>
      <c r="C104" s="255"/>
      <c r="D104" s="256"/>
    </row>
    <row r="105" spans="1:5">
      <c r="A105" s="110" t="s">
        <v>560</v>
      </c>
      <c r="B105" s="1" t="s">
        <v>561</v>
      </c>
      <c r="C105" s="5" t="s">
        <v>567</v>
      </c>
      <c r="D105" s="75"/>
    </row>
    <row r="106" spans="1:5">
      <c r="A106" s="109" t="s">
        <v>542</v>
      </c>
      <c r="B106" s="2" t="s">
        <v>254</v>
      </c>
      <c r="C106" s="4">
        <f>C89*$D$29</f>
        <v>50.394293590484253</v>
      </c>
      <c r="D106" s="75"/>
    </row>
    <row r="107" spans="1:5" ht="15.95" thickBot="1">
      <c r="A107" s="130" t="s">
        <v>543</v>
      </c>
      <c r="B107" s="139" t="s">
        <v>254</v>
      </c>
      <c r="C107" s="84">
        <f>C90*$D$29</f>
        <v>59.852551884830845</v>
      </c>
      <c r="D107" s="77"/>
    </row>
    <row r="109" spans="1:5" ht="15.95" thickBot="1">
      <c r="A109" s="5" t="s">
        <v>568</v>
      </c>
    </row>
    <row r="110" spans="1:5" ht="15.95" thickBot="1">
      <c r="A110" s="190" t="s">
        <v>569</v>
      </c>
      <c r="B110" s="192"/>
      <c r="C110" s="192"/>
      <c r="D110" s="192"/>
      <c r="E110" s="191"/>
    </row>
    <row r="111" spans="1:5" ht="15.95" thickBot="1">
      <c r="A111" s="254" t="s">
        <v>570</v>
      </c>
      <c r="B111" s="255"/>
      <c r="C111" s="255"/>
      <c r="D111" s="255"/>
      <c r="E111" s="256"/>
    </row>
    <row r="112" spans="1:5">
      <c r="A112" s="74"/>
      <c r="C112" s="263" t="s">
        <v>571</v>
      </c>
      <c r="D112" s="264"/>
      <c r="E112" s="265"/>
    </row>
    <row r="113" spans="1:6">
      <c r="A113" s="104" t="s">
        <v>548</v>
      </c>
      <c r="B113" s="121" t="s">
        <v>572</v>
      </c>
      <c r="C113" s="72" t="s">
        <v>550</v>
      </c>
      <c r="D113" s="5" t="s">
        <v>551</v>
      </c>
      <c r="E113" s="73" t="s">
        <v>573</v>
      </c>
    </row>
    <row r="114" spans="1:6">
      <c r="A114" s="82" t="s">
        <v>542</v>
      </c>
      <c r="B114" s="108">
        <f>$B$13</f>
        <v>28396700</v>
      </c>
      <c r="C114" s="82">
        <f>$B$4/1000000</f>
        <v>1</v>
      </c>
      <c r="D114" s="4">
        <f>$B$5/1000000</f>
        <v>2</v>
      </c>
      <c r="E114" s="87">
        <f>$B114/C96/1000000</f>
        <v>0.51376979407748979</v>
      </c>
    </row>
    <row r="115" spans="1:6" ht="15.95" thickBot="1">
      <c r="A115" s="86" t="s">
        <v>543</v>
      </c>
      <c r="B115" s="124">
        <f>$D$13</f>
        <v>16767842.125000004</v>
      </c>
      <c r="C115" s="86">
        <f>$B$4/1000000</f>
        <v>1</v>
      </c>
      <c r="D115" s="84">
        <f>$B$5/1000000</f>
        <v>2</v>
      </c>
      <c r="E115" s="88">
        <f>$B115/C97/1000000</f>
        <v>0.2618153441936093</v>
      </c>
      <c r="F115" s="4"/>
    </row>
    <row r="116" spans="1:6" ht="15.95" thickBot="1">
      <c r="A116" s="82"/>
      <c r="B116" s="4"/>
      <c r="C116" s="4"/>
      <c r="D116" s="4"/>
      <c r="E116" s="87"/>
    </row>
    <row r="117" spans="1:6" ht="15.95" thickBot="1">
      <c r="A117" s="257" t="s">
        <v>574</v>
      </c>
      <c r="B117" s="258"/>
      <c r="C117" s="258"/>
      <c r="D117" s="258"/>
      <c r="E117" s="259"/>
    </row>
    <row r="118" spans="1:6">
      <c r="A118" s="82"/>
      <c r="B118" s="4"/>
      <c r="C118" s="260" t="s">
        <v>571</v>
      </c>
      <c r="D118" s="261"/>
      <c r="E118" s="262"/>
    </row>
    <row r="119" spans="1:6">
      <c r="A119" s="104" t="s">
        <v>548</v>
      </c>
      <c r="B119" s="121" t="s">
        <v>572</v>
      </c>
      <c r="C119" s="104" t="s">
        <v>550</v>
      </c>
      <c r="D119" s="121" t="s">
        <v>551</v>
      </c>
      <c r="E119" s="73" t="s">
        <v>573</v>
      </c>
    </row>
    <row r="120" spans="1:6">
      <c r="A120" s="82" t="s">
        <v>542</v>
      </c>
      <c r="B120" s="108">
        <f>$B$13</f>
        <v>28396700</v>
      </c>
      <c r="C120" s="82">
        <f>$B$4/1000000</f>
        <v>1</v>
      </c>
      <c r="D120" s="4">
        <f>$B$5/1000000</f>
        <v>2</v>
      </c>
      <c r="E120" s="87">
        <f>$B120/C101/1000000</f>
        <v>0.80614974939230211</v>
      </c>
    </row>
    <row r="121" spans="1:6" ht="15.95" thickBot="1">
      <c r="A121" s="86" t="s">
        <v>543</v>
      </c>
      <c r="B121" s="124">
        <f>$D$13</f>
        <v>16767842.125000004</v>
      </c>
      <c r="C121" s="86">
        <f>$B$4/1000000</f>
        <v>1</v>
      </c>
      <c r="D121" s="84">
        <f>$B$5/1000000</f>
        <v>2</v>
      </c>
      <c r="E121" s="88">
        <f>$B121/C102/1000000</f>
        <v>0.30735016482500022</v>
      </c>
    </row>
    <row r="122" spans="1:6" ht="15.95" thickBot="1">
      <c r="A122" s="82"/>
      <c r="B122" s="4"/>
      <c r="C122" s="4"/>
      <c r="D122" s="4"/>
      <c r="E122" s="87"/>
    </row>
    <row r="123" spans="1:6" ht="15.95" thickBot="1">
      <c r="A123" s="257" t="s">
        <v>575</v>
      </c>
      <c r="B123" s="258"/>
      <c r="C123" s="258"/>
      <c r="D123" s="258"/>
      <c r="E123" s="259"/>
    </row>
    <row r="124" spans="1:6">
      <c r="A124" s="82"/>
      <c r="B124" s="4"/>
      <c r="C124" s="260" t="s">
        <v>571</v>
      </c>
      <c r="D124" s="261"/>
      <c r="E124" s="262"/>
    </row>
    <row r="125" spans="1:6">
      <c r="A125" s="104" t="s">
        <v>548</v>
      </c>
      <c r="B125" s="121" t="s">
        <v>572</v>
      </c>
      <c r="C125" s="104" t="s">
        <v>550</v>
      </c>
      <c r="D125" s="121" t="s">
        <v>551</v>
      </c>
      <c r="E125" s="73" t="s">
        <v>573</v>
      </c>
    </row>
    <row r="126" spans="1:6">
      <c r="A126" s="82" t="s">
        <v>542</v>
      </c>
      <c r="B126" s="108">
        <f>$B$13</f>
        <v>28396700</v>
      </c>
      <c r="C126" s="82">
        <f>$B$4/1000000</f>
        <v>1</v>
      </c>
      <c r="D126" s="4">
        <f>$B$5/1000000</f>
        <v>2</v>
      </c>
      <c r="E126" s="87">
        <f>$B126/C106/1000000</f>
        <v>0.56349038704179855</v>
      </c>
    </row>
    <row r="127" spans="1:6" ht="15.95" thickBot="1">
      <c r="A127" s="86" t="s">
        <v>543</v>
      </c>
      <c r="B127" s="124">
        <f>$D$13</f>
        <v>16767842.125000004</v>
      </c>
      <c r="C127" s="86">
        <f>$B$4/1000000</f>
        <v>1</v>
      </c>
      <c r="D127" s="84">
        <f>$B$5/1000000</f>
        <v>2</v>
      </c>
      <c r="E127" s="88">
        <f>$B127/C107/1000000</f>
        <v>0.28015250138816022</v>
      </c>
    </row>
    <row r="129" spans="1:7" ht="15.95" thickBot="1">
      <c r="A129" s="5" t="s">
        <v>576</v>
      </c>
    </row>
    <row r="130" spans="1:7" ht="15.95" thickBot="1">
      <c r="A130" s="190" t="s">
        <v>577</v>
      </c>
      <c r="B130" s="192"/>
      <c r="C130" s="192"/>
      <c r="D130" s="192"/>
      <c r="E130" s="192"/>
      <c r="F130" s="192"/>
      <c r="G130" s="191"/>
    </row>
    <row r="131" spans="1:7" ht="15.95" thickBot="1">
      <c r="A131" s="74"/>
      <c r="B131" s="257" t="s">
        <v>26</v>
      </c>
      <c r="C131" s="259"/>
      <c r="D131" s="254" t="s">
        <v>30</v>
      </c>
      <c r="E131" s="256"/>
      <c r="F131" s="254" t="s">
        <v>32</v>
      </c>
      <c r="G131" s="256"/>
    </row>
    <row r="132" spans="1:7">
      <c r="A132" s="74"/>
      <c r="B132" s="104" t="s">
        <v>542</v>
      </c>
      <c r="C132" s="105" t="s">
        <v>543</v>
      </c>
      <c r="D132" s="104" t="s">
        <v>542</v>
      </c>
      <c r="E132" s="105" t="s">
        <v>543</v>
      </c>
      <c r="F132" s="121" t="s">
        <v>542</v>
      </c>
      <c r="G132" s="105" t="s">
        <v>543</v>
      </c>
    </row>
    <row r="133" spans="1:7">
      <c r="A133" s="82" t="s">
        <v>578</v>
      </c>
      <c r="B133" s="82" cm="1">
        <f t="array" ref="B133:C133">TRANSPOSE(E114:E115)</f>
        <v>0.51376979407748979</v>
      </c>
      <c r="C133" s="87">
        <v>0.2618153441936093</v>
      </c>
      <c r="D133" s="82" cm="1">
        <f t="array" ref="D133:E133">TRANSPOSE(E120:E121)</f>
        <v>0.80614974939230211</v>
      </c>
      <c r="E133" s="87">
        <v>0.30735016482500022</v>
      </c>
      <c r="F133" s="4" cm="1">
        <f t="array" ref="F133:G133">TRANSPOSE(E126:E127)</f>
        <v>0.56349038704179855</v>
      </c>
      <c r="G133" s="87">
        <v>0.28015250138816022</v>
      </c>
    </row>
    <row r="134" spans="1:7">
      <c r="A134" s="82" t="s">
        <v>579</v>
      </c>
      <c r="B134" s="82">
        <f>$B$4/1000000</f>
        <v>1</v>
      </c>
      <c r="C134" s="87">
        <f t="shared" ref="C134:G134" si="13">$B$4/1000000</f>
        <v>1</v>
      </c>
      <c r="D134" s="82">
        <f t="shared" si="13"/>
        <v>1</v>
      </c>
      <c r="E134" s="87">
        <f t="shared" si="13"/>
        <v>1</v>
      </c>
      <c r="F134" s="4">
        <f t="shared" si="13"/>
        <v>1</v>
      </c>
      <c r="G134" s="87">
        <f t="shared" si="13"/>
        <v>1</v>
      </c>
    </row>
    <row r="135" spans="1:7" ht="15.95" thickBot="1">
      <c r="A135" s="86" t="s">
        <v>580</v>
      </c>
      <c r="B135" s="86">
        <f>$B$5/1000000</f>
        <v>2</v>
      </c>
      <c r="C135" s="88">
        <f t="shared" ref="C135:G135" si="14">$B$5/1000000</f>
        <v>2</v>
      </c>
      <c r="D135" s="86">
        <f t="shared" si="14"/>
        <v>2</v>
      </c>
      <c r="E135" s="88">
        <f t="shared" si="14"/>
        <v>2</v>
      </c>
      <c r="F135" s="84">
        <f t="shared" si="14"/>
        <v>2</v>
      </c>
      <c r="G135" s="88">
        <f t="shared" si="14"/>
        <v>2</v>
      </c>
    </row>
    <row r="140" spans="1:7">
      <c r="A140" s="5"/>
      <c r="B140" s="5"/>
      <c r="C140" s="5"/>
      <c r="D140" s="5"/>
    </row>
    <row r="150" spans="2:4">
      <c r="B150" s="108"/>
      <c r="D150" s="108"/>
    </row>
    <row r="151" spans="2:4">
      <c r="B151" s="108"/>
      <c r="D151" s="108"/>
    </row>
    <row r="152" spans="2:4">
      <c r="B152" s="108"/>
      <c r="D152" s="108"/>
    </row>
    <row r="153" spans="2:4">
      <c r="B153" s="108"/>
      <c r="D153" s="108"/>
    </row>
    <row r="163" spans="1:3">
      <c r="B163" s="108"/>
      <c r="C163" s="108"/>
    </row>
    <row r="164" spans="1:3">
      <c r="B164" s="108"/>
      <c r="C164" s="108"/>
    </row>
    <row r="165" spans="1:3">
      <c r="B165" s="108"/>
      <c r="C165" s="149"/>
    </row>
    <row r="166" spans="1:3">
      <c r="B166" s="108"/>
      <c r="C166" s="108"/>
    </row>
    <row r="167" spans="1:3">
      <c r="B167" s="108"/>
    </row>
    <row r="168" spans="1:3">
      <c r="B168" s="108"/>
    </row>
    <row r="173" spans="1:3">
      <c r="A173" s="108"/>
    </row>
  </sheetData>
  <mergeCells count="35">
    <mergeCell ref="A2:C2"/>
    <mergeCell ref="C9:D9"/>
    <mergeCell ref="A9:B9"/>
    <mergeCell ref="A21:E21"/>
    <mergeCell ref="A8:D8"/>
    <mergeCell ref="A66:E66"/>
    <mergeCell ref="C78:E78"/>
    <mergeCell ref="C83:E83"/>
    <mergeCell ref="A32:G32"/>
    <mergeCell ref="A33:G33"/>
    <mergeCell ref="A38:G38"/>
    <mergeCell ref="A43:G43"/>
    <mergeCell ref="A48:G48"/>
    <mergeCell ref="A53:G53"/>
    <mergeCell ref="A58:G58"/>
    <mergeCell ref="A94:D94"/>
    <mergeCell ref="A99:D99"/>
    <mergeCell ref="A104:D104"/>
    <mergeCell ref="C88:E88"/>
    <mergeCell ref="A76:F76"/>
    <mergeCell ref="A82:F82"/>
    <mergeCell ref="A87:F87"/>
    <mergeCell ref="A77:F77"/>
    <mergeCell ref="A93:D93"/>
    <mergeCell ref="C124:E124"/>
    <mergeCell ref="A130:G130"/>
    <mergeCell ref="B131:C131"/>
    <mergeCell ref="D131:E131"/>
    <mergeCell ref="F131:G131"/>
    <mergeCell ref="A110:E110"/>
    <mergeCell ref="A111:E111"/>
    <mergeCell ref="A117:E117"/>
    <mergeCell ref="A123:E123"/>
    <mergeCell ref="C118:E118"/>
    <mergeCell ref="C112:E1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7ED68-7A40-A441-AD33-3B9EF0EAB33A}">
  <dimension ref="A1:G177"/>
  <sheetViews>
    <sheetView topLeftCell="A6" zoomScale="150" zoomScaleNormal="150" workbookViewId="0">
      <selection activeCell="B89" sqref="B89"/>
    </sheetView>
  </sheetViews>
  <sheetFormatPr defaultColWidth="11.42578125" defaultRowHeight="15"/>
  <cols>
    <col min="1" max="1" width="22" bestFit="1" customWidth="1"/>
    <col min="2" max="2" width="26.42578125" bestFit="1" customWidth="1"/>
    <col min="3" max="3" width="23" bestFit="1" customWidth="1"/>
    <col min="4" max="4" width="26.42578125" bestFit="1" customWidth="1"/>
    <col min="5" max="5" width="35.140625" bestFit="1" customWidth="1"/>
    <col min="6" max="6" width="44.7109375" bestFit="1" customWidth="1"/>
    <col min="7" max="7" width="15.7109375" bestFit="1" customWidth="1"/>
  </cols>
  <sheetData>
    <row r="1" spans="1:6" ht="15.95" thickBot="1">
      <c r="A1" s="5" t="s">
        <v>581</v>
      </c>
    </row>
    <row r="2" spans="1:6" ht="15.95" thickBot="1">
      <c r="A2" s="224" t="s">
        <v>183</v>
      </c>
      <c r="B2" s="225"/>
      <c r="C2" s="226"/>
      <c r="E2" s="5" t="s">
        <v>234</v>
      </c>
    </row>
    <row r="3" spans="1:6">
      <c r="A3" s="103" t="s">
        <v>539</v>
      </c>
      <c r="B3" s="101" t="s">
        <v>582</v>
      </c>
      <c r="C3" s="102" t="s">
        <v>236</v>
      </c>
      <c r="E3" t="s">
        <v>237</v>
      </c>
    </row>
    <row r="4" spans="1:6">
      <c r="A4" s="74" t="s">
        <v>238</v>
      </c>
      <c r="B4" cm="1">
        <f t="array" ref="B4:B5">'1. EV Forecast'!D4:D5</f>
        <v>500000</v>
      </c>
      <c r="C4" s="75">
        <v>1</v>
      </c>
    </row>
    <row r="5" spans="1:6" ht="15.95" thickBot="1">
      <c r="A5" s="76" t="s">
        <v>239</v>
      </c>
      <c r="B5" s="7">
        <v>1500000</v>
      </c>
      <c r="C5" s="77">
        <v>1</v>
      </c>
    </row>
    <row r="7" spans="1:6" ht="15.95" thickBot="1">
      <c r="A7" s="5" t="s">
        <v>583</v>
      </c>
    </row>
    <row r="8" spans="1:6" ht="15.95" thickBot="1">
      <c r="A8" s="190" t="s">
        <v>167</v>
      </c>
      <c r="B8" s="192"/>
      <c r="C8" s="192"/>
      <c r="D8" s="191"/>
      <c r="E8" s="5"/>
      <c r="F8" s="5"/>
    </row>
    <row r="9" spans="1:6" ht="15.95" thickBot="1">
      <c r="A9" s="201" t="s">
        <v>542</v>
      </c>
      <c r="B9" s="202"/>
      <c r="C9" s="201" t="s">
        <v>543</v>
      </c>
      <c r="D9" s="202"/>
    </row>
    <row r="10" spans="1:6">
      <c r="A10" s="72" t="s">
        <v>271</v>
      </c>
      <c r="B10" s="73" t="s">
        <v>544</v>
      </c>
      <c r="C10" s="72" t="s">
        <v>271</v>
      </c>
      <c r="D10" s="73" t="s">
        <v>544</v>
      </c>
      <c r="E10" s="5"/>
      <c r="F10" s="5"/>
    </row>
    <row r="11" spans="1:6">
      <c r="A11" s="74" t="s">
        <v>286</v>
      </c>
      <c r="B11" s="99" cm="1">
        <f t="array" ref="B11:B16">('6. Global Mineral Production'!B95:B100)*1000</f>
        <v>962370000</v>
      </c>
      <c r="C11" s="74" t="s">
        <v>286</v>
      </c>
      <c r="D11" s="123" cm="1">
        <f t="array" ref="D11:D16">('7.US Mineral Production&amp;Imports'!B152:B157)*1000</f>
        <v>626743168.20000005</v>
      </c>
      <c r="E11" s="176"/>
      <c r="F11" s="176"/>
    </row>
    <row r="12" spans="1:6">
      <c r="A12" s="74" t="s">
        <v>290</v>
      </c>
      <c r="B12" s="99">
        <v>4581180</v>
      </c>
      <c r="C12" s="74" t="s">
        <v>290</v>
      </c>
      <c r="D12" s="123">
        <v>1833960</v>
      </c>
      <c r="E12" s="176"/>
      <c r="F12" s="176"/>
    </row>
    <row r="13" spans="1:6">
      <c r="A13" s="74" t="s">
        <v>254</v>
      </c>
      <c r="B13" s="99">
        <v>28396700</v>
      </c>
      <c r="C13" s="74" t="s">
        <v>254</v>
      </c>
      <c r="D13" s="123">
        <v>16767842.125000004</v>
      </c>
      <c r="E13" s="176"/>
      <c r="F13" s="176"/>
    </row>
    <row r="14" spans="1:6">
      <c r="A14" s="74" t="s">
        <v>287</v>
      </c>
      <c r="B14" s="99">
        <v>55063400.592000008</v>
      </c>
      <c r="C14" s="74" t="s">
        <v>287</v>
      </c>
      <c r="D14" s="123">
        <v>666987.15999999992</v>
      </c>
      <c r="E14" s="176"/>
      <c r="F14" s="176"/>
    </row>
    <row r="15" spans="1:6">
      <c r="A15" s="74" t="s">
        <v>289</v>
      </c>
      <c r="B15" s="99">
        <v>414871386</v>
      </c>
      <c r="C15" s="74" t="s">
        <v>289</v>
      </c>
      <c r="D15" s="123">
        <v>14161092.800000003</v>
      </c>
    </row>
    <row r="16" spans="1:6" ht="15.95" thickBot="1">
      <c r="A16" s="76" t="s">
        <v>288</v>
      </c>
      <c r="B16" s="100">
        <v>153261259.00000003</v>
      </c>
      <c r="C16" s="76" t="s">
        <v>288</v>
      </c>
      <c r="D16" s="146">
        <v>64086613.500000007</v>
      </c>
    </row>
    <row r="18" spans="1:7">
      <c r="A18" s="177" t="s">
        <v>545</v>
      </c>
      <c r="B18" s="177"/>
      <c r="C18" s="177"/>
      <c r="D18" s="177"/>
    </row>
    <row r="20" spans="1:7" ht="15.95" thickBot="1">
      <c r="A20" s="5" t="s">
        <v>584</v>
      </c>
    </row>
    <row r="21" spans="1:7" ht="15.95" thickBot="1">
      <c r="A21" s="190" t="s">
        <v>585</v>
      </c>
      <c r="B21" s="192"/>
      <c r="C21" s="192"/>
      <c r="D21" s="192"/>
      <c r="E21" s="191"/>
      <c r="F21" s="5"/>
    </row>
    <row r="22" spans="1:7">
      <c r="A22" s="72" t="s">
        <v>302</v>
      </c>
      <c r="B22" s="5" t="s">
        <v>26</v>
      </c>
      <c r="C22" s="5" t="s">
        <v>28</v>
      </c>
      <c r="D22" s="5" t="s">
        <v>586</v>
      </c>
      <c r="E22" s="75"/>
      <c r="F22" s="5"/>
    </row>
    <row r="23" spans="1:7">
      <c r="A23" s="74" t="s">
        <v>303</v>
      </c>
      <c r="B23" s="4" cm="1">
        <f t="array" ref="B23:D28">'3. PHEV Battery Chemistry Stats'!B87:D92</f>
        <v>16.026818181818179</v>
      </c>
      <c r="C23" s="4">
        <v>16.026818181818179</v>
      </c>
      <c r="D23" s="4">
        <v>14.182636363636364</v>
      </c>
      <c r="E23" s="75"/>
      <c r="F23" s="175"/>
    </row>
    <row r="24" spans="1:7">
      <c r="A24" s="74" t="s">
        <v>304</v>
      </c>
      <c r="B24" s="4">
        <v>0</v>
      </c>
      <c r="C24" s="4">
        <v>0</v>
      </c>
      <c r="D24" s="4">
        <v>5.51836879776</v>
      </c>
      <c r="E24" s="75"/>
      <c r="F24" s="119"/>
    </row>
    <row r="25" spans="1:7">
      <c r="A25" s="74" t="s">
        <v>305</v>
      </c>
      <c r="B25" s="4">
        <v>16.616818181818182</v>
      </c>
      <c r="C25" s="4">
        <v>12.94090909090909</v>
      </c>
      <c r="D25" s="4">
        <v>14.358818181818183</v>
      </c>
      <c r="E25" s="75"/>
      <c r="F25" s="119"/>
    </row>
    <row r="26" spans="1:7">
      <c r="A26" s="74" t="s">
        <v>306</v>
      </c>
      <c r="B26" s="4">
        <v>1.5767653770111012</v>
      </c>
      <c r="C26" s="4">
        <v>1.3808868502868472</v>
      </c>
      <c r="D26" s="4">
        <v>1.9519941167395218</v>
      </c>
      <c r="E26" s="75"/>
      <c r="F26" s="119"/>
    </row>
    <row r="27" spans="1:7">
      <c r="A27" s="74" t="s">
        <v>307</v>
      </c>
      <c r="B27" s="4">
        <v>0</v>
      </c>
      <c r="C27" s="4">
        <v>21.895924658147958</v>
      </c>
      <c r="D27" s="4">
        <v>5.1525524116291397</v>
      </c>
      <c r="E27" s="75"/>
      <c r="F27" s="119"/>
    </row>
    <row r="28" spans="1:7" ht="15.95" thickBot="1">
      <c r="A28" s="76" t="s">
        <v>308</v>
      </c>
      <c r="B28" s="84">
        <v>0</v>
      </c>
      <c r="C28" s="84">
        <v>0</v>
      </c>
      <c r="D28" s="84">
        <v>5.507576987340097</v>
      </c>
      <c r="E28" s="77"/>
      <c r="F28" s="119"/>
    </row>
    <row r="29" spans="1:7" ht="15.95" thickBot="1">
      <c r="A29" s="76" t="s">
        <v>383</v>
      </c>
      <c r="B29" s="84">
        <f>SUM(B23:B28)</f>
        <v>34.220401740647461</v>
      </c>
      <c r="C29" s="84">
        <f>SUM(C23:C28)</f>
        <v>52.244538781162071</v>
      </c>
      <c r="D29" s="84">
        <f>SUM(D23:D28)</f>
        <v>46.671946858923299</v>
      </c>
      <c r="E29" s="77"/>
      <c r="F29" s="4"/>
    </row>
    <row r="30" spans="1:7">
      <c r="B30" s="4"/>
      <c r="F30" s="4"/>
    </row>
    <row r="31" spans="1:7" ht="15.95" thickBot="1">
      <c r="A31" s="5" t="s">
        <v>587</v>
      </c>
    </row>
    <row r="32" spans="1:7" ht="15.95" thickBot="1">
      <c r="A32" s="190" t="s">
        <v>189</v>
      </c>
      <c r="B32" s="192"/>
      <c r="C32" s="192"/>
      <c r="D32" s="192"/>
      <c r="E32" s="192"/>
      <c r="F32" s="192"/>
      <c r="G32" s="191"/>
    </row>
    <row r="33" spans="1:7" ht="15.95" thickBot="1">
      <c r="A33" s="254" t="s">
        <v>286</v>
      </c>
      <c r="B33" s="255"/>
      <c r="C33" s="255"/>
      <c r="D33" s="255"/>
      <c r="E33" s="255"/>
      <c r="F33" s="255"/>
      <c r="G33" s="256"/>
    </row>
    <row r="34" spans="1:7">
      <c r="A34" s="104" t="s">
        <v>548</v>
      </c>
      <c r="B34" s="120" t="s">
        <v>549</v>
      </c>
      <c r="C34" s="5" t="s">
        <v>550</v>
      </c>
      <c r="D34" s="5" t="s">
        <v>551</v>
      </c>
      <c r="E34" s="121" t="s">
        <v>552</v>
      </c>
      <c r="F34" s="121" t="s">
        <v>588</v>
      </c>
      <c r="G34" s="105" t="s">
        <v>589</v>
      </c>
    </row>
    <row r="35" spans="1:7">
      <c r="A35" s="82" t="s">
        <v>542</v>
      </c>
      <c r="B35" s="108">
        <f>B11</f>
        <v>962370000</v>
      </c>
      <c r="C35" s="4">
        <f>$B$4/1000000</f>
        <v>0.5</v>
      </c>
      <c r="D35" s="4">
        <f>$B$5/1000000</f>
        <v>1.5</v>
      </c>
      <c r="E35" s="118">
        <f>$B35/B$23/1000000</f>
        <v>60.047477239853663</v>
      </c>
      <c r="F35" s="118">
        <f>$B35/C$23/1000000</f>
        <v>60.047477239853663</v>
      </c>
      <c r="G35" s="122">
        <f t="shared" ref="F35:G36" si="0">$B35/D$23/1000000</f>
        <v>67.855508336057525</v>
      </c>
    </row>
    <row r="36" spans="1:7" ht="15.95" thickBot="1">
      <c r="A36" s="86" t="s">
        <v>543</v>
      </c>
      <c r="B36" s="124">
        <f>D11</f>
        <v>626743168.20000005</v>
      </c>
      <c r="C36" s="84">
        <f t="shared" ref="C36:C61" si="1">$B$4/1000000</f>
        <v>0.5</v>
      </c>
      <c r="D36" s="84">
        <f>$B$5/1000000</f>
        <v>1.5</v>
      </c>
      <c r="E36" s="125">
        <f>$B36/B$23/1000000</f>
        <v>39.105901189483546</v>
      </c>
      <c r="F36" s="125">
        <f t="shared" si="0"/>
        <v>39.105901189483546</v>
      </c>
      <c r="G36" s="126">
        <f t="shared" si="0"/>
        <v>44.190879053131553</v>
      </c>
    </row>
    <row r="37" spans="1:7" ht="15.95" thickBot="1">
      <c r="A37" s="82"/>
      <c r="B37" s="108"/>
      <c r="C37" s="4"/>
      <c r="D37" s="4"/>
      <c r="E37" s="117"/>
      <c r="F37" s="117"/>
      <c r="G37" s="123"/>
    </row>
    <row r="38" spans="1:7" ht="15.95" thickBot="1">
      <c r="A38" s="257" t="s">
        <v>290</v>
      </c>
      <c r="B38" s="258"/>
      <c r="C38" s="258"/>
      <c r="D38" s="258"/>
      <c r="E38" s="258"/>
      <c r="F38" s="258"/>
      <c r="G38" s="259"/>
    </row>
    <row r="39" spans="1:7">
      <c r="A39" s="104" t="s">
        <v>548</v>
      </c>
      <c r="B39" s="120" t="s">
        <v>549</v>
      </c>
      <c r="C39" s="5" t="s">
        <v>550</v>
      </c>
      <c r="D39" s="5" t="s">
        <v>555</v>
      </c>
      <c r="E39" s="121" t="s">
        <v>552</v>
      </c>
      <c r="F39" s="121" t="s">
        <v>588</v>
      </c>
      <c r="G39" s="105" t="s">
        <v>589</v>
      </c>
    </row>
    <row r="40" spans="1:7">
      <c r="A40" s="82" t="s">
        <v>542</v>
      </c>
      <c r="B40" s="108">
        <f>B12</f>
        <v>4581180</v>
      </c>
      <c r="C40" s="4">
        <f t="shared" si="1"/>
        <v>0.5</v>
      </c>
      <c r="D40" s="4">
        <f>$B$5/1000000</f>
        <v>1.5</v>
      </c>
      <c r="E40" s="127">
        <v>0</v>
      </c>
      <c r="F40" s="127">
        <v>0</v>
      </c>
      <c r="G40" s="122">
        <f>$B40/D$24/1000000</f>
        <v>0.83016923440484425</v>
      </c>
    </row>
    <row r="41" spans="1:7" ht="15.95" thickBot="1">
      <c r="A41" s="86" t="s">
        <v>543</v>
      </c>
      <c r="B41" s="124">
        <f>D12</f>
        <v>1833960</v>
      </c>
      <c r="C41" s="84">
        <f t="shared" si="1"/>
        <v>0.5</v>
      </c>
      <c r="D41" s="84">
        <f>$B$5/1000000</f>
        <v>1.5</v>
      </c>
      <c r="E41" s="128">
        <v>0</v>
      </c>
      <c r="F41" s="128">
        <v>0</v>
      </c>
      <c r="G41" s="126">
        <f t="shared" ref="G41" si="2">$B41/D$24/1000000</f>
        <v>0.3323373386614602</v>
      </c>
    </row>
    <row r="42" spans="1:7" ht="15.95" thickBot="1">
      <c r="A42" s="82"/>
      <c r="B42" s="108"/>
      <c r="C42" s="4"/>
      <c r="D42" s="4"/>
      <c r="E42" s="117"/>
      <c r="F42" s="117"/>
      <c r="G42" s="123"/>
    </row>
    <row r="43" spans="1:7" ht="15.95" thickBot="1">
      <c r="A43" s="257" t="s">
        <v>254</v>
      </c>
      <c r="B43" s="258"/>
      <c r="C43" s="258"/>
      <c r="D43" s="258"/>
      <c r="E43" s="258"/>
      <c r="F43" s="258"/>
      <c r="G43" s="259"/>
    </row>
    <row r="44" spans="1:7">
      <c r="A44" s="104" t="s">
        <v>548</v>
      </c>
      <c r="B44" s="120" t="s">
        <v>549</v>
      </c>
      <c r="C44" s="5" t="s">
        <v>550</v>
      </c>
      <c r="D44" s="5" t="s">
        <v>555</v>
      </c>
      <c r="E44" s="121" t="s">
        <v>552</v>
      </c>
      <c r="F44" s="121" t="s">
        <v>588</v>
      </c>
      <c r="G44" s="105" t="s">
        <v>589</v>
      </c>
    </row>
    <row r="45" spans="1:7">
      <c r="A45" s="82" t="s">
        <v>542</v>
      </c>
      <c r="B45" s="108">
        <f>B13</f>
        <v>28396700</v>
      </c>
      <c r="C45" s="4">
        <f t="shared" si="1"/>
        <v>0.5</v>
      </c>
      <c r="D45" s="4">
        <f>$B$5/1000000</f>
        <v>1.5</v>
      </c>
      <c r="E45" s="118">
        <f>$B45/B$25/1000000</f>
        <v>1.7089132040375303</v>
      </c>
      <c r="F45" s="118">
        <f t="shared" ref="F45:G46" si="3">$B45/C$25/1000000</f>
        <v>2.1943357920618198</v>
      </c>
      <c r="G45" s="122">
        <f t="shared" si="3"/>
        <v>1.9776488315700835</v>
      </c>
    </row>
    <row r="46" spans="1:7" ht="15.95" thickBot="1">
      <c r="A46" s="86" t="s">
        <v>543</v>
      </c>
      <c r="B46" s="124">
        <f>D13</f>
        <v>16767842.125000004</v>
      </c>
      <c r="C46" s="84">
        <f t="shared" si="1"/>
        <v>0.5</v>
      </c>
      <c r="D46" s="84">
        <f>$B$5/1000000</f>
        <v>1.5</v>
      </c>
      <c r="E46" s="125">
        <f>$B46/B$25/1000000</f>
        <v>1.0090886198265723</v>
      </c>
      <c r="F46" s="125">
        <f t="shared" si="3"/>
        <v>1.2957236626273274</v>
      </c>
      <c r="G46" s="126">
        <f t="shared" si="3"/>
        <v>1.1677731351339375</v>
      </c>
    </row>
    <row r="47" spans="1:7" ht="15.95" thickBot="1">
      <c r="A47" s="82"/>
      <c r="B47" s="4"/>
      <c r="C47" s="4"/>
      <c r="D47" s="4"/>
      <c r="E47" s="117"/>
      <c r="F47" s="117"/>
      <c r="G47" s="123"/>
    </row>
    <row r="48" spans="1:7" ht="15.95" thickBot="1">
      <c r="A48" s="257" t="s">
        <v>287</v>
      </c>
      <c r="B48" s="258"/>
      <c r="C48" s="258"/>
      <c r="D48" s="258"/>
      <c r="E48" s="258"/>
      <c r="F48" s="258"/>
      <c r="G48" s="259"/>
    </row>
    <row r="49" spans="1:7">
      <c r="A49" s="104" t="s">
        <v>548</v>
      </c>
      <c r="B49" s="120" t="s">
        <v>549</v>
      </c>
      <c r="C49" s="5" t="s">
        <v>550</v>
      </c>
      <c r="D49" s="5" t="s">
        <v>555</v>
      </c>
      <c r="E49" s="121" t="s">
        <v>552</v>
      </c>
      <c r="F49" s="121" t="s">
        <v>588</v>
      </c>
      <c r="G49" s="105" t="s">
        <v>589</v>
      </c>
    </row>
    <row r="50" spans="1:7">
      <c r="A50" s="82" t="s">
        <v>542</v>
      </c>
      <c r="B50" s="108">
        <f>B14</f>
        <v>55063400.592000008</v>
      </c>
      <c r="C50" s="4">
        <f t="shared" si="1"/>
        <v>0.5</v>
      </c>
      <c r="D50" s="4">
        <f>$B$5/1000000</f>
        <v>1.5</v>
      </c>
      <c r="E50" s="118">
        <f>$B50/B$26/1000000</f>
        <v>34.921746376989567</v>
      </c>
      <c r="F50" s="118">
        <f t="shared" ref="F50:G51" si="4">$B50/C$26/1000000</f>
        <v>39.875389196849731</v>
      </c>
      <c r="G50" s="122">
        <f t="shared" si="4"/>
        <v>28.208794340002502</v>
      </c>
    </row>
    <row r="51" spans="1:7" ht="15.95" thickBot="1">
      <c r="A51" s="86" t="s">
        <v>543</v>
      </c>
      <c r="B51" s="124">
        <f>D14</f>
        <v>666987.15999999992</v>
      </c>
      <c r="C51" s="84">
        <f t="shared" si="1"/>
        <v>0.5</v>
      </c>
      <c r="D51" s="84">
        <f>$B$5/1000000</f>
        <v>1.5</v>
      </c>
      <c r="E51" s="125">
        <f>$B51/B$26/1000000</f>
        <v>0.42300977033395631</v>
      </c>
      <c r="F51" s="125">
        <f t="shared" si="4"/>
        <v>0.48301362263059339</v>
      </c>
      <c r="G51" s="126">
        <f t="shared" si="4"/>
        <v>0.34169527166100783</v>
      </c>
    </row>
    <row r="52" spans="1:7" ht="15.95" thickBot="1">
      <c r="A52" s="82"/>
      <c r="B52" s="4"/>
      <c r="C52" s="4"/>
      <c r="D52" s="4"/>
      <c r="E52" s="117"/>
      <c r="F52" s="117"/>
      <c r="G52" s="123"/>
    </row>
    <row r="53" spans="1:7" ht="15.95" thickBot="1">
      <c r="A53" s="257" t="s">
        <v>289</v>
      </c>
      <c r="B53" s="258"/>
      <c r="C53" s="258"/>
      <c r="D53" s="258"/>
      <c r="E53" s="258"/>
      <c r="F53" s="258"/>
      <c r="G53" s="259"/>
    </row>
    <row r="54" spans="1:7">
      <c r="A54" s="104" t="s">
        <v>548</v>
      </c>
      <c r="B54" s="120" t="s">
        <v>549</v>
      </c>
      <c r="C54" s="5" t="s">
        <v>550</v>
      </c>
      <c r="D54" s="5" t="s">
        <v>555</v>
      </c>
      <c r="E54" s="121" t="s">
        <v>552</v>
      </c>
      <c r="F54" s="121" t="s">
        <v>588</v>
      </c>
      <c r="G54" s="105" t="s">
        <v>589</v>
      </c>
    </row>
    <row r="55" spans="1:7">
      <c r="A55" s="82" t="s">
        <v>542</v>
      </c>
      <c r="B55" s="108">
        <f>B15</f>
        <v>414871386</v>
      </c>
      <c r="C55" s="4">
        <f t="shared" si="1"/>
        <v>0.5</v>
      </c>
      <c r="D55" s="4">
        <f>$B$5/1000000</f>
        <v>1.5</v>
      </c>
      <c r="E55" s="127">
        <v>0</v>
      </c>
      <c r="F55" s="137">
        <f>B55/$C$27/1000000</f>
        <v>18.947424805173373</v>
      </c>
      <c r="G55" s="122">
        <f>$B55/D$27/1000000</f>
        <v>80.517645014856924</v>
      </c>
    </row>
    <row r="56" spans="1:7" ht="15.95" thickBot="1">
      <c r="A56" s="86" t="s">
        <v>543</v>
      </c>
      <c r="B56" s="124">
        <f>D15</f>
        <v>14161092.800000003</v>
      </c>
      <c r="C56" s="84">
        <f t="shared" si="1"/>
        <v>0.5</v>
      </c>
      <c r="D56" s="84">
        <f>$B$5/1000000</f>
        <v>1.5</v>
      </c>
      <c r="E56" s="128">
        <v>0</v>
      </c>
      <c r="F56" s="138">
        <f>B56/$C$27/1000000</f>
        <v>0.64674559403593601</v>
      </c>
      <c r="G56" s="126">
        <f>$B56/D$27/1000000</f>
        <v>2.7483646295453275</v>
      </c>
    </row>
    <row r="57" spans="1:7" ht="15.95" thickBot="1">
      <c r="A57" s="82"/>
      <c r="B57" s="4"/>
      <c r="C57" s="4"/>
      <c r="D57" s="4"/>
      <c r="E57" s="117"/>
      <c r="F57" s="117"/>
      <c r="G57" s="123"/>
    </row>
    <row r="58" spans="1:7" ht="15.95" thickBot="1">
      <c r="A58" s="257" t="s">
        <v>288</v>
      </c>
      <c r="B58" s="258"/>
      <c r="C58" s="258"/>
      <c r="D58" s="258"/>
      <c r="E58" s="258"/>
      <c r="F58" s="258"/>
      <c r="G58" s="259"/>
    </row>
    <row r="59" spans="1:7">
      <c r="A59" s="104" t="s">
        <v>548</v>
      </c>
      <c r="B59" s="120" t="s">
        <v>549</v>
      </c>
      <c r="C59" s="5" t="s">
        <v>550</v>
      </c>
      <c r="D59" s="5" t="s">
        <v>551</v>
      </c>
      <c r="E59" s="121" t="s">
        <v>552</v>
      </c>
      <c r="F59" s="121" t="s">
        <v>588</v>
      </c>
      <c r="G59" s="105" t="s">
        <v>589</v>
      </c>
    </row>
    <row r="60" spans="1:7">
      <c r="A60" s="82" t="s">
        <v>542</v>
      </c>
      <c r="B60" s="108">
        <f>B16</f>
        <v>153261259.00000003</v>
      </c>
      <c r="C60" s="4">
        <f t="shared" si="1"/>
        <v>0.5</v>
      </c>
      <c r="D60" s="4">
        <f>$B$5/1000000</f>
        <v>1.5</v>
      </c>
      <c r="E60" s="127">
        <v>0</v>
      </c>
      <c r="F60" s="127">
        <v>0</v>
      </c>
      <c r="G60" s="122">
        <f>$B60/D$28/1000000</f>
        <v>27.827347552706307</v>
      </c>
    </row>
    <row r="61" spans="1:7" ht="15.95" thickBot="1">
      <c r="A61" s="86" t="s">
        <v>543</v>
      </c>
      <c r="B61" s="124">
        <f>D16</f>
        <v>64086613.500000007</v>
      </c>
      <c r="C61" s="84">
        <f t="shared" si="1"/>
        <v>0.5</v>
      </c>
      <c r="D61" s="84">
        <f>$B$5/1000000</f>
        <v>1.5</v>
      </c>
      <c r="E61" s="128">
        <v>0</v>
      </c>
      <c r="F61" s="128">
        <v>0</v>
      </c>
      <c r="G61" s="126">
        <f>$B61/D$28/1000000</f>
        <v>11.636081283532063</v>
      </c>
    </row>
    <row r="62" spans="1:7">
      <c r="A62" s="4"/>
      <c r="B62" s="108"/>
      <c r="C62" s="4"/>
      <c r="D62" s="4"/>
      <c r="E62" s="127"/>
      <c r="F62" s="118"/>
      <c r="G62" s="118"/>
    </row>
    <row r="64" spans="1:7">
      <c r="A64" s="177" t="s">
        <v>556</v>
      </c>
      <c r="B64" s="177"/>
      <c r="C64" s="177"/>
      <c r="D64" s="177"/>
    </row>
    <row r="65" spans="1:6" ht="15.95" thickBot="1">
      <c r="A65" s="121" t="s">
        <v>590</v>
      </c>
    </row>
    <row r="66" spans="1:6" ht="15.95" thickBot="1">
      <c r="A66" s="190" t="s">
        <v>191</v>
      </c>
      <c r="B66" s="192"/>
      <c r="C66" s="192"/>
      <c r="D66" s="192"/>
      <c r="E66" s="191"/>
    </row>
    <row r="67" spans="1:6">
      <c r="A67" s="72" t="s">
        <v>302</v>
      </c>
      <c r="B67" s="5" t="s">
        <v>26</v>
      </c>
      <c r="C67" s="5" t="s">
        <v>28</v>
      </c>
      <c r="D67" s="5" t="s">
        <v>247</v>
      </c>
      <c r="E67" s="75"/>
    </row>
    <row r="68" spans="1:6">
      <c r="A68" s="74" t="s">
        <v>303</v>
      </c>
      <c r="B68" s="4">
        <f>B23/B$29</f>
        <v>0.46834102952044848</v>
      </c>
      <c r="C68" s="4">
        <f t="shared" ref="B68:D73" si="5">C23/C$29</f>
        <v>0.3067654257404796</v>
      </c>
      <c r="D68" s="4">
        <f t="shared" si="5"/>
        <v>0.30387925334476934</v>
      </c>
      <c r="E68" s="75"/>
    </row>
    <row r="69" spans="1:6">
      <c r="A69" s="74" t="s">
        <v>304</v>
      </c>
      <c r="B69" s="4">
        <f t="shared" si="5"/>
        <v>0</v>
      </c>
      <c r="C69" s="4">
        <f t="shared" si="5"/>
        <v>0</v>
      </c>
      <c r="D69" s="4">
        <f t="shared" si="5"/>
        <v>0.11823738174969516</v>
      </c>
      <c r="E69" s="75"/>
    </row>
    <row r="70" spans="1:6">
      <c r="A70" s="74" t="s">
        <v>305</v>
      </c>
      <c r="B70" s="4">
        <f t="shared" si="5"/>
        <v>0.48558220642046113</v>
      </c>
      <c r="C70" s="4">
        <f t="shared" si="5"/>
        <v>0.2476987909705736</v>
      </c>
      <c r="D70" s="4">
        <f t="shared" si="5"/>
        <v>0.30765415090184722</v>
      </c>
      <c r="E70" s="75"/>
    </row>
    <row r="71" spans="1:6">
      <c r="A71" s="74" t="s">
        <v>306</v>
      </c>
      <c r="B71" s="4">
        <f t="shared" si="5"/>
        <v>4.6076764059090447E-2</v>
      </c>
      <c r="C71" s="4">
        <f t="shared" si="5"/>
        <v>2.6431219080543529E-2</v>
      </c>
      <c r="D71" s="4">
        <f t="shared" si="5"/>
        <v>4.1823713131999257E-2</v>
      </c>
      <c r="E71" s="75"/>
    </row>
    <row r="72" spans="1:6">
      <c r="A72" s="74" t="s">
        <v>307</v>
      </c>
      <c r="B72" s="4">
        <f t="shared" si="5"/>
        <v>0</v>
      </c>
      <c r="C72" s="4">
        <f t="shared" si="5"/>
        <v>0.41910456420840336</v>
      </c>
      <c r="D72" s="4">
        <f t="shared" si="5"/>
        <v>0.11039934603979377</v>
      </c>
      <c r="E72" s="75"/>
    </row>
    <row r="73" spans="1:6" ht="15.95" thickBot="1">
      <c r="A73" s="76" t="s">
        <v>308</v>
      </c>
      <c r="B73" s="84">
        <f t="shared" si="5"/>
        <v>0</v>
      </c>
      <c r="C73" s="84">
        <f t="shared" si="5"/>
        <v>0</v>
      </c>
      <c r="D73" s="84">
        <f t="shared" si="5"/>
        <v>0.1180061548318954</v>
      </c>
      <c r="E73" s="77"/>
    </row>
    <row r="75" spans="1:6" ht="15.95" thickBot="1">
      <c r="A75" s="5" t="s">
        <v>591</v>
      </c>
    </row>
    <row r="76" spans="1:6" ht="15.95" thickBot="1">
      <c r="A76" s="190" t="s">
        <v>592</v>
      </c>
      <c r="B76" s="192"/>
      <c r="C76" s="192"/>
      <c r="D76" s="192"/>
      <c r="E76" s="192"/>
      <c r="F76" s="191"/>
    </row>
    <row r="77" spans="1:6" ht="15.95" thickBot="1">
      <c r="A77" s="254" t="s">
        <v>26</v>
      </c>
      <c r="B77" s="255"/>
      <c r="C77" s="255"/>
      <c r="D77" s="255"/>
      <c r="E77" s="255"/>
      <c r="F77" s="256"/>
    </row>
    <row r="78" spans="1:6">
      <c r="A78" s="72" t="s">
        <v>560</v>
      </c>
      <c r="B78" s="5" t="s">
        <v>561</v>
      </c>
      <c r="C78" s="270" t="s">
        <v>562</v>
      </c>
      <c r="D78" s="270"/>
      <c r="E78" s="270"/>
      <c r="F78" s="73" t="s">
        <v>261</v>
      </c>
    </row>
    <row r="79" spans="1:6">
      <c r="A79" s="74" t="s">
        <v>542</v>
      </c>
      <c r="B79" t="s">
        <v>254</v>
      </c>
      <c r="C79" s="4">
        <f>0.8-(1-B70)</f>
        <v>0.28558220642046117</v>
      </c>
      <c r="F79" s="75"/>
    </row>
    <row r="80" spans="1:6" ht="15.95" thickBot="1">
      <c r="A80" s="76" t="s">
        <v>543</v>
      </c>
      <c r="B80" s="7" t="s">
        <v>254</v>
      </c>
      <c r="C80" s="84">
        <f>0.8-(1-B71-B70)</f>
        <v>0.33165897047955162</v>
      </c>
      <c r="D80" s="7"/>
      <c r="E80" s="7"/>
      <c r="F80" s="77" t="s">
        <v>563</v>
      </c>
    </row>
    <row r="81" spans="1:6" ht="15.95" thickBot="1">
      <c r="A81" s="74"/>
      <c r="F81" s="75"/>
    </row>
    <row r="82" spans="1:6" ht="15.95" thickBot="1">
      <c r="A82" s="254" t="s">
        <v>28</v>
      </c>
      <c r="B82" s="255"/>
      <c r="C82" s="255"/>
      <c r="D82" s="255"/>
      <c r="E82" s="255"/>
      <c r="F82" s="256"/>
    </row>
    <row r="83" spans="1:6">
      <c r="A83" s="72" t="s">
        <v>560</v>
      </c>
      <c r="B83" s="5" t="s">
        <v>561</v>
      </c>
      <c r="C83" s="270" t="s">
        <v>562</v>
      </c>
      <c r="D83" s="270"/>
      <c r="E83" s="270"/>
      <c r="F83" s="75"/>
    </row>
    <row r="84" spans="1:6">
      <c r="A84" s="74" t="s">
        <v>542</v>
      </c>
      <c r="B84" t="s">
        <v>254</v>
      </c>
      <c r="C84" s="4">
        <f>0.8-(1-C70)</f>
        <v>4.7698790970573612E-2</v>
      </c>
      <c r="F84" s="75"/>
    </row>
    <row r="85" spans="1:6" ht="15.95" thickBot="1">
      <c r="A85" s="76" t="s">
        <v>543</v>
      </c>
      <c r="B85" s="7" t="s">
        <v>289</v>
      </c>
      <c r="C85" s="84">
        <f>0.8-(1-C71-C72)</f>
        <v>0.24553578328894698</v>
      </c>
      <c r="D85" s="7"/>
      <c r="E85" s="7"/>
      <c r="F85" s="77" t="s">
        <v>593</v>
      </c>
    </row>
    <row r="86" spans="1:6" ht="15.95" thickBot="1">
      <c r="A86" s="74"/>
      <c r="F86" s="75"/>
    </row>
    <row r="87" spans="1:6" ht="15.95" thickBot="1">
      <c r="A87" s="267" t="s">
        <v>247</v>
      </c>
      <c r="B87" s="268"/>
      <c r="C87" s="268"/>
      <c r="D87" s="268"/>
      <c r="E87" s="268"/>
      <c r="F87" s="269"/>
    </row>
    <row r="88" spans="1:6">
      <c r="A88" s="110" t="s">
        <v>560</v>
      </c>
      <c r="B88" s="1" t="s">
        <v>561</v>
      </c>
      <c r="C88" s="266" t="s">
        <v>562</v>
      </c>
      <c r="D88" s="266"/>
      <c r="E88" s="266"/>
      <c r="F88" s="75"/>
    </row>
    <row r="89" spans="1:6">
      <c r="A89" s="109" t="s">
        <v>542</v>
      </c>
      <c r="B89" s="2" t="s">
        <v>254</v>
      </c>
      <c r="C89" s="143">
        <f>0.8-(1-D69-D70)</f>
        <v>0.22589153265154238</v>
      </c>
      <c r="D89" s="2"/>
      <c r="E89" s="2"/>
      <c r="F89" s="75" t="s">
        <v>565</v>
      </c>
    </row>
    <row r="90" spans="1:6" ht="15.95" thickBot="1">
      <c r="A90" s="130" t="s">
        <v>543</v>
      </c>
      <c r="B90" s="139" t="s">
        <v>254</v>
      </c>
      <c r="C90" s="111">
        <f>0.8-(1-D71-D69-D70)</f>
        <v>0.26771524578354167</v>
      </c>
      <c r="D90" s="139"/>
      <c r="E90" s="139"/>
      <c r="F90" s="77" t="s">
        <v>564</v>
      </c>
    </row>
    <row r="92" spans="1:6" ht="15.95" thickBot="1">
      <c r="A92" s="5" t="s">
        <v>594</v>
      </c>
    </row>
    <row r="93" spans="1:6" ht="15.95" thickBot="1">
      <c r="A93" s="190" t="s">
        <v>595</v>
      </c>
      <c r="B93" s="192"/>
      <c r="C93" s="192"/>
      <c r="D93" s="191"/>
      <c r="E93" s="5"/>
    </row>
    <row r="94" spans="1:6" ht="15.95" thickBot="1">
      <c r="A94" s="254" t="s">
        <v>26</v>
      </c>
      <c r="B94" s="255"/>
      <c r="C94" s="255"/>
      <c r="D94" s="256"/>
    </row>
    <row r="95" spans="1:6">
      <c r="A95" s="110" t="s">
        <v>560</v>
      </c>
      <c r="B95" s="1" t="s">
        <v>561</v>
      </c>
      <c r="C95" s="5" t="s">
        <v>567</v>
      </c>
      <c r="D95" s="75"/>
    </row>
    <row r="96" spans="1:6">
      <c r="A96" s="109" t="s">
        <v>542</v>
      </c>
      <c r="B96" s="2" t="s">
        <v>254</v>
      </c>
      <c r="C96" s="4">
        <f>C79*$B$29</f>
        <v>9.7727378336886925</v>
      </c>
      <c r="D96" s="75"/>
    </row>
    <row r="97" spans="1:5" ht="15.95" thickBot="1">
      <c r="A97" s="130" t="s">
        <v>543</v>
      </c>
      <c r="B97" s="139" t="s">
        <v>254</v>
      </c>
      <c r="C97" s="84">
        <f>C80*$B$29</f>
        <v>11.349503210699792</v>
      </c>
      <c r="D97" s="77"/>
    </row>
    <row r="98" spans="1:5" ht="15.95" thickBot="1">
      <c r="A98" s="74"/>
      <c r="D98" s="75"/>
    </row>
    <row r="99" spans="1:5" ht="15.95" thickBot="1">
      <c r="A99" s="254" t="s">
        <v>28</v>
      </c>
      <c r="B99" s="255"/>
      <c r="C99" s="255"/>
      <c r="D99" s="256"/>
    </row>
    <row r="100" spans="1:5">
      <c r="A100" s="110" t="s">
        <v>560</v>
      </c>
      <c r="B100" s="1" t="s">
        <v>561</v>
      </c>
      <c r="C100" s="5" t="s">
        <v>567</v>
      </c>
      <c r="D100" s="75"/>
    </row>
    <row r="101" spans="1:5">
      <c r="A101" s="109" t="s">
        <v>542</v>
      </c>
      <c r="B101" s="2" t="s">
        <v>254</v>
      </c>
      <c r="C101" s="4">
        <f>C84*$C$29</f>
        <v>2.4920013346766763</v>
      </c>
      <c r="D101" s="75"/>
    </row>
    <row r="102" spans="1:5" ht="15.95" thickBot="1">
      <c r="A102" s="130" t="s">
        <v>543</v>
      </c>
      <c r="B102" s="139" t="s">
        <v>289</v>
      </c>
      <c r="C102" s="84">
        <f>C85*$C$29</f>
        <v>12.827903752202397</v>
      </c>
      <c r="D102" s="77"/>
    </row>
    <row r="103" spans="1:5" ht="15.95" thickBot="1">
      <c r="A103" s="74"/>
      <c r="D103" s="75"/>
    </row>
    <row r="104" spans="1:5" ht="15.95" thickBot="1">
      <c r="A104" s="254" t="s">
        <v>247</v>
      </c>
      <c r="B104" s="255"/>
      <c r="C104" s="255"/>
      <c r="D104" s="256"/>
    </row>
    <row r="105" spans="1:5">
      <c r="A105" s="110" t="s">
        <v>560</v>
      </c>
      <c r="B105" s="1" t="s">
        <v>561</v>
      </c>
      <c r="C105" s="5" t="s">
        <v>567</v>
      </c>
      <c r="D105" s="75"/>
    </row>
    <row r="106" spans="1:5">
      <c r="A106" s="109" t="s">
        <v>542</v>
      </c>
      <c r="B106" s="2" t="s">
        <v>254</v>
      </c>
      <c r="C106" s="4">
        <f>C89*$D$29</f>
        <v>10.542797607793522</v>
      </c>
      <c r="D106" s="75"/>
    </row>
    <row r="107" spans="1:5" ht="15.95" thickBot="1">
      <c r="A107" s="130" t="s">
        <v>543</v>
      </c>
      <c r="B107" s="139" t="s">
        <v>254</v>
      </c>
      <c r="C107" s="84">
        <f>C90*$D$29</f>
        <v>12.494791724533046</v>
      </c>
      <c r="D107" s="77"/>
    </row>
    <row r="109" spans="1:5" ht="15.95" thickBot="1">
      <c r="A109" s="5" t="s">
        <v>596</v>
      </c>
    </row>
    <row r="110" spans="1:5" ht="15.95" thickBot="1">
      <c r="A110" s="190" t="s">
        <v>569</v>
      </c>
      <c r="B110" s="192"/>
      <c r="C110" s="192"/>
      <c r="D110" s="192"/>
      <c r="E110" s="191"/>
    </row>
    <row r="111" spans="1:5" ht="15.95" thickBot="1">
      <c r="A111" s="254" t="s">
        <v>570</v>
      </c>
      <c r="B111" s="255"/>
      <c r="C111" s="255"/>
      <c r="D111" s="255"/>
      <c r="E111" s="256"/>
    </row>
    <row r="112" spans="1:5">
      <c r="A112" s="74"/>
      <c r="C112" s="263" t="s">
        <v>571</v>
      </c>
      <c r="D112" s="264"/>
      <c r="E112" s="265"/>
    </row>
    <row r="113" spans="1:6">
      <c r="A113" s="104" t="s">
        <v>548</v>
      </c>
      <c r="B113" s="121" t="s">
        <v>572</v>
      </c>
      <c r="C113" s="72" t="s">
        <v>550</v>
      </c>
      <c r="D113" s="5" t="s">
        <v>551</v>
      </c>
      <c r="E113" s="73" t="s">
        <v>573</v>
      </c>
    </row>
    <row r="114" spans="1:6">
      <c r="A114" s="82" t="s">
        <v>542</v>
      </c>
      <c r="B114" s="108">
        <f>$B$13</f>
        <v>28396700</v>
      </c>
      <c r="C114" s="82">
        <f>$B$4/1000000</f>
        <v>0.5</v>
      </c>
      <c r="D114" s="4">
        <f>$B$5/1000000</f>
        <v>1.5</v>
      </c>
      <c r="E114" s="87">
        <f>$B114/C96/1000000</f>
        <v>2.9057056971395028</v>
      </c>
    </row>
    <row r="115" spans="1:6" ht="15.95" thickBot="1">
      <c r="A115" s="86" t="s">
        <v>543</v>
      </c>
      <c r="B115" s="124">
        <f>$D$13</f>
        <v>16767842.125000004</v>
      </c>
      <c r="C115" s="86">
        <f>$B$4/1000000</f>
        <v>0.5</v>
      </c>
      <c r="D115" s="84">
        <f>$B$5/1000000</f>
        <v>1.5</v>
      </c>
      <c r="E115" s="88">
        <f>$B115/C97/1000000</f>
        <v>1.4774075846061747</v>
      </c>
      <c r="F115" s="4"/>
    </row>
    <row r="116" spans="1:6" ht="15.95" thickBot="1">
      <c r="A116" s="82"/>
      <c r="B116" s="4"/>
      <c r="C116" s="4"/>
      <c r="D116" s="4"/>
      <c r="E116" s="87"/>
    </row>
    <row r="117" spans="1:6" ht="15.95" thickBot="1">
      <c r="A117" s="257" t="s">
        <v>597</v>
      </c>
      <c r="B117" s="258"/>
      <c r="C117" s="258"/>
      <c r="D117" s="258"/>
      <c r="E117" s="259"/>
    </row>
    <row r="118" spans="1:6">
      <c r="A118" s="82"/>
      <c r="B118" s="4"/>
      <c r="C118" s="260" t="s">
        <v>571</v>
      </c>
      <c r="D118" s="261"/>
      <c r="E118" s="262"/>
    </row>
    <row r="119" spans="1:6">
      <c r="A119" s="104" t="s">
        <v>548</v>
      </c>
      <c r="B119" s="121" t="s">
        <v>572</v>
      </c>
      <c r="C119" s="104" t="s">
        <v>550</v>
      </c>
      <c r="D119" s="121" t="s">
        <v>551</v>
      </c>
      <c r="E119" s="73" t="s">
        <v>573</v>
      </c>
    </row>
    <row r="120" spans="1:6">
      <c r="A120" s="82" t="s">
        <v>542</v>
      </c>
      <c r="B120" s="108">
        <f>$B$13</f>
        <v>28396700</v>
      </c>
      <c r="C120" s="82">
        <f>$B$4/1000000</f>
        <v>0.5</v>
      </c>
      <c r="D120" s="4">
        <f>$B$5/1000000</f>
        <v>1.5</v>
      </c>
      <c r="E120" s="87">
        <f>$B120/C101/1000000</f>
        <v>11.395138359219347</v>
      </c>
    </row>
    <row r="121" spans="1:6" ht="15.95" thickBot="1">
      <c r="A121" s="82"/>
      <c r="B121" s="4"/>
      <c r="C121" s="4"/>
      <c r="D121" s="4"/>
      <c r="E121" s="87"/>
    </row>
    <row r="122" spans="1:6" ht="15.95" thickBot="1">
      <c r="A122" s="257" t="s">
        <v>598</v>
      </c>
      <c r="B122" s="258"/>
      <c r="C122" s="258"/>
      <c r="D122" s="258"/>
      <c r="E122" s="259"/>
    </row>
    <row r="123" spans="1:6">
      <c r="A123" s="82"/>
      <c r="B123" s="4"/>
      <c r="C123" s="260" t="s">
        <v>571</v>
      </c>
      <c r="D123" s="261"/>
      <c r="E123" s="262"/>
    </row>
    <row r="124" spans="1:6">
      <c r="A124" s="104" t="s">
        <v>548</v>
      </c>
      <c r="B124" s="121" t="s">
        <v>572</v>
      </c>
      <c r="C124" s="104" t="s">
        <v>550</v>
      </c>
      <c r="D124" s="121" t="s">
        <v>551</v>
      </c>
      <c r="E124" s="73" t="s">
        <v>573</v>
      </c>
    </row>
    <row r="125" spans="1:6" ht="15.95" thickBot="1">
      <c r="A125" s="86" t="s">
        <v>543</v>
      </c>
      <c r="B125" s="124">
        <f>$D$15</f>
        <v>14161092.800000003</v>
      </c>
      <c r="C125" s="86">
        <f>$B$4/1000000</f>
        <v>0.5</v>
      </c>
      <c r="D125" s="84">
        <f>$B$5/1000000</f>
        <v>1.5</v>
      </c>
      <c r="E125" s="88">
        <f>$B125/C102/1000000</f>
        <v>1.1039288315184554</v>
      </c>
    </row>
    <row r="126" spans="1:6" ht="15.95" thickBot="1">
      <c r="A126" s="86"/>
      <c r="B126" s="124"/>
      <c r="C126" s="84"/>
      <c r="D126" s="84"/>
      <c r="E126" s="88"/>
    </row>
    <row r="127" spans="1:6" ht="15.95" thickBot="1">
      <c r="A127" s="257" t="s">
        <v>599</v>
      </c>
      <c r="B127" s="258"/>
      <c r="C127" s="258"/>
      <c r="D127" s="258"/>
      <c r="E127" s="259"/>
    </row>
    <row r="128" spans="1:6">
      <c r="A128" s="82"/>
      <c r="B128" s="4"/>
      <c r="C128" s="260" t="s">
        <v>571</v>
      </c>
      <c r="D128" s="261"/>
      <c r="E128" s="262"/>
    </row>
    <row r="129" spans="1:7">
      <c r="A129" s="104" t="s">
        <v>548</v>
      </c>
      <c r="B129" s="121" t="s">
        <v>572</v>
      </c>
      <c r="C129" s="104" t="s">
        <v>550</v>
      </c>
      <c r="D129" s="121" t="s">
        <v>551</v>
      </c>
      <c r="E129" s="73" t="s">
        <v>573</v>
      </c>
    </row>
    <row r="130" spans="1:7">
      <c r="A130" s="82" t="s">
        <v>542</v>
      </c>
      <c r="B130" s="108">
        <f>$B$13</f>
        <v>28396700</v>
      </c>
      <c r="C130" s="82">
        <f>$B$4/1000000</f>
        <v>0.5</v>
      </c>
      <c r="D130" s="4">
        <f>$B$5/1000000</f>
        <v>1.5</v>
      </c>
      <c r="E130" s="87">
        <f>$B130/C106/1000000</f>
        <v>2.6934691394443906</v>
      </c>
    </row>
    <row r="131" spans="1:7" ht="15.95" thickBot="1">
      <c r="A131" s="86" t="s">
        <v>543</v>
      </c>
      <c r="B131" s="124">
        <f>$D$13</f>
        <v>16767842.125000004</v>
      </c>
      <c r="C131" s="86">
        <f>$B$4/1000000</f>
        <v>0.5</v>
      </c>
      <c r="D131" s="84">
        <f>$B$5/1000000</f>
        <v>1.5</v>
      </c>
      <c r="E131" s="88">
        <f>$B131/C107/1000000</f>
        <v>1.3419865248395446</v>
      </c>
    </row>
    <row r="133" spans="1:7" ht="15.95" thickBot="1">
      <c r="A133" s="5" t="s">
        <v>600</v>
      </c>
    </row>
    <row r="134" spans="1:7" ht="15.95" thickBot="1">
      <c r="A134" s="190" t="s">
        <v>577</v>
      </c>
      <c r="B134" s="192"/>
      <c r="C134" s="192"/>
      <c r="D134" s="192"/>
      <c r="E134" s="192"/>
      <c r="F134" s="192"/>
      <c r="G134" s="191"/>
    </row>
    <row r="135" spans="1:7" ht="15.95" thickBot="1">
      <c r="A135" s="74"/>
      <c r="B135" s="257" t="s">
        <v>26</v>
      </c>
      <c r="C135" s="259"/>
      <c r="D135" s="254" t="s">
        <v>28</v>
      </c>
      <c r="E135" s="256"/>
      <c r="F135" s="254" t="s">
        <v>247</v>
      </c>
      <c r="G135" s="256"/>
    </row>
    <row r="136" spans="1:7">
      <c r="A136" s="74"/>
      <c r="B136" s="104" t="s">
        <v>542</v>
      </c>
      <c r="C136" s="105" t="s">
        <v>543</v>
      </c>
      <c r="D136" s="104" t="s">
        <v>542</v>
      </c>
      <c r="E136" s="105" t="s">
        <v>543</v>
      </c>
      <c r="F136" s="121" t="s">
        <v>542</v>
      </c>
      <c r="G136" s="105" t="s">
        <v>543</v>
      </c>
    </row>
    <row r="137" spans="1:7">
      <c r="A137" s="82" t="s">
        <v>578</v>
      </c>
      <c r="B137" s="82" cm="1">
        <f t="array" ref="B137:C137">TRANSPOSE(E114:E115)</f>
        <v>2.9057056971395028</v>
      </c>
      <c r="C137" s="87">
        <v>1.4774075846061747</v>
      </c>
      <c r="D137" s="82" cm="1">
        <f t="array" ref="D137">TRANSPOSE(E120:E120)</f>
        <v>11.395138359219347</v>
      </c>
      <c r="E137" s="87">
        <f>E125</f>
        <v>1.1039288315184554</v>
      </c>
      <c r="F137" s="4" cm="1">
        <f t="array" ref="F137:G137">TRANSPOSE(E130:E131)</f>
        <v>2.6934691394443906</v>
      </c>
      <c r="G137" s="87">
        <v>1.3419865248395446</v>
      </c>
    </row>
    <row r="138" spans="1:7">
      <c r="A138" s="82" t="s">
        <v>579</v>
      </c>
      <c r="B138" s="82">
        <f>$B$4/1000000</f>
        <v>0.5</v>
      </c>
      <c r="C138" s="87">
        <f t="shared" ref="C138:G138" si="6">$B$4/1000000</f>
        <v>0.5</v>
      </c>
      <c r="D138" s="82">
        <f>$B$4/1000000</f>
        <v>0.5</v>
      </c>
      <c r="E138" s="87">
        <f t="shared" si="6"/>
        <v>0.5</v>
      </c>
      <c r="F138" s="4">
        <f t="shared" si="6"/>
        <v>0.5</v>
      </c>
      <c r="G138" s="87">
        <f t="shared" si="6"/>
        <v>0.5</v>
      </c>
    </row>
    <row r="139" spans="1:7" ht="15.95" thickBot="1">
      <c r="A139" s="86" t="s">
        <v>580</v>
      </c>
      <c r="B139" s="86">
        <f>$B$5/1000000</f>
        <v>1.5</v>
      </c>
      <c r="C139" s="88">
        <f t="shared" ref="C139:G139" si="7">$B$5/1000000</f>
        <v>1.5</v>
      </c>
      <c r="D139" s="86">
        <f>$B$5/1000000</f>
        <v>1.5</v>
      </c>
      <c r="E139" s="88">
        <f t="shared" si="7"/>
        <v>1.5</v>
      </c>
      <c r="F139" s="84">
        <f t="shared" si="7"/>
        <v>1.5</v>
      </c>
      <c r="G139" s="88">
        <f t="shared" si="7"/>
        <v>1.5</v>
      </c>
    </row>
    <row r="144" spans="1:7">
      <c r="A144" s="5"/>
      <c r="B144" s="5"/>
      <c r="C144" s="5"/>
      <c r="D144" s="5"/>
    </row>
    <row r="154" spans="2:4">
      <c r="B154" s="108"/>
      <c r="D154" s="108"/>
    </row>
    <row r="155" spans="2:4">
      <c r="B155" s="108"/>
      <c r="D155" s="108"/>
    </row>
    <row r="156" spans="2:4">
      <c r="B156" s="108"/>
      <c r="D156" s="108"/>
    </row>
    <row r="157" spans="2:4">
      <c r="B157" s="108"/>
      <c r="D157" s="108"/>
    </row>
    <row r="167" spans="2:3">
      <c r="B167" s="108"/>
      <c r="C167" s="108"/>
    </row>
    <row r="168" spans="2:3">
      <c r="B168" s="108"/>
      <c r="C168" s="108"/>
    </row>
    <row r="169" spans="2:3">
      <c r="B169" s="108"/>
      <c r="C169" s="149"/>
    </row>
    <row r="170" spans="2:3">
      <c r="B170" s="108"/>
      <c r="C170" s="108"/>
    </row>
    <row r="171" spans="2:3">
      <c r="B171" s="108"/>
    </row>
    <row r="172" spans="2:3">
      <c r="B172" s="108"/>
    </row>
    <row r="177" spans="1:1">
      <c r="A177" s="108"/>
    </row>
  </sheetData>
  <mergeCells count="37">
    <mergeCell ref="A58:G58"/>
    <mergeCell ref="A2:C2"/>
    <mergeCell ref="A8:D8"/>
    <mergeCell ref="A9:B9"/>
    <mergeCell ref="C9:D9"/>
    <mergeCell ref="A21:E21"/>
    <mergeCell ref="A32:G32"/>
    <mergeCell ref="A33:G33"/>
    <mergeCell ref="A38:G38"/>
    <mergeCell ref="A43:G43"/>
    <mergeCell ref="A48:G48"/>
    <mergeCell ref="A53:G53"/>
    <mergeCell ref="A104:D104"/>
    <mergeCell ref="A66:E66"/>
    <mergeCell ref="A76:F76"/>
    <mergeCell ref="A77:F77"/>
    <mergeCell ref="C78:E78"/>
    <mergeCell ref="A82:F82"/>
    <mergeCell ref="C83:E83"/>
    <mergeCell ref="A87:F87"/>
    <mergeCell ref="C88:E88"/>
    <mergeCell ref="A93:D93"/>
    <mergeCell ref="A94:D94"/>
    <mergeCell ref="A99:D99"/>
    <mergeCell ref="A110:E110"/>
    <mergeCell ref="A111:E111"/>
    <mergeCell ref="C112:E112"/>
    <mergeCell ref="A117:E117"/>
    <mergeCell ref="C118:E118"/>
    <mergeCell ref="C128:E128"/>
    <mergeCell ref="B135:C135"/>
    <mergeCell ref="D135:E135"/>
    <mergeCell ref="F135:G135"/>
    <mergeCell ref="A122:E122"/>
    <mergeCell ref="C123:E123"/>
    <mergeCell ref="A134:G134"/>
    <mergeCell ref="A127:E127"/>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99CE8-3D18-E74F-91B5-A199C795A376}">
  <dimension ref="A1:Z185"/>
  <sheetViews>
    <sheetView topLeftCell="B131" zoomScale="150" zoomScaleNormal="150" workbookViewId="0">
      <selection activeCell="D164" sqref="D164:E164"/>
    </sheetView>
  </sheetViews>
  <sheetFormatPr defaultColWidth="11.42578125" defaultRowHeight="15"/>
  <cols>
    <col min="1" max="1" width="22.28515625" bestFit="1" customWidth="1"/>
    <col min="2" max="2" width="34" bestFit="1" customWidth="1"/>
    <col min="3" max="3" width="35.7109375" bestFit="1" customWidth="1"/>
    <col min="4" max="5" width="35" customWidth="1"/>
    <col min="6" max="6" width="32.42578125" bestFit="1" customWidth="1"/>
    <col min="7" max="7" width="21" bestFit="1" customWidth="1"/>
    <col min="8" max="9" width="9.7109375" bestFit="1" customWidth="1"/>
    <col min="10" max="10" width="12.85546875" bestFit="1" customWidth="1"/>
    <col min="11" max="11" width="9.7109375" bestFit="1" customWidth="1"/>
    <col min="12" max="12" width="11.7109375" bestFit="1" customWidth="1"/>
    <col min="15" max="15" width="37.85546875" bestFit="1" customWidth="1"/>
    <col min="26" max="26" width="12.7109375" bestFit="1" customWidth="1"/>
  </cols>
  <sheetData>
    <row r="1" spans="1:6" ht="15.95" thickBot="1">
      <c r="A1" s="5" t="s">
        <v>601</v>
      </c>
    </row>
    <row r="2" spans="1:6" ht="15.95" thickBot="1">
      <c r="A2" s="224" t="s">
        <v>164</v>
      </c>
      <c r="B2" s="225"/>
      <c r="C2" s="226"/>
      <c r="E2" s="1" t="s">
        <v>234</v>
      </c>
    </row>
    <row r="3" spans="1:6">
      <c r="A3" s="103" t="s">
        <v>539</v>
      </c>
      <c r="B3" s="101" t="s">
        <v>540</v>
      </c>
      <c r="C3" s="102" t="s">
        <v>236</v>
      </c>
      <c r="E3" s="2" t="s">
        <v>237</v>
      </c>
    </row>
    <row r="4" spans="1:6">
      <c r="A4" s="74" t="s">
        <v>238</v>
      </c>
      <c r="B4" cm="1">
        <f t="array" ref="B4:B5">'1. EV Forecast'!B4:B5</f>
        <v>1000000</v>
      </c>
      <c r="C4" s="75">
        <v>1</v>
      </c>
    </row>
    <row r="5" spans="1:6" ht="15.95" thickBot="1">
      <c r="A5" s="76" t="s">
        <v>239</v>
      </c>
      <c r="B5" s="7">
        <v>2000000</v>
      </c>
      <c r="C5" s="77">
        <v>1</v>
      </c>
    </row>
    <row r="7" spans="1:6" ht="15.95" thickBot="1">
      <c r="A7" s="5" t="s">
        <v>602</v>
      </c>
    </row>
    <row r="8" spans="1:6" ht="15.95" thickBot="1">
      <c r="A8" s="190" t="s">
        <v>167</v>
      </c>
      <c r="B8" s="192"/>
      <c r="C8" s="192"/>
      <c r="D8" s="191"/>
      <c r="E8" s="5"/>
      <c r="F8" s="5"/>
    </row>
    <row r="9" spans="1:6">
      <c r="A9" s="263" t="s">
        <v>542</v>
      </c>
      <c r="B9" s="265"/>
      <c r="C9" s="263" t="s">
        <v>543</v>
      </c>
      <c r="D9" s="265"/>
    </row>
    <row r="10" spans="1:6">
      <c r="A10" s="72" t="s">
        <v>271</v>
      </c>
      <c r="B10" s="73" t="s">
        <v>603</v>
      </c>
      <c r="C10" s="5" t="s">
        <v>271</v>
      </c>
      <c r="D10" s="73" t="s">
        <v>603</v>
      </c>
    </row>
    <row r="11" spans="1:6">
      <c r="A11" s="74" t="s">
        <v>286</v>
      </c>
      <c r="B11" s="169" cm="1">
        <f t="array" ref="B11:B16">('6. Global Mineral Production'!B95:B100)</f>
        <v>962370</v>
      </c>
      <c r="C11" t="s">
        <v>286</v>
      </c>
      <c r="D11" s="166" cm="1">
        <f t="array" ref="D11:D16">('7.US Mineral Production&amp;Imports'!B152:B157)</f>
        <v>626743.16820000007</v>
      </c>
    </row>
    <row r="12" spans="1:6">
      <c r="A12" s="74" t="s">
        <v>290</v>
      </c>
      <c r="B12" s="169">
        <v>4581.18</v>
      </c>
      <c r="C12" t="s">
        <v>290</v>
      </c>
      <c r="D12" s="166">
        <v>1833.96</v>
      </c>
    </row>
    <row r="13" spans="1:6">
      <c r="A13" s="74" t="s">
        <v>254</v>
      </c>
      <c r="B13" s="169">
        <v>28396.7</v>
      </c>
      <c r="C13" t="s">
        <v>254</v>
      </c>
      <c r="D13" s="166">
        <v>16767.842125000003</v>
      </c>
    </row>
    <row r="14" spans="1:6">
      <c r="A14" s="74" t="s">
        <v>287</v>
      </c>
      <c r="B14" s="169">
        <v>55063.400592000005</v>
      </c>
      <c r="C14" t="s">
        <v>287</v>
      </c>
      <c r="D14" s="166">
        <v>666.9871599999999</v>
      </c>
    </row>
    <row r="15" spans="1:6">
      <c r="A15" s="74" t="s">
        <v>289</v>
      </c>
      <c r="B15" s="169">
        <v>414871.386</v>
      </c>
      <c r="C15" t="s">
        <v>289</v>
      </c>
      <c r="D15" s="166">
        <v>14161.092800000002</v>
      </c>
    </row>
    <row r="16" spans="1:6" ht="15.95" thickBot="1">
      <c r="A16" s="76" t="s">
        <v>288</v>
      </c>
      <c r="B16" s="170">
        <v>153261.25900000002</v>
      </c>
      <c r="C16" s="7" t="s">
        <v>288</v>
      </c>
      <c r="D16" s="168">
        <v>64086.613500000007</v>
      </c>
    </row>
    <row r="18" spans="1:7" ht="15.95" thickBot="1">
      <c r="A18" s="5" t="s">
        <v>604</v>
      </c>
    </row>
    <row r="19" spans="1:7" ht="15.95" thickBot="1">
      <c r="A19" s="190" t="s">
        <v>605</v>
      </c>
      <c r="B19" s="192"/>
      <c r="C19" s="192"/>
      <c r="D19" s="192"/>
      <c r="E19" s="191"/>
    </row>
    <row r="20" spans="1:7">
      <c r="A20" s="72" t="s">
        <v>271</v>
      </c>
      <c r="B20" s="5" t="s">
        <v>535</v>
      </c>
      <c r="C20" s="5" t="s">
        <v>520</v>
      </c>
      <c r="D20" s="5" t="s">
        <v>536</v>
      </c>
      <c r="E20" s="73" t="s">
        <v>537</v>
      </c>
    </row>
    <row r="21" spans="1:7">
      <c r="A21" s="74" t="s">
        <v>286</v>
      </c>
      <c r="B21" s="165" cm="1">
        <f t="array" ref="B21:E26">'8. Mineral Market Values'!B58:E63</f>
        <v>2123.4399999999996</v>
      </c>
      <c r="C21" s="165">
        <v>280.21471767200518</v>
      </c>
      <c r="D21" s="165">
        <v>1843.2252823279944</v>
      </c>
      <c r="E21" s="166">
        <v>2403.6547176720046</v>
      </c>
    </row>
    <row r="22" spans="1:7">
      <c r="A22" s="74" t="s">
        <v>290</v>
      </c>
      <c r="B22" s="165">
        <v>46992</v>
      </c>
      <c r="C22" s="165">
        <v>23574.773381731582</v>
      </c>
      <c r="D22" s="165">
        <v>23417.226618268418</v>
      </c>
      <c r="E22" s="166">
        <v>70566.773381731589</v>
      </c>
    </row>
    <row r="23" spans="1:7">
      <c r="A23" s="74" t="s">
        <v>254</v>
      </c>
      <c r="B23" s="165">
        <v>1013.6688277832823</v>
      </c>
      <c r="C23" s="165">
        <v>202.89523261354051</v>
      </c>
      <c r="D23" s="165">
        <v>810.77359516974172</v>
      </c>
      <c r="E23" s="166">
        <v>1216.5640603968227</v>
      </c>
    </row>
    <row r="24" spans="1:7">
      <c r="A24" s="74" t="s">
        <v>287</v>
      </c>
      <c r="B24" s="165">
        <v>2618.5489437143901</v>
      </c>
      <c r="C24" s="165">
        <v>707.05336924779601</v>
      </c>
      <c r="D24" s="165">
        <v>1911.495574466594</v>
      </c>
      <c r="E24" s="166">
        <v>3325.6023129621863</v>
      </c>
    </row>
    <row r="25" spans="1:7">
      <c r="A25" s="74" t="s">
        <v>289</v>
      </c>
      <c r="B25" s="165">
        <v>5710</v>
      </c>
      <c r="C25" s="165">
        <v>960.59877160029725</v>
      </c>
      <c r="D25" s="165">
        <v>4749.4012283997026</v>
      </c>
      <c r="E25" s="166">
        <v>6670.5987716002974</v>
      </c>
    </row>
    <row r="26" spans="1:7" ht="15.95" thickBot="1">
      <c r="A26" s="76" t="s">
        <v>288</v>
      </c>
      <c r="B26" s="167">
        <v>12361.4</v>
      </c>
      <c r="C26" s="167">
        <v>2855.8701476082579</v>
      </c>
      <c r="D26" s="167">
        <v>9505.5298523917409</v>
      </c>
      <c r="E26" s="168">
        <v>15217.270147608258</v>
      </c>
    </row>
    <row r="28" spans="1:7" ht="15.95" thickBot="1">
      <c r="A28" s="5" t="s">
        <v>606</v>
      </c>
    </row>
    <row r="29" spans="1:7" ht="15.95" thickBot="1">
      <c r="A29" s="190" t="s">
        <v>202</v>
      </c>
      <c r="B29" s="192"/>
      <c r="C29" s="192"/>
      <c r="D29" s="192"/>
      <c r="E29" s="191"/>
    </row>
    <row r="30" spans="1:7" ht="15.95" thickBot="1">
      <c r="A30" s="254" t="s">
        <v>26</v>
      </c>
      <c r="B30" s="255"/>
      <c r="C30" s="255"/>
      <c r="D30" s="255"/>
      <c r="E30" s="256"/>
    </row>
    <row r="31" spans="1:7">
      <c r="A31" s="103" t="s">
        <v>271</v>
      </c>
      <c r="B31" s="101" t="s">
        <v>607</v>
      </c>
      <c r="C31" s="101" t="s">
        <v>608</v>
      </c>
      <c r="D31" s="101" t="s">
        <v>609</v>
      </c>
      <c r="E31" s="102" t="s">
        <v>610</v>
      </c>
      <c r="F31" s="5"/>
      <c r="G31" s="5"/>
    </row>
    <row r="32" spans="1:7">
      <c r="A32" s="74" t="s">
        <v>286</v>
      </c>
      <c r="B32" s="3" cm="1">
        <f t="array" ref="B32:B37">(_xlfn.ANCHORARRAY('2. BEV Battery Chemistry Stats'!B158))/1000</f>
        <v>8.4715909090909078E-2</v>
      </c>
      <c r="C32" s="108">
        <f>B32*B21</f>
        <v>179.88914999999994</v>
      </c>
      <c r="D32" s="108">
        <f t="shared" ref="D32:D37" si="0">B32*D21</f>
        <v>156.15050545176359</v>
      </c>
      <c r="E32" s="97">
        <f t="shared" ref="E32:E37" si="1">B32*E21</f>
        <v>203.62779454823627</v>
      </c>
      <c r="G32" s="4"/>
    </row>
    <row r="33" spans="1:26">
      <c r="A33" s="74" t="s">
        <v>290</v>
      </c>
      <c r="B33" s="3">
        <v>0</v>
      </c>
      <c r="C33" s="108">
        <f t="shared" ref="C33:C37" si="2">B33*B22</f>
        <v>0</v>
      </c>
      <c r="D33" s="108">
        <f t="shared" si="0"/>
        <v>0</v>
      </c>
      <c r="E33" s="97">
        <f t="shared" si="1"/>
        <v>0</v>
      </c>
      <c r="G33" s="4"/>
    </row>
    <row r="34" spans="1:26">
      <c r="A34" s="74" t="s">
        <v>254</v>
      </c>
      <c r="B34" s="3">
        <v>9.2461363636363633E-2</v>
      </c>
      <c r="C34" s="108">
        <f t="shared" si="2"/>
        <v>93.725202092516525</v>
      </c>
      <c r="D34" s="108">
        <f t="shared" si="0"/>
        <v>74.965232209751363</v>
      </c>
      <c r="E34" s="97">
        <f t="shared" si="1"/>
        <v>112.48517197528167</v>
      </c>
      <c r="G34" s="4"/>
      <c r="H34" s="4"/>
      <c r="I34" s="113"/>
      <c r="J34" s="113"/>
    </row>
    <row r="35" spans="1:26">
      <c r="A35" s="74" t="s">
        <v>287</v>
      </c>
      <c r="B35" s="3">
        <v>8.7732831037363387E-3</v>
      </c>
      <c r="C35" s="108">
        <f t="shared" si="2"/>
        <v>22.973271204196095</v>
      </c>
      <c r="D35" s="108">
        <f t="shared" si="0"/>
        <v>16.770091826334557</v>
      </c>
      <c r="E35" s="97">
        <f t="shared" si="1"/>
        <v>29.176450582057637</v>
      </c>
      <c r="G35" s="4"/>
    </row>
    <row r="36" spans="1:26">
      <c r="A36" s="74" t="s">
        <v>289</v>
      </c>
      <c r="B36" s="3">
        <v>0</v>
      </c>
      <c r="C36" s="108">
        <f t="shared" si="2"/>
        <v>0</v>
      </c>
      <c r="D36" s="108">
        <f t="shared" si="0"/>
        <v>0</v>
      </c>
      <c r="E36" s="97">
        <f t="shared" si="1"/>
        <v>0</v>
      </c>
      <c r="G36" s="4"/>
    </row>
    <row r="37" spans="1:26" ht="15.95" thickBot="1">
      <c r="A37" s="76" t="s">
        <v>288</v>
      </c>
      <c r="B37" s="129">
        <v>0</v>
      </c>
      <c r="C37" s="124">
        <f t="shared" si="2"/>
        <v>0</v>
      </c>
      <c r="D37" s="124">
        <f t="shared" si="0"/>
        <v>0</v>
      </c>
      <c r="E37" s="98">
        <f t="shared" si="1"/>
        <v>0</v>
      </c>
      <c r="G37" s="4"/>
    </row>
    <row r="38" spans="1:26" ht="15.95" thickBot="1">
      <c r="A38" s="74"/>
      <c r="B38" s="106" t="s">
        <v>383</v>
      </c>
      <c r="C38" s="173">
        <f>SUM(C32:C37)</f>
        <v>296.58762329671254</v>
      </c>
      <c r="D38" s="173">
        <f>SUM(D32:D37)</f>
        <v>247.88582948784952</v>
      </c>
      <c r="E38" s="174">
        <f>SUM(E32:E37)</f>
        <v>345.28941710557552</v>
      </c>
    </row>
    <row r="39" spans="1:26" ht="15.95" thickBot="1">
      <c r="A39" s="74"/>
      <c r="E39" s="75"/>
    </row>
    <row r="40" spans="1:26" ht="15.95" thickBot="1">
      <c r="A40" s="254" t="s">
        <v>30</v>
      </c>
      <c r="B40" s="255"/>
      <c r="C40" s="255"/>
      <c r="D40" s="255"/>
      <c r="E40" s="256"/>
      <c r="J40" s="274"/>
      <c r="K40" s="274"/>
    </row>
    <row r="41" spans="1:26">
      <c r="A41" s="103" t="s">
        <v>271</v>
      </c>
      <c r="B41" s="101" t="s">
        <v>607</v>
      </c>
      <c r="C41" s="101" t="s">
        <v>608</v>
      </c>
      <c r="D41" s="101" t="s">
        <v>609</v>
      </c>
      <c r="E41" s="102" t="s">
        <v>610</v>
      </c>
      <c r="F41" s="5"/>
      <c r="G41" s="5"/>
      <c r="H41" s="5"/>
      <c r="I41" s="5"/>
      <c r="J41" s="5"/>
      <c r="K41" s="5"/>
      <c r="L41" s="5"/>
      <c r="M41" s="5"/>
      <c r="N41" s="5"/>
      <c r="O41" s="5"/>
      <c r="P41" s="5" t="s">
        <v>611</v>
      </c>
      <c r="Q41" s="5" t="s">
        <v>612</v>
      </c>
      <c r="R41" s="5" t="s">
        <v>613</v>
      </c>
      <c r="X41" t="s">
        <v>614</v>
      </c>
      <c r="Y41" t="s">
        <v>615</v>
      </c>
    </row>
    <row r="42" spans="1:26">
      <c r="A42" s="74" t="s">
        <v>286</v>
      </c>
      <c r="B42" s="3" cm="1">
        <f t="array" ref="B42:B47">_xlfn.ANCHORARRAY('2. BEV Battery Chemistry Stats'!C158)/1000</f>
        <v>6.2039212007476786E-2</v>
      </c>
      <c r="C42" s="108">
        <f t="shared" ref="C42:C47" si="3">B42*B21</f>
        <v>131.73654434515649</v>
      </c>
      <c r="D42" s="108">
        <f t="shared" ref="D42:D47" si="4">B42*D21</f>
        <v>114.3522440678877</v>
      </c>
      <c r="E42" s="97">
        <f t="shared" ref="E42:E47" si="5">B42*E21</f>
        <v>149.12084462242527</v>
      </c>
      <c r="F42" s="117"/>
      <c r="G42" s="112"/>
      <c r="H42" s="112"/>
      <c r="I42" s="112"/>
      <c r="J42" s="114"/>
      <c r="K42" s="114"/>
      <c r="L42" s="4"/>
      <c r="U42" t="s">
        <v>616</v>
      </c>
      <c r="W42" t="s">
        <v>290</v>
      </c>
      <c r="X42" t="s">
        <v>617</v>
      </c>
      <c r="Y42" t="s">
        <v>618</v>
      </c>
      <c r="Z42" t="s">
        <v>619</v>
      </c>
    </row>
    <row r="43" spans="1:26">
      <c r="A43" s="74" t="s">
        <v>290</v>
      </c>
      <c r="B43" s="3">
        <v>1.0910311998181819E-2</v>
      </c>
      <c r="C43" s="108">
        <f t="shared" si="3"/>
        <v>512.6973814185601</v>
      </c>
      <c r="D43" s="108">
        <f t="shared" si="4"/>
        <v>255.48924853743659</v>
      </c>
      <c r="E43" s="97">
        <f t="shared" si="5"/>
        <v>769.90551429968355</v>
      </c>
      <c r="F43" s="117"/>
      <c r="G43" s="112"/>
      <c r="H43" s="112"/>
      <c r="I43" s="112"/>
      <c r="J43" s="114"/>
      <c r="K43" s="114"/>
      <c r="N43" s="115"/>
      <c r="U43" s="74" t="s">
        <v>286</v>
      </c>
      <c r="V43" s="4">
        <f t="shared" ref="V43:V48" si="6">C42/$C$48</f>
        <v>9.0837182683398326E-2</v>
      </c>
      <c r="X43" s="116">
        <f>B43*0.15</f>
        <v>1.6365467997272729E-3</v>
      </c>
      <c r="Y43" s="113">
        <f>H43/X43</f>
        <v>0</v>
      </c>
      <c r="Z43" s="113">
        <f>I43/X43</f>
        <v>0</v>
      </c>
    </row>
    <row r="44" spans="1:26">
      <c r="A44" s="74" t="s">
        <v>254</v>
      </c>
      <c r="B44" s="3">
        <v>7.8613363636363634E-2</v>
      </c>
      <c r="C44" s="108">
        <f t="shared" si="3"/>
        <v>79.687916165373636</v>
      </c>
      <c r="D44" s="108">
        <f t="shared" si="4"/>
        <v>63.737639463840786</v>
      </c>
      <c r="E44" s="97">
        <f t="shared" si="5"/>
        <v>95.638192866906479</v>
      </c>
      <c r="F44" s="117"/>
      <c r="G44" s="112"/>
      <c r="H44" s="112"/>
      <c r="I44" s="112"/>
      <c r="J44" s="114"/>
      <c r="K44" s="114"/>
      <c r="N44" s="115"/>
      <c r="O44" s="115"/>
      <c r="P44" s="115">
        <f>(H43-O44)</f>
        <v>0</v>
      </c>
      <c r="Q44" s="115">
        <f>P44/B43</f>
        <v>0</v>
      </c>
      <c r="R44" s="115">
        <f>N44+Q44</f>
        <v>0</v>
      </c>
      <c r="S44" s="115">
        <f>R44/0.8</f>
        <v>0</v>
      </c>
      <c r="U44" s="74" t="s">
        <v>290</v>
      </c>
      <c r="V44" s="4">
        <f t="shared" si="6"/>
        <v>0.35352366291920267</v>
      </c>
    </row>
    <row r="45" spans="1:26">
      <c r="A45" s="74" t="s">
        <v>287</v>
      </c>
      <c r="B45" s="3">
        <v>8.4207462706395921E-3</v>
      </c>
      <c r="C45" s="108">
        <f t="shared" si="3"/>
        <v>22.050136252270192</v>
      </c>
      <c r="D45" s="108">
        <f t="shared" si="4"/>
        <v>16.096219230033658</v>
      </c>
      <c r="E45" s="97">
        <f t="shared" si="5"/>
        <v>28.004053274506731</v>
      </c>
      <c r="F45" s="117"/>
      <c r="G45" s="112"/>
      <c r="H45" s="112"/>
      <c r="I45" s="112"/>
      <c r="J45" s="114"/>
      <c r="K45" s="114"/>
      <c r="U45" s="74" t="s">
        <v>254</v>
      </c>
      <c r="V45" s="4">
        <f t="shared" si="6"/>
        <v>5.4947743121360505E-2</v>
      </c>
    </row>
    <row r="46" spans="1:26">
      <c r="A46" s="74" t="s">
        <v>289</v>
      </c>
      <c r="B46" s="3">
        <v>0</v>
      </c>
      <c r="C46" s="108">
        <f t="shared" si="3"/>
        <v>0</v>
      </c>
      <c r="D46" s="108">
        <f t="shared" si="4"/>
        <v>0</v>
      </c>
      <c r="E46" s="97">
        <f t="shared" si="5"/>
        <v>0</v>
      </c>
      <c r="F46" s="117"/>
      <c r="G46" s="112"/>
      <c r="H46" s="112"/>
      <c r="I46" s="112"/>
      <c r="J46" s="114"/>
      <c r="K46" s="114"/>
      <c r="U46" s="74" t="s">
        <v>287</v>
      </c>
      <c r="V46" s="4">
        <f t="shared" si="6"/>
        <v>1.5204378290760396E-2</v>
      </c>
    </row>
    <row r="47" spans="1:26" ht="15.95" thickBot="1">
      <c r="A47" s="76" t="s">
        <v>288</v>
      </c>
      <c r="B47" s="129">
        <v>5.6957718613388164E-2</v>
      </c>
      <c r="C47" s="124">
        <f t="shared" si="3"/>
        <v>704.07714286753639</v>
      </c>
      <c r="D47" s="124">
        <f t="shared" si="4"/>
        <v>541.41329460368991</v>
      </c>
      <c r="E47" s="98">
        <f t="shared" si="5"/>
        <v>866.740991131383</v>
      </c>
      <c r="F47" s="117"/>
      <c r="G47" s="112"/>
      <c r="H47" s="112"/>
      <c r="I47" s="112"/>
      <c r="J47" s="114"/>
      <c r="K47" s="114"/>
      <c r="U47" s="74" t="s">
        <v>289</v>
      </c>
      <c r="V47" s="4">
        <f t="shared" si="6"/>
        <v>0</v>
      </c>
    </row>
    <row r="48" spans="1:26" ht="15.95" thickBot="1">
      <c r="A48" s="74"/>
      <c r="B48" s="106" t="s">
        <v>383</v>
      </c>
      <c r="C48" s="173">
        <f>SUM(C42:C47)</f>
        <v>1450.2491210488968</v>
      </c>
      <c r="D48" s="173">
        <f t="shared" ref="D48:E48" si="7">SUM(D42:D47)</f>
        <v>991.08864590288863</v>
      </c>
      <c r="E48" s="174">
        <f t="shared" si="7"/>
        <v>1909.4095961949049</v>
      </c>
      <c r="U48" s="74" t="s">
        <v>288</v>
      </c>
      <c r="V48" s="4">
        <f t="shared" si="6"/>
        <v>0.48548703298527818</v>
      </c>
    </row>
    <row r="49" spans="1:10" ht="15.95" thickBot="1">
      <c r="A49" s="74"/>
      <c r="E49" s="75"/>
    </row>
    <row r="50" spans="1:10" ht="15.95" thickBot="1">
      <c r="A50" s="254" t="s">
        <v>32</v>
      </c>
      <c r="B50" s="255"/>
      <c r="C50" s="255"/>
      <c r="D50" s="255"/>
      <c r="E50" s="256"/>
    </row>
    <row r="51" spans="1:10">
      <c r="A51" s="72" t="s">
        <v>271</v>
      </c>
      <c r="B51" s="5" t="s">
        <v>607</v>
      </c>
      <c r="C51" s="5" t="s">
        <v>608</v>
      </c>
      <c r="D51" s="5" t="s">
        <v>609</v>
      </c>
      <c r="E51" s="73" t="s">
        <v>610</v>
      </c>
      <c r="F51" s="5"/>
      <c r="G51" s="5"/>
    </row>
    <row r="52" spans="1:10">
      <c r="A52" s="74" t="s">
        <v>286</v>
      </c>
      <c r="B52" s="3" cm="1">
        <f t="array" ref="B52:B57">_xlfn.ANCHORARRAY('2. BEV Battery Chemistry Stats'!D158)/1000</f>
        <v>6.4425568181818174E-2</v>
      </c>
      <c r="C52" s="108">
        <f t="shared" ref="C52:C57" si="8">B52*B21</f>
        <v>136.80382849999995</v>
      </c>
      <c r="D52" s="108">
        <f t="shared" ref="D52:D57" si="9">B52*D21</f>
        <v>118.75083610107326</v>
      </c>
      <c r="E52" s="97">
        <f t="shared" ref="E52:E57" si="10">B52*E21</f>
        <v>154.85682089892666</v>
      </c>
      <c r="G52" s="4"/>
    </row>
    <row r="53" spans="1:10">
      <c r="A53" s="74" t="s">
        <v>290</v>
      </c>
      <c r="B53" s="3">
        <v>1.7636397968457725E-2</v>
      </c>
      <c r="C53" s="108">
        <f t="shared" si="8"/>
        <v>828.76961333376539</v>
      </c>
      <c r="D53" s="108">
        <f t="shared" si="9"/>
        <v>412.99552795734331</v>
      </c>
      <c r="E53" s="97">
        <f t="shared" si="10"/>
        <v>1244.5436987101878</v>
      </c>
      <c r="G53" s="4"/>
      <c r="I53" s="113"/>
      <c r="J53" s="113"/>
    </row>
    <row r="54" spans="1:10">
      <c r="A54" s="74" t="s">
        <v>254</v>
      </c>
      <c r="B54" s="3">
        <v>7.923147727272728E-2</v>
      </c>
      <c r="C54" s="108">
        <f t="shared" si="8"/>
        <v>80.314478690583229</v>
      </c>
      <c r="D54" s="108">
        <f t="shared" si="9"/>
        <v>64.23878967901878</v>
      </c>
      <c r="E54" s="97">
        <f t="shared" si="10"/>
        <v>96.390167702147679</v>
      </c>
      <c r="G54" s="4"/>
    </row>
    <row r="55" spans="1:10">
      <c r="A55" s="74" t="s">
        <v>287</v>
      </c>
      <c r="B55" s="3">
        <v>9.4582582943465963E-3</v>
      </c>
      <c r="C55" s="108">
        <f t="shared" si="8"/>
        <v>24.766912266039149</v>
      </c>
      <c r="D55" s="108">
        <f t="shared" si="9"/>
        <v>18.079418871805476</v>
      </c>
      <c r="E55" s="97">
        <f t="shared" si="10"/>
        <v>31.454405660272823</v>
      </c>
      <c r="G55" s="4"/>
    </row>
    <row r="56" spans="1:10">
      <c r="A56" s="74" t="s">
        <v>289</v>
      </c>
      <c r="B56" s="3">
        <v>1.8352924410401265E-2</v>
      </c>
      <c r="C56" s="108">
        <f t="shared" si="8"/>
        <v>104.79519838339122</v>
      </c>
      <c r="D56" s="108">
        <f t="shared" si="9"/>
        <v>87.165401739486654</v>
      </c>
      <c r="E56" s="97">
        <f t="shared" si="10"/>
        <v>122.42499502729579</v>
      </c>
      <c r="G56" s="4"/>
    </row>
    <row r="57" spans="1:10" ht="15.95" thickBot="1">
      <c r="A57" s="76" t="s">
        <v>288</v>
      </c>
      <c r="B57" s="129">
        <v>4.326328212575288E-2</v>
      </c>
      <c r="C57" s="124">
        <f t="shared" si="8"/>
        <v>534.79473566928164</v>
      </c>
      <c r="D57" s="124">
        <f t="shared" si="9"/>
        <v>411.24041975879004</v>
      </c>
      <c r="E57" s="98">
        <f t="shared" si="10"/>
        <v>658.34905157977323</v>
      </c>
      <c r="G57" s="4"/>
    </row>
    <row r="58" spans="1:10" ht="15.95" thickBot="1">
      <c r="B58" s="78" t="s">
        <v>383</v>
      </c>
      <c r="C58" s="173">
        <f>SUM(C52:C57)</f>
        <v>1710.2447668430605</v>
      </c>
      <c r="D58" s="173">
        <f t="shared" ref="D58:E58" si="11">SUM(D52:D57)</f>
        <v>1112.4703941075177</v>
      </c>
      <c r="E58" s="174">
        <f t="shared" si="11"/>
        <v>2308.0191395786042</v>
      </c>
      <c r="G58" s="4"/>
    </row>
    <row r="60" spans="1:10" ht="15.95" thickBot="1">
      <c r="A60" s="5" t="s">
        <v>620</v>
      </c>
      <c r="B60" s="107"/>
      <c r="C60" s="107"/>
      <c r="D60" s="107"/>
      <c r="E60" s="107"/>
      <c r="F60" s="107"/>
      <c r="G60" s="107"/>
    </row>
    <row r="61" spans="1:10" ht="15.95" thickBot="1">
      <c r="A61" s="224" t="s">
        <v>621</v>
      </c>
      <c r="B61" s="225"/>
      <c r="C61" s="225"/>
      <c r="D61" s="226"/>
    </row>
    <row r="62" spans="1:10" ht="15.95" thickBot="1">
      <c r="A62" s="254" t="s">
        <v>26</v>
      </c>
      <c r="B62" s="255"/>
      <c r="C62" s="255"/>
      <c r="D62" s="256"/>
    </row>
    <row r="63" spans="1:10">
      <c r="A63" s="110" t="s">
        <v>271</v>
      </c>
      <c r="B63" s="5" t="s">
        <v>622</v>
      </c>
      <c r="C63" s="5" t="s">
        <v>623</v>
      </c>
      <c r="D63" s="73" t="s">
        <v>624</v>
      </c>
      <c r="E63" s="5"/>
      <c r="F63" s="5"/>
      <c r="G63" s="5"/>
      <c r="H63" s="5"/>
    </row>
    <row r="64" spans="1:10">
      <c r="A64" s="109" t="s">
        <v>286</v>
      </c>
      <c r="B64" s="171">
        <f>B32*1000000</f>
        <v>84715.909090909074</v>
      </c>
      <c r="C64" s="171">
        <f>$B11-B64</f>
        <v>877654.09090909094</v>
      </c>
      <c r="D64" s="169">
        <f t="shared" ref="D64:D67" si="12">$D11-B64</f>
        <v>542027.25910909101</v>
      </c>
      <c r="E64" s="149"/>
      <c r="F64" s="149"/>
      <c r="G64" s="108"/>
    </row>
    <row r="65" spans="1:8">
      <c r="A65" s="109" t="s">
        <v>290</v>
      </c>
      <c r="B65" s="171"/>
      <c r="C65" s="171"/>
      <c r="D65" s="169"/>
      <c r="E65" s="149"/>
      <c r="F65" s="149"/>
      <c r="G65" s="108"/>
    </row>
    <row r="66" spans="1:8">
      <c r="A66" s="109" t="s">
        <v>254</v>
      </c>
      <c r="B66" s="171">
        <f>B34*1000000</f>
        <v>92461.363636363632</v>
      </c>
      <c r="C66" s="171">
        <f t="shared" ref="C66:C67" si="13">$B13-B66</f>
        <v>-64064.663636363635</v>
      </c>
      <c r="D66" s="169">
        <f t="shared" si="12"/>
        <v>-75693.521511363622</v>
      </c>
      <c r="E66" s="149"/>
      <c r="F66" s="149"/>
      <c r="G66" s="108"/>
    </row>
    <row r="67" spans="1:8">
      <c r="A67" s="109" t="s">
        <v>287</v>
      </c>
      <c r="B67" s="171">
        <f>B35*1000000</f>
        <v>8773.2831037363394</v>
      </c>
      <c r="C67" s="171">
        <f t="shared" si="13"/>
        <v>46290.11748826367</v>
      </c>
      <c r="D67" s="169">
        <f t="shared" si="12"/>
        <v>-8106.2959437363397</v>
      </c>
      <c r="E67" s="149"/>
      <c r="F67" s="149"/>
      <c r="G67" s="108"/>
    </row>
    <row r="68" spans="1:8">
      <c r="A68" s="109" t="s">
        <v>289</v>
      </c>
      <c r="B68" s="171"/>
      <c r="C68" s="171"/>
      <c r="D68" s="169"/>
      <c r="E68" s="149"/>
      <c r="F68" s="149"/>
      <c r="G68" s="108"/>
    </row>
    <row r="69" spans="1:8" ht="15.95" thickBot="1">
      <c r="A69" s="130" t="s">
        <v>288</v>
      </c>
      <c r="B69" s="172"/>
      <c r="C69" s="172"/>
      <c r="D69" s="170"/>
      <c r="E69" s="149"/>
      <c r="F69" s="149"/>
      <c r="G69" s="108"/>
    </row>
    <row r="70" spans="1:8" ht="15.95" thickBot="1">
      <c r="A70" s="74"/>
      <c r="D70" s="75"/>
    </row>
    <row r="71" spans="1:8" ht="15.95" thickBot="1">
      <c r="A71" s="254" t="s">
        <v>30</v>
      </c>
      <c r="B71" s="255"/>
      <c r="C71" s="255"/>
      <c r="D71" s="256"/>
    </row>
    <row r="72" spans="1:8">
      <c r="A72" s="110" t="s">
        <v>271</v>
      </c>
      <c r="B72" s="5" t="s">
        <v>622</v>
      </c>
      <c r="C72" s="5" t="s">
        <v>623</v>
      </c>
      <c r="D72" s="73" t="s">
        <v>624</v>
      </c>
      <c r="E72" s="5"/>
      <c r="F72" s="5"/>
      <c r="G72" s="5"/>
      <c r="H72" s="5"/>
    </row>
    <row r="73" spans="1:8">
      <c r="A73" s="109" t="s">
        <v>286</v>
      </c>
      <c r="B73" s="171">
        <f t="shared" ref="B73:B78" si="14">B42*1000000</f>
        <v>62039.212007476788</v>
      </c>
      <c r="C73" s="171">
        <f t="shared" ref="C73:C78" si="15">$B11-B73</f>
        <v>900330.78799252317</v>
      </c>
      <c r="D73" s="169">
        <f t="shared" ref="D73:D78" si="16">$D11-B73</f>
        <v>564703.95619252324</v>
      </c>
      <c r="F73" s="108"/>
      <c r="G73" s="108"/>
    </row>
    <row r="74" spans="1:8">
      <c r="A74" s="109" t="s">
        <v>290</v>
      </c>
      <c r="B74" s="171">
        <f t="shared" si="14"/>
        <v>10910.31199818182</v>
      </c>
      <c r="C74" s="171">
        <f t="shared" si="15"/>
        <v>-6329.1319981818197</v>
      </c>
      <c r="D74" s="169">
        <f t="shared" si="16"/>
        <v>-9076.3519981818208</v>
      </c>
      <c r="F74" s="108"/>
      <c r="G74" s="108"/>
    </row>
    <row r="75" spans="1:8">
      <c r="A75" s="109" t="s">
        <v>254</v>
      </c>
      <c r="B75" s="171">
        <f t="shared" si="14"/>
        <v>78613.363636363632</v>
      </c>
      <c r="C75" s="171">
        <f t="shared" si="15"/>
        <v>-50216.663636363635</v>
      </c>
      <c r="D75" s="169">
        <f t="shared" si="16"/>
        <v>-61845.52151136363</v>
      </c>
      <c r="F75" s="108"/>
      <c r="G75" s="108"/>
    </row>
    <row r="76" spans="1:8">
      <c r="A76" s="109" t="s">
        <v>287</v>
      </c>
      <c r="B76" s="171">
        <f t="shared" si="14"/>
        <v>8420.7462706395927</v>
      </c>
      <c r="C76" s="171">
        <f t="shared" si="15"/>
        <v>46642.654321360416</v>
      </c>
      <c r="D76" s="169">
        <f t="shared" si="16"/>
        <v>-7753.759110639593</v>
      </c>
      <c r="F76" s="108"/>
      <c r="G76" s="108"/>
    </row>
    <row r="77" spans="1:8">
      <c r="A77" s="109" t="s">
        <v>289</v>
      </c>
      <c r="B77" s="171">
        <f t="shared" si="14"/>
        <v>0</v>
      </c>
      <c r="C77" s="171">
        <f t="shared" si="15"/>
        <v>414871.386</v>
      </c>
      <c r="D77" s="169">
        <f t="shared" si="16"/>
        <v>14161.092800000002</v>
      </c>
      <c r="F77" s="108"/>
      <c r="G77" s="108"/>
    </row>
    <row r="78" spans="1:8" ht="15.95" thickBot="1">
      <c r="A78" s="130" t="s">
        <v>288</v>
      </c>
      <c r="B78" s="172">
        <f t="shared" si="14"/>
        <v>56957.718613388162</v>
      </c>
      <c r="C78" s="172">
        <f t="shared" si="15"/>
        <v>96303.540386611858</v>
      </c>
      <c r="D78" s="170">
        <f t="shared" si="16"/>
        <v>7128.8948866118444</v>
      </c>
      <c r="F78" s="108"/>
      <c r="G78" s="108"/>
    </row>
    <row r="79" spans="1:8" ht="15.95" thickBot="1">
      <c r="A79" s="74"/>
      <c r="D79" s="75"/>
    </row>
    <row r="80" spans="1:8" ht="15.95" thickBot="1">
      <c r="A80" s="254" t="s">
        <v>32</v>
      </c>
      <c r="B80" s="255"/>
      <c r="C80" s="255"/>
      <c r="D80" s="256"/>
    </row>
    <row r="81" spans="1:8">
      <c r="A81" s="110" t="s">
        <v>271</v>
      </c>
      <c r="B81" s="5" t="s">
        <v>622</v>
      </c>
      <c r="C81" s="5" t="s">
        <v>623</v>
      </c>
      <c r="D81" s="73" t="s">
        <v>624</v>
      </c>
      <c r="E81" s="5"/>
      <c r="F81" s="5"/>
      <c r="G81" s="5"/>
      <c r="H81" s="5"/>
    </row>
    <row r="82" spans="1:8">
      <c r="A82" s="109" t="s">
        <v>286</v>
      </c>
      <c r="B82" s="108">
        <f t="shared" ref="B82:B87" si="17">B52*1000000</f>
        <v>64425.568181818177</v>
      </c>
      <c r="C82" s="108">
        <f t="shared" ref="C82:C87" si="18">$B11-B82</f>
        <v>897944.43181818188</v>
      </c>
      <c r="D82" s="97">
        <f t="shared" ref="D82:D87" si="19">$D11-B82</f>
        <v>562317.60001818184</v>
      </c>
    </row>
    <row r="83" spans="1:8">
      <c r="A83" s="109" t="s">
        <v>290</v>
      </c>
      <c r="B83" s="108">
        <f t="shared" si="17"/>
        <v>17636.397968457724</v>
      </c>
      <c r="C83" s="108">
        <f t="shared" si="18"/>
        <v>-13055.217968457724</v>
      </c>
      <c r="D83" s="97">
        <f t="shared" si="19"/>
        <v>-15802.437968457725</v>
      </c>
    </row>
    <row r="84" spans="1:8">
      <c r="A84" s="109" t="s">
        <v>254</v>
      </c>
      <c r="B84" s="108">
        <f t="shared" si="17"/>
        <v>79231.477272727279</v>
      </c>
      <c r="C84" s="108">
        <f t="shared" si="18"/>
        <v>-50834.777272727282</v>
      </c>
      <c r="D84" s="97">
        <f t="shared" si="19"/>
        <v>-62463.635147727276</v>
      </c>
    </row>
    <row r="85" spans="1:8">
      <c r="A85" s="109" t="s">
        <v>287</v>
      </c>
      <c r="B85" s="108">
        <f t="shared" si="17"/>
        <v>9458.2582943465968</v>
      </c>
      <c r="C85" s="108">
        <f t="shared" si="18"/>
        <v>45605.142297653409</v>
      </c>
      <c r="D85" s="97">
        <f t="shared" si="19"/>
        <v>-8791.2711343465962</v>
      </c>
    </row>
    <row r="86" spans="1:8">
      <c r="A86" s="109" t="s">
        <v>289</v>
      </c>
      <c r="B86" s="108">
        <f t="shared" si="17"/>
        <v>18352.924410401265</v>
      </c>
      <c r="C86" s="108">
        <f t="shared" si="18"/>
        <v>396518.46158959874</v>
      </c>
      <c r="D86" s="97">
        <f t="shared" si="19"/>
        <v>-4191.8316104012629</v>
      </c>
    </row>
    <row r="87" spans="1:8" ht="15.95" thickBot="1">
      <c r="A87" s="130" t="s">
        <v>288</v>
      </c>
      <c r="B87" s="124">
        <f t="shared" si="17"/>
        <v>43263.282125752878</v>
      </c>
      <c r="C87" s="124">
        <f t="shared" si="18"/>
        <v>109997.97687424714</v>
      </c>
      <c r="D87" s="98">
        <f t="shared" si="19"/>
        <v>20823.331374247129</v>
      </c>
    </row>
    <row r="89" spans="1:8" ht="15.95" thickBot="1">
      <c r="A89" s="5" t="s">
        <v>625</v>
      </c>
      <c r="B89" s="4"/>
      <c r="C89" s="4"/>
      <c r="D89" s="4"/>
      <c r="E89" s="4"/>
      <c r="F89" s="4"/>
      <c r="G89" s="4"/>
    </row>
    <row r="90" spans="1:8" ht="15.95" thickBot="1">
      <c r="A90" s="190" t="s">
        <v>626</v>
      </c>
      <c r="B90" s="192"/>
      <c r="C90" s="192"/>
      <c r="D90" s="191"/>
      <c r="E90" s="4"/>
      <c r="F90" s="4"/>
      <c r="G90" s="4"/>
    </row>
    <row r="91" spans="1:8" ht="15.95" thickBot="1">
      <c r="A91" s="254" t="s">
        <v>26</v>
      </c>
      <c r="B91" s="255"/>
      <c r="C91" s="255"/>
      <c r="D91" s="256"/>
      <c r="E91" s="4"/>
      <c r="F91" s="4"/>
      <c r="G91" s="4"/>
    </row>
    <row r="92" spans="1:8">
      <c r="A92" s="110" t="s">
        <v>271</v>
      </c>
      <c r="B92" s="5" t="s">
        <v>627</v>
      </c>
      <c r="C92" s="5" t="s">
        <v>628</v>
      </c>
      <c r="D92" s="73" t="s">
        <v>629</v>
      </c>
      <c r="E92" s="4"/>
      <c r="F92" s="4"/>
      <c r="G92" s="4"/>
    </row>
    <row r="93" spans="1:8">
      <c r="A93" s="109" t="s">
        <v>286</v>
      </c>
      <c r="B93" s="4">
        <f>C32/C$38</f>
        <v>0.60652952405918514</v>
      </c>
      <c r="C93" s="4">
        <f t="shared" ref="B93:D98" si="20">D32/D$38</f>
        <v>0.62992913219114666</v>
      </c>
      <c r="D93" s="87">
        <f t="shared" si="20"/>
        <v>0.58973077210175584</v>
      </c>
      <c r="E93" s="4"/>
      <c r="F93" s="4"/>
      <c r="G93" s="4"/>
    </row>
    <row r="94" spans="1:8">
      <c r="A94" s="109" t="s">
        <v>290</v>
      </c>
      <c r="B94" s="4">
        <f t="shared" si="20"/>
        <v>0</v>
      </c>
      <c r="C94" s="4">
        <f t="shared" si="20"/>
        <v>0</v>
      </c>
      <c r="D94" s="87">
        <f t="shared" si="20"/>
        <v>0</v>
      </c>
    </row>
    <row r="95" spans="1:8">
      <c r="A95" s="109" t="s">
        <v>254</v>
      </c>
      <c r="B95" s="4">
        <f t="shared" si="20"/>
        <v>0.31601184516978931</v>
      </c>
      <c r="C95" s="4">
        <f t="shared" si="20"/>
        <v>0.30241838496631729</v>
      </c>
      <c r="D95" s="87">
        <f t="shared" si="20"/>
        <v>0.32577069091256933</v>
      </c>
    </row>
    <row r="96" spans="1:8">
      <c r="A96" s="109" t="s">
        <v>287</v>
      </c>
      <c r="B96" s="4">
        <f t="shared" si="20"/>
        <v>7.7458630771025633E-2</v>
      </c>
      <c r="C96" s="4">
        <f t="shared" si="20"/>
        <v>6.7652482842536055E-2</v>
      </c>
      <c r="D96" s="87">
        <f t="shared" si="20"/>
        <v>8.4498536985674999E-2</v>
      </c>
      <c r="F96" s="274"/>
      <c r="G96" s="274"/>
    </row>
    <row r="97" spans="1:4">
      <c r="A97" s="109" t="s">
        <v>289</v>
      </c>
      <c r="B97" s="4">
        <f t="shared" si="20"/>
        <v>0</v>
      </c>
      <c r="C97" s="4">
        <f t="shared" si="20"/>
        <v>0</v>
      </c>
      <c r="D97" s="87">
        <f t="shared" si="20"/>
        <v>0</v>
      </c>
    </row>
    <row r="98" spans="1:4">
      <c r="A98" s="109" t="s">
        <v>288</v>
      </c>
      <c r="B98" s="4">
        <f t="shared" si="20"/>
        <v>0</v>
      </c>
      <c r="C98" s="4">
        <f t="shared" si="20"/>
        <v>0</v>
      </c>
      <c r="D98" s="87">
        <f t="shared" si="20"/>
        <v>0</v>
      </c>
    </row>
    <row r="99" spans="1:4" ht="15.95" thickBot="1">
      <c r="A99" s="74"/>
      <c r="B99" s="4"/>
      <c r="C99" s="4"/>
      <c r="D99" s="75"/>
    </row>
    <row r="100" spans="1:4" ht="15.95" thickBot="1">
      <c r="A100" s="267" t="s">
        <v>30</v>
      </c>
      <c r="B100" s="268"/>
      <c r="C100" s="268"/>
      <c r="D100" s="269"/>
    </row>
    <row r="101" spans="1:4">
      <c r="A101" s="110" t="s">
        <v>271</v>
      </c>
      <c r="B101" s="5" t="s">
        <v>627</v>
      </c>
      <c r="C101" s="5" t="s">
        <v>628</v>
      </c>
      <c r="D101" s="73" t="s">
        <v>629</v>
      </c>
    </row>
    <row r="102" spans="1:4">
      <c r="A102" s="109" t="s">
        <v>286</v>
      </c>
      <c r="B102" s="4">
        <f t="shared" ref="B102:D107" si="21">C42/C$48</f>
        <v>9.0837182683398326E-2</v>
      </c>
      <c r="C102" s="4">
        <f t="shared" si="21"/>
        <v>0.11538044002482947</v>
      </c>
      <c r="D102" s="87">
        <f t="shared" si="21"/>
        <v>7.8097881627700594E-2</v>
      </c>
    </row>
    <row r="103" spans="1:4">
      <c r="A103" s="109" t="s">
        <v>290</v>
      </c>
      <c r="B103" s="4">
        <f t="shared" si="21"/>
        <v>0.35352366291920267</v>
      </c>
      <c r="C103" s="4">
        <f t="shared" si="21"/>
        <v>0.2577864750984854</v>
      </c>
      <c r="D103" s="87">
        <f t="shared" si="21"/>
        <v>0.40321653134767982</v>
      </c>
    </row>
    <row r="104" spans="1:4">
      <c r="A104" s="109" t="s">
        <v>254</v>
      </c>
      <c r="B104" s="4">
        <f t="shared" si="21"/>
        <v>5.4947743121360505E-2</v>
      </c>
      <c r="C104" s="4">
        <f t="shared" si="21"/>
        <v>6.4310735197430649E-2</v>
      </c>
      <c r="D104" s="87">
        <f t="shared" si="21"/>
        <v>5.0087835034188295E-2</v>
      </c>
    </row>
    <row r="105" spans="1:4">
      <c r="A105" s="109" t="s">
        <v>287</v>
      </c>
      <c r="B105" s="4">
        <f t="shared" si="21"/>
        <v>1.5204378290760396E-2</v>
      </c>
      <c r="C105" s="4">
        <f t="shared" si="21"/>
        <v>1.6240948069150656E-2</v>
      </c>
      <c r="D105" s="87">
        <f t="shared" si="21"/>
        <v>1.4666341538407242E-2</v>
      </c>
    </row>
    <row r="106" spans="1:4">
      <c r="A106" s="109" t="s">
        <v>289</v>
      </c>
      <c r="B106" s="4">
        <f t="shared" si="21"/>
        <v>0</v>
      </c>
      <c r="C106" s="4">
        <f t="shared" si="21"/>
        <v>0</v>
      </c>
      <c r="D106" s="87">
        <f t="shared" si="21"/>
        <v>0</v>
      </c>
    </row>
    <row r="107" spans="1:4" ht="15.95" thickBot="1">
      <c r="A107" s="130" t="s">
        <v>288</v>
      </c>
      <c r="B107" s="84">
        <f t="shared" si="21"/>
        <v>0.48548703298527818</v>
      </c>
      <c r="C107" s="84">
        <f t="shared" si="21"/>
        <v>0.54628140161010386</v>
      </c>
      <c r="D107" s="88">
        <f t="shared" si="21"/>
        <v>0.45393141045202412</v>
      </c>
    </row>
    <row r="108" spans="1:4" ht="15.95" thickBot="1">
      <c r="A108" s="74"/>
      <c r="D108" s="75"/>
    </row>
    <row r="109" spans="1:4" ht="15.95" thickBot="1">
      <c r="A109" s="267" t="s">
        <v>32</v>
      </c>
      <c r="B109" s="268"/>
      <c r="C109" s="268"/>
      <c r="D109" s="269"/>
    </row>
    <row r="110" spans="1:4">
      <c r="A110" s="110" t="s">
        <v>271</v>
      </c>
      <c r="B110" s="5" t="s">
        <v>627</v>
      </c>
      <c r="C110" s="5" t="s">
        <v>628</v>
      </c>
      <c r="D110" s="73" t="s">
        <v>629</v>
      </c>
    </row>
    <row r="111" spans="1:4">
      <c r="A111" s="109" t="s">
        <v>286</v>
      </c>
      <c r="B111" s="4">
        <f t="shared" ref="B111:D116" si="22">C52/C$58</f>
        <v>7.9990789126942366E-2</v>
      </c>
      <c r="C111" s="4">
        <f t="shared" si="22"/>
        <v>0.10674516529164935</v>
      </c>
      <c r="D111" s="87">
        <f t="shared" si="22"/>
        <v>6.7095119898875816E-2</v>
      </c>
    </row>
    <row r="112" spans="1:4">
      <c r="A112" s="109" t="s">
        <v>290</v>
      </c>
      <c r="B112" s="4">
        <f t="shared" si="22"/>
        <v>0.48459122892893897</v>
      </c>
      <c r="C112" s="4">
        <f t="shared" si="22"/>
        <v>0.37124181474390611</v>
      </c>
      <c r="D112" s="87">
        <f t="shared" si="22"/>
        <v>0.53922590041320684</v>
      </c>
    </row>
    <row r="113" spans="1:5">
      <c r="A113" s="109" t="s">
        <v>254</v>
      </c>
      <c r="B113" s="4">
        <f t="shared" si="22"/>
        <v>4.6960809497950208E-2</v>
      </c>
      <c r="C113" s="4">
        <f t="shared" si="22"/>
        <v>5.7744268988438582E-2</v>
      </c>
      <c r="D113" s="87">
        <f t="shared" si="22"/>
        <v>4.1763157873875557E-2</v>
      </c>
    </row>
    <row r="114" spans="1:5">
      <c r="A114" s="109" t="s">
        <v>287</v>
      </c>
      <c r="B114" s="4">
        <f t="shared" si="22"/>
        <v>1.4481501564104403E-2</v>
      </c>
      <c r="C114" s="4">
        <f t="shared" si="22"/>
        <v>1.625159551891692E-2</v>
      </c>
      <c r="D114" s="87">
        <f t="shared" si="22"/>
        <v>1.3628312313742657E-2</v>
      </c>
    </row>
    <row r="115" spans="1:5">
      <c r="A115" s="109" t="s">
        <v>289</v>
      </c>
      <c r="B115" s="4">
        <f t="shared" si="22"/>
        <v>6.1274970936956941E-2</v>
      </c>
      <c r="C115" s="4">
        <f t="shared" si="22"/>
        <v>7.8353008045140227E-2</v>
      </c>
      <c r="D115" s="87">
        <f t="shared" si="22"/>
        <v>5.3043318804387396E-2</v>
      </c>
    </row>
    <row r="116" spans="1:5" ht="15.95" thickBot="1">
      <c r="A116" s="130" t="s">
        <v>288</v>
      </c>
      <c r="B116" s="84">
        <f t="shared" si="22"/>
        <v>0.31270069994510719</v>
      </c>
      <c r="C116" s="84">
        <f t="shared" si="22"/>
        <v>0.36966414741194864</v>
      </c>
      <c r="D116" s="88">
        <f t="shared" si="22"/>
        <v>0.28524419069591161</v>
      </c>
    </row>
    <row r="117" spans="1:5">
      <c r="A117" s="2"/>
      <c r="B117" s="4"/>
      <c r="C117" s="4"/>
      <c r="D117" s="4"/>
    </row>
    <row r="118" spans="1:5" ht="15.95" thickBot="1">
      <c r="A118" s="1" t="s">
        <v>630</v>
      </c>
      <c r="B118" s="4"/>
      <c r="C118" s="4"/>
      <c r="D118" s="4"/>
    </row>
    <row r="119" spans="1:5" ht="15.95" thickBot="1">
      <c r="A119" s="190" t="s">
        <v>208</v>
      </c>
      <c r="B119" s="192"/>
      <c r="C119" s="192"/>
      <c r="D119" s="192"/>
      <c r="E119" s="191"/>
    </row>
    <row r="120" spans="1:5">
      <c r="A120" s="74"/>
      <c r="C120" s="263" t="s">
        <v>631</v>
      </c>
      <c r="D120" s="264"/>
      <c r="E120" s="265"/>
    </row>
    <row r="121" spans="1:5">
      <c r="A121" s="72" t="s">
        <v>242</v>
      </c>
      <c r="B121" s="5" t="s">
        <v>271</v>
      </c>
      <c r="C121" s="72" t="s">
        <v>632</v>
      </c>
      <c r="D121" s="5" t="s">
        <v>633</v>
      </c>
      <c r="E121" s="73" t="s">
        <v>634</v>
      </c>
    </row>
    <row r="122" spans="1:5">
      <c r="A122" s="74" t="s">
        <v>26</v>
      </c>
      <c r="B122" t="s">
        <v>254</v>
      </c>
      <c r="C122" s="82">
        <f>0.8-(1-B95)</f>
        <v>0.11601184516978935</v>
      </c>
      <c r="D122" s="4">
        <f>0.8-(1-C95)</f>
        <v>0.10241838496631739</v>
      </c>
      <c r="E122" s="87">
        <f t="shared" ref="E122" si="23">0.8-(1-D95)</f>
        <v>0.12577069091256932</v>
      </c>
    </row>
    <row r="123" spans="1:5">
      <c r="A123" s="74" t="s">
        <v>30</v>
      </c>
      <c r="B123" t="s">
        <v>290</v>
      </c>
      <c r="C123" s="82">
        <f>0.8-(1-B103)</f>
        <v>0.15352366291920272</v>
      </c>
      <c r="D123" s="4">
        <f>0.8-(1-C103)</f>
        <v>5.7786475098485446E-2</v>
      </c>
      <c r="E123" s="87">
        <f t="shared" ref="E123" si="24">0.8-(1-D103)</f>
        <v>0.20321653134767992</v>
      </c>
    </row>
    <row r="124" spans="1:5" ht="15.95" thickBot="1">
      <c r="A124" s="76" t="s">
        <v>32</v>
      </c>
      <c r="B124" s="7" t="s">
        <v>290</v>
      </c>
      <c r="C124" s="86">
        <f>0.8-(1-B112)</f>
        <v>0.28459122892893896</v>
      </c>
      <c r="D124" s="84">
        <f>0.8-(1-C112)</f>
        <v>0.1712418147439061</v>
      </c>
      <c r="E124" s="88">
        <f t="shared" ref="E124" si="25">0.8-(1-D112)</f>
        <v>0.33922590041320688</v>
      </c>
    </row>
    <row r="126" spans="1:5" ht="15.95" thickBot="1">
      <c r="A126" s="5" t="s">
        <v>635</v>
      </c>
    </row>
    <row r="127" spans="1:5" ht="15.95" thickBot="1">
      <c r="A127" s="190" t="s">
        <v>636</v>
      </c>
      <c r="B127" s="192"/>
      <c r="C127" s="192"/>
      <c r="D127" s="192"/>
      <c r="E127" s="191"/>
    </row>
    <row r="128" spans="1:5">
      <c r="A128" s="72" t="s">
        <v>242</v>
      </c>
      <c r="B128" s="5" t="s">
        <v>271</v>
      </c>
      <c r="C128" s="5" t="s">
        <v>627</v>
      </c>
      <c r="D128" s="5" t="s">
        <v>628</v>
      </c>
      <c r="E128" s="73" t="s">
        <v>629</v>
      </c>
    </row>
    <row r="129" spans="1:7">
      <c r="A129" s="74" t="s">
        <v>26</v>
      </c>
      <c r="B129" t="s">
        <v>254</v>
      </c>
      <c r="C129" s="4">
        <f>C38*C122</f>
        <v>34.407677433174022</v>
      </c>
      <c r="D129" s="4">
        <f>D38*D122</f>
        <v>25.388066312181483</v>
      </c>
      <c r="E129" s="87">
        <f t="shared" ref="E129" si="26">E38*E122</f>
        <v>43.427288554166566</v>
      </c>
    </row>
    <row r="130" spans="1:7">
      <c r="A130" s="74" t="s">
        <v>30</v>
      </c>
      <c r="B130" t="s">
        <v>290</v>
      </c>
      <c r="C130" s="4">
        <f>C48*C123</f>
        <v>222.64755720878085</v>
      </c>
      <c r="D130" s="4">
        <f t="shared" ref="D130:E130" si="27">D48*D123</f>
        <v>57.271519356858931</v>
      </c>
      <c r="E130" s="87">
        <f t="shared" si="27"/>
        <v>388.02359506070275</v>
      </c>
    </row>
    <row r="131" spans="1:7" ht="15.95" thickBot="1">
      <c r="A131" s="76" t="s">
        <v>32</v>
      </c>
      <c r="B131" s="7" t="s">
        <v>290</v>
      </c>
      <c r="C131" s="84">
        <f>C124*C58</f>
        <v>486.72065996515323</v>
      </c>
      <c r="D131" s="84">
        <f t="shared" ref="D131:E131" si="28">D124*D58</f>
        <v>190.50144913583975</v>
      </c>
      <c r="E131" s="88">
        <f t="shared" si="28"/>
        <v>782.93987079446697</v>
      </c>
    </row>
    <row r="133" spans="1:7" ht="15.95" thickBot="1">
      <c r="A133" s="5" t="s">
        <v>637</v>
      </c>
    </row>
    <row r="134" spans="1:7" ht="15.95" thickBot="1">
      <c r="A134" s="190" t="s">
        <v>212</v>
      </c>
      <c r="B134" s="192"/>
      <c r="C134" s="192"/>
      <c r="D134" s="192"/>
      <c r="E134" s="191"/>
    </row>
    <row r="135" spans="1:7">
      <c r="A135" s="72" t="s">
        <v>242</v>
      </c>
      <c r="B135" s="5" t="s">
        <v>271</v>
      </c>
      <c r="C135" s="5" t="s">
        <v>627</v>
      </c>
      <c r="D135" s="5" t="s">
        <v>628</v>
      </c>
      <c r="E135" s="73" t="s">
        <v>629</v>
      </c>
    </row>
    <row r="136" spans="1:7">
      <c r="A136" s="74" t="s">
        <v>26</v>
      </c>
      <c r="B136" t="s">
        <v>254</v>
      </c>
      <c r="C136" s="3">
        <f>C129/$B$23</f>
        <v>3.3943706751264749E-2</v>
      </c>
      <c r="D136" s="3">
        <f>D129/$D$23</f>
        <v>3.1313385713882674E-2</v>
      </c>
      <c r="E136" s="131">
        <f>E129/$E$23</f>
        <v>3.5696672265660485E-2</v>
      </c>
    </row>
    <row r="137" spans="1:7">
      <c r="A137" s="74" t="s">
        <v>30</v>
      </c>
      <c r="B137" t="s">
        <v>290</v>
      </c>
      <c r="C137" s="3">
        <f>C130/B$22</f>
        <v>4.737988534405449E-3</v>
      </c>
      <c r="D137" s="3">
        <f>D130/D$22</f>
        <v>2.4457003508767282E-3</v>
      </c>
      <c r="E137" s="131">
        <f>E130/E$22</f>
        <v>5.4986727671631755E-3</v>
      </c>
    </row>
    <row r="138" spans="1:7" ht="15.95" thickBot="1">
      <c r="A138" s="76" t="s">
        <v>32</v>
      </c>
      <c r="B138" s="7" t="s">
        <v>290</v>
      </c>
      <c r="C138" s="129">
        <f>C131/$B$22</f>
        <v>1.0357521705080721E-2</v>
      </c>
      <c r="D138" s="129">
        <f>D131/$D$22</f>
        <v>8.1350986707889802E-3</v>
      </c>
      <c r="E138" s="132">
        <f>E131/$E$22</f>
        <v>1.1095021541641797E-2</v>
      </c>
    </row>
    <row r="140" spans="1:7" ht="15.95" thickBot="1">
      <c r="A140" s="5" t="s">
        <v>638</v>
      </c>
    </row>
    <row r="141" spans="1:7" ht="15.95" thickBot="1">
      <c r="A141" s="224" t="s">
        <v>639</v>
      </c>
      <c r="B141" s="225"/>
      <c r="C141" s="225"/>
      <c r="D141" s="225"/>
      <c r="E141" s="225"/>
      <c r="F141" s="225"/>
      <c r="G141" s="226"/>
    </row>
    <row r="142" spans="1:7" ht="15.95" thickBot="1">
      <c r="A142" s="254" t="s">
        <v>570</v>
      </c>
      <c r="B142" s="255"/>
      <c r="C142" s="255"/>
      <c r="D142" s="255"/>
      <c r="E142" s="255"/>
      <c r="F142" s="255"/>
      <c r="G142" s="256"/>
    </row>
    <row r="143" spans="1:7">
      <c r="A143" s="74"/>
      <c r="C143" s="263" t="s">
        <v>571</v>
      </c>
      <c r="D143" s="264"/>
      <c r="E143" s="264"/>
      <c r="F143" s="264"/>
      <c r="G143" s="265"/>
    </row>
    <row r="144" spans="1:7">
      <c r="A144" s="104" t="s">
        <v>548</v>
      </c>
      <c r="B144" s="121" t="s">
        <v>640</v>
      </c>
      <c r="C144" s="72" t="s">
        <v>550</v>
      </c>
      <c r="D144" s="5" t="s">
        <v>551</v>
      </c>
      <c r="E144" s="5" t="s">
        <v>627</v>
      </c>
      <c r="F144" s="5" t="s">
        <v>628</v>
      </c>
      <c r="G144" s="73" t="s">
        <v>629</v>
      </c>
    </row>
    <row r="145" spans="1:7">
      <c r="A145" s="82" t="s">
        <v>542</v>
      </c>
      <c r="B145" s="4">
        <f>B13</f>
        <v>28396.7</v>
      </c>
      <c r="C145" s="82">
        <f>$B$4/1000000</f>
        <v>1</v>
      </c>
      <c r="D145" s="4">
        <f>$B$5/1000000</f>
        <v>2</v>
      </c>
      <c r="E145" s="4">
        <f>$B145/C$136/1000000</f>
        <v>0.83658217436555993</v>
      </c>
      <c r="F145" s="4">
        <f t="shared" ref="E145:G146" si="29">$B145/D$136/1000000</f>
        <v>0.90685498717599311</v>
      </c>
      <c r="G145" s="87">
        <f t="shared" si="29"/>
        <v>0.79549992191616925</v>
      </c>
    </row>
    <row r="146" spans="1:7" ht="15.95" thickBot="1">
      <c r="A146" s="86" t="s">
        <v>543</v>
      </c>
      <c r="B146" s="84">
        <f>D13</f>
        <v>16767.842125000003</v>
      </c>
      <c r="C146" s="86">
        <f>$B$4/1000000</f>
        <v>1</v>
      </c>
      <c r="D146" s="84">
        <f>$B$5/1000000</f>
        <v>2</v>
      </c>
      <c r="E146" s="84">
        <f t="shared" si="29"/>
        <v>0.49398971797254371</v>
      </c>
      <c r="F146" s="84">
        <f t="shared" si="29"/>
        <v>0.53548480123521236</v>
      </c>
      <c r="G146" s="88">
        <f t="shared" si="29"/>
        <v>0.46973123993774474</v>
      </c>
    </row>
    <row r="147" spans="1:7" ht="15.95" thickBot="1">
      <c r="A147" s="82"/>
      <c r="B147" s="4"/>
      <c r="C147" s="4"/>
      <c r="D147" s="4"/>
      <c r="E147" s="4"/>
      <c r="F147" s="4"/>
      <c r="G147" s="87"/>
    </row>
    <row r="148" spans="1:7" ht="15.95" thickBot="1">
      <c r="A148" s="257" t="s">
        <v>641</v>
      </c>
      <c r="B148" s="258"/>
      <c r="C148" s="258"/>
      <c r="D148" s="258"/>
      <c r="E148" s="258"/>
      <c r="F148" s="258"/>
      <c r="G148" s="259"/>
    </row>
    <row r="149" spans="1:7">
      <c r="A149" s="82"/>
      <c r="B149" s="4"/>
      <c r="C149" s="260" t="s">
        <v>571</v>
      </c>
      <c r="D149" s="261"/>
      <c r="E149" s="261"/>
      <c r="F149" s="261"/>
      <c r="G149" s="262"/>
    </row>
    <row r="150" spans="1:7">
      <c r="A150" s="104" t="s">
        <v>548</v>
      </c>
      <c r="B150" s="121" t="s">
        <v>642</v>
      </c>
      <c r="C150" s="104" t="s">
        <v>550</v>
      </c>
      <c r="D150" s="121" t="s">
        <v>551</v>
      </c>
      <c r="E150" s="121" t="s">
        <v>627</v>
      </c>
      <c r="F150" s="121" t="s">
        <v>628</v>
      </c>
      <c r="G150" s="105" t="s">
        <v>629</v>
      </c>
    </row>
    <row r="151" spans="1:7">
      <c r="A151" s="82" t="s">
        <v>542</v>
      </c>
      <c r="B151" s="4">
        <f>B12</f>
        <v>4581.18</v>
      </c>
      <c r="C151" s="82">
        <f>$B$4/1000000</f>
        <v>1</v>
      </c>
      <c r="D151" s="4">
        <f>$B$5/1000000</f>
        <v>2</v>
      </c>
      <c r="E151" s="4">
        <f>$B151/C$137/1000000</f>
        <v>0.96690398609731421</v>
      </c>
      <c r="F151" s="4">
        <f>$B151/D$137/1000000</f>
        <v>1.8731567006390424</v>
      </c>
      <c r="G151" s="87">
        <f>$B151/E$137/1000000</f>
        <v>0.83314286810405713</v>
      </c>
    </row>
    <row r="152" spans="1:7" ht="15.95" thickBot="1">
      <c r="A152" s="86" t="s">
        <v>543</v>
      </c>
      <c r="B152" s="84">
        <f>D12</f>
        <v>1833.96</v>
      </c>
      <c r="C152" s="86">
        <f>$B$4/1000000</f>
        <v>1</v>
      </c>
      <c r="D152" s="84">
        <f>$B$5/1000000</f>
        <v>2</v>
      </c>
      <c r="E152" s="84">
        <f>$B152/C$137/1000000</f>
        <v>0.38707565176287118</v>
      </c>
      <c r="F152" s="84">
        <f t="shared" ref="F152" si="30">$B152/D$137/1000000</f>
        <v>0.74987109493710746</v>
      </c>
      <c r="G152" s="88">
        <f>$B152/E$137/1000000</f>
        <v>0.33352775799861967</v>
      </c>
    </row>
    <row r="153" spans="1:7" ht="15.95" thickBot="1">
      <c r="A153" s="82"/>
      <c r="B153" s="4"/>
      <c r="C153" s="4"/>
      <c r="D153" s="4"/>
      <c r="E153" s="4"/>
      <c r="F153" s="4"/>
      <c r="G153" s="87"/>
    </row>
    <row r="154" spans="1:7" ht="15.95" thickBot="1">
      <c r="A154" s="257" t="s">
        <v>643</v>
      </c>
      <c r="B154" s="258"/>
      <c r="C154" s="258"/>
      <c r="D154" s="258"/>
      <c r="E154" s="258"/>
      <c r="F154" s="258"/>
      <c r="G154" s="259"/>
    </row>
    <row r="155" spans="1:7">
      <c r="A155" s="82"/>
      <c r="B155" s="4"/>
      <c r="C155" s="271" t="s">
        <v>571</v>
      </c>
      <c r="D155" s="272"/>
      <c r="E155" s="272"/>
      <c r="F155" s="272"/>
      <c r="G155" s="273"/>
    </row>
    <row r="156" spans="1:7">
      <c r="A156" s="104" t="s">
        <v>548</v>
      </c>
      <c r="B156" s="121" t="s">
        <v>642</v>
      </c>
      <c r="C156" s="104" t="s">
        <v>550</v>
      </c>
      <c r="D156" s="121" t="s">
        <v>551</v>
      </c>
      <c r="E156" s="121" t="s">
        <v>627</v>
      </c>
      <c r="F156" s="121" t="s">
        <v>628</v>
      </c>
      <c r="G156" s="105" t="s">
        <v>629</v>
      </c>
    </row>
    <row r="157" spans="1:7">
      <c r="A157" s="82" t="s">
        <v>542</v>
      </c>
      <c r="B157" s="4">
        <f>B12</f>
        <v>4581.18</v>
      </c>
      <c r="C157" s="82">
        <f>$B$4/1000000</f>
        <v>1</v>
      </c>
      <c r="D157" s="4">
        <f>$B$5/1000000</f>
        <v>2</v>
      </c>
      <c r="E157" s="4">
        <f>$B157/C$138/1000000</f>
        <v>0.44230464878029402</v>
      </c>
      <c r="F157" s="4">
        <f t="shared" ref="F157:F158" si="31">$B157/D$138/1000000</f>
        <v>0.56313760722409234</v>
      </c>
      <c r="G157" s="87">
        <f>$B157/E$138/1000000</f>
        <v>0.41290411044322273</v>
      </c>
    </row>
    <row r="158" spans="1:7" ht="15.95" thickBot="1">
      <c r="A158" s="86" t="s">
        <v>543</v>
      </c>
      <c r="B158" s="84">
        <f>D12</f>
        <v>1833.96</v>
      </c>
      <c r="C158" s="86">
        <f>$B$4/1000000</f>
        <v>1</v>
      </c>
      <c r="D158" s="84">
        <f>$B$5/1000000</f>
        <v>2</v>
      </c>
      <c r="E158" s="84">
        <f>$B158/C$138/1000000</f>
        <v>0.17706552322264307</v>
      </c>
      <c r="F158" s="84">
        <f t="shared" si="31"/>
        <v>0.22543795400850791</v>
      </c>
      <c r="G158" s="88">
        <f>$B158/E$138/1000000</f>
        <v>0.16529575838287358</v>
      </c>
    </row>
    <row r="160" spans="1:7" ht="15.95" thickBot="1">
      <c r="A160" s="5" t="s">
        <v>644</v>
      </c>
    </row>
    <row r="161" spans="1:13" ht="15.95" thickBot="1">
      <c r="A161" s="190" t="s">
        <v>645</v>
      </c>
      <c r="B161" s="192"/>
      <c r="C161" s="192"/>
      <c r="D161" s="192"/>
      <c r="E161" s="192"/>
      <c r="F161" s="192"/>
      <c r="G161" s="191"/>
    </row>
    <row r="162" spans="1:13" ht="15.95" thickBot="1">
      <c r="A162" s="74"/>
      <c r="B162" s="257" t="s">
        <v>26</v>
      </c>
      <c r="C162" s="259"/>
      <c r="D162" s="254" t="s">
        <v>30</v>
      </c>
      <c r="E162" s="256"/>
      <c r="F162" s="254" t="s">
        <v>32</v>
      </c>
      <c r="G162" s="256"/>
      <c r="H162" s="5"/>
      <c r="I162" s="5"/>
      <c r="J162" s="5"/>
      <c r="K162" s="5"/>
      <c r="L162" s="5"/>
      <c r="M162" s="5"/>
    </row>
    <row r="163" spans="1:13">
      <c r="A163" s="74"/>
      <c r="B163" s="104" t="s">
        <v>542</v>
      </c>
      <c r="C163" s="105" t="s">
        <v>543</v>
      </c>
      <c r="D163" s="104" t="s">
        <v>542</v>
      </c>
      <c r="E163" s="105" t="s">
        <v>543</v>
      </c>
      <c r="F163" s="121" t="s">
        <v>542</v>
      </c>
      <c r="G163" s="105" t="s">
        <v>543</v>
      </c>
      <c r="H163" s="4"/>
      <c r="I163" s="4"/>
      <c r="J163" s="4"/>
      <c r="K163" s="4"/>
      <c r="L163" s="4"/>
      <c r="M163" s="4"/>
    </row>
    <row r="164" spans="1:13">
      <c r="A164" s="82" t="s">
        <v>519</v>
      </c>
      <c r="B164" s="82" cm="1">
        <f t="array" ref="B164:C164">TRANSPOSE(E145:E146)</f>
        <v>0.83658217436555993</v>
      </c>
      <c r="C164" s="87">
        <v>0.49398971797254371</v>
      </c>
      <c r="D164" s="82" cm="1">
        <f t="array" ref="D164:E164">TRANSPOSE(E151:E152)</f>
        <v>0.96690398609731421</v>
      </c>
      <c r="E164" s="87">
        <v>0.38707565176287118</v>
      </c>
      <c r="F164" s="4" cm="1">
        <f t="array" ref="F164:G164">TRANSPOSE(E157:E158)</f>
        <v>0.44230464878029402</v>
      </c>
      <c r="G164" s="87">
        <v>0.17706552322264307</v>
      </c>
      <c r="H164" s="4"/>
      <c r="I164" s="4"/>
      <c r="J164" s="4"/>
      <c r="K164" s="4"/>
      <c r="L164" s="4"/>
      <c r="M164" s="4"/>
    </row>
    <row r="165" spans="1:13">
      <c r="A165" s="82" t="s">
        <v>521</v>
      </c>
      <c r="B165" s="82" cm="1">
        <f t="array" ref="B165:C165">TRANSPOSE(F145:F146)</f>
        <v>0.90685498717599311</v>
      </c>
      <c r="C165" s="87">
        <v>0.53548480123521236</v>
      </c>
      <c r="D165" s="82" cm="1">
        <f t="array" ref="D165:E165">TRANSPOSE(F151:F152)</f>
        <v>1.8731567006390424</v>
      </c>
      <c r="E165" s="87">
        <v>0.74987109493710746</v>
      </c>
      <c r="F165" s="4" cm="1">
        <f t="array" ref="F165:G165">TRANSPOSE(F157:F158)</f>
        <v>0.56313760722409234</v>
      </c>
      <c r="G165" s="87">
        <v>0.22543795400850791</v>
      </c>
    </row>
    <row r="166" spans="1:13">
      <c r="A166" s="82" t="s">
        <v>522</v>
      </c>
      <c r="B166" s="82" cm="1">
        <f t="array" ref="B166:C166">TRANSPOSE(G145:G146)</f>
        <v>0.79549992191616925</v>
      </c>
      <c r="C166" s="87">
        <v>0.46973123993774474</v>
      </c>
      <c r="D166" s="82" cm="1">
        <f t="array" ref="D166:E166">TRANSPOSE(G151:G152)</f>
        <v>0.83314286810405713</v>
      </c>
      <c r="E166" s="87">
        <v>0.33352775799861967</v>
      </c>
      <c r="F166" s="4" cm="1">
        <f t="array" ref="F166:G166">TRANSPOSE(G157:G158)</f>
        <v>0.41290411044322273</v>
      </c>
      <c r="G166" s="87">
        <v>0.16529575838287358</v>
      </c>
    </row>
    <row r="167" spans="1:13">
      <c r="A167" s="82" t="s">
        <v>579</v>
      </c>
      <c r="B167" s="82">
        <f>$B$4/1000000</f>
        <v>1</v>
      </c>
      <c r="C167" s="87">
        <f t="shared" ref="C167:G167" si="32">$B$4/1000000</f>
        <v>1</v>
      </c>
      <c r="D167" s="82">
        <f t="shared" si="32"/>
        <v>1</v>
      </c>
      <c r="E167" s="87">
        <f t="shared" si="32"/>
        <v>1</v>
      </c>
      <c r="F167" s="4">
        <f t="shared" si="32"/>
        <v>1</v>
      </c>
      <c r="G167" s="87">
        <f t="shared" si="32"/>
        <v>1</v>
      </c>
    </row>
    <row r="168" spans="1:13" ht="15.95" thickBot="1">
      <c r="A168" s="86" t="s">
        <v>580</v>
      </c>
      <c r="B168" s="86">
        <f>$B$5/1000000</f>
        <v>2</v>
      </c>
      <c r="C168" s="88">
        <f t="shared" ref="C168:G168" si="33">$B$5/1000000</f>
        <v>2</v>
      </c>
      <c r="D168" s="86">
        <f t="shared" si="33"/>
        <v>2</v>
      </c>
      <c r="E168" s="88">
        <f t="shared" si="33"/>
        <v>2</v>
      </c>
      <c r="F168" s="84">
        <f t="shared" si="33"/>
        <v>2</v>
      </c>
      <c r="G168" s="88">
        <f t="shared" si="33"/>
        <v>2</v>
      </c>
    </row>
    <row r="173" spans="1:13">
      <c r="B173" s="4"/>
    </row>
    <row r="175" spans="1:13">
      <c r="A175" s="5"/>
      <c r="B175" s="5"/>
      <c r="C175" s="5"/>
      <c r="D175" s="5"/>
      <c r="E175" s="5"/>
      <c r="F175" s="5"/>
      <c r="G175" s="5"/>
    </row>
    <row r="185" spans="2:7">
      <c r="B185" s="5"/>
      <c r="C185" s="5"/>
      <c r="D185" s="5"/>
      <c r="E185" s="5"/>
      <c r="F185" s="5"/>
      <c r="G185" s="5"/>
    </row>
  </sheetData>
  <mergeCells count="34">
    <mergeCell ref="J40:K40"/>
    <mergeCell ref="A50:E50"/>
    <mergeCell ref="A19:E19"/>
    <mergeCell ref="A29:E29"/>
    <mergeCell ref="F96:G96"/>
    <mergeCell ref="A30:E30"/>
    <mergeCell ref="A2:C2"/>
    <mergeCell ref="A91:D91"/>
    <mergeCell ref="A90:D90"/>
    <mergeCell ref="C120:E120"/>
    <mergeCell ref="A80:D80"/>
    <mergeCell ref="A109:D109"/>
    <mergeCell ref="A100:D100"/>
    <mergeCell ref="A71:D71"/>
    <mergeCell ref="A40:E40"/>
    <mergeCell ref="A62:D62"/>
    <mergeCell ref="A61:D61"/>
    <mergeCell ref="A119:E119"/>
    <mergeCell ref="A8:D8"/>
    <mergeCell ref="A9:B9"/>
    <mergeCell ref="C9:D9"/>
    <mergeCell ref="A134:E134"/>
    <mergeCell ref="C143:G143"/>
    <mergeCell ref="A127:E127"/>
    <mergeCell ref="D162:E162"/>
    <mergeCell ref="F162:G162"/>
    <mergeCell ref="B162:C162"/>
    <mergeCell ref="A142:G142"/>
    <mergeCell ref="A141:G141"/>
    <mergeCell ref="A148:G148"/>
    <mergeCell ref="A154:G154"/>
    <mergeCell ref="C155:G155"/>
    <mergeCell ref="A161:G161"/>
    <mergeCell ref="C149:G14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0DA38-D0C7-EE44-B589-A15A83C49662}">
  <dimension ref="A1:Z185"/>
  <sheetViews>
    <sheetView zoomScale="150" zoomScaleNormal="150" workbookViewId="0">
      <selection activeCell="B15" sqref="B15"/>
    </sheetView>
  </sheetViews>
  <sheetFormatPr defaultColWidth="11.42578125" defaultRowHeight="15"/>
  <cols>
    <col min="1" max="1" width="22.28515625" bestFit="1" customWidth="1"/>
    <col min="2" max="2" width="34" bestFit="1" customWidth="1"/>
    <col min="3" max="3" width="35.7109375" bestFit="1" customWidth="1"/>
    <col min="4" max="5" width="35" customWidth="1"/>
    <col min="6" max="6" width="32.42578125" bestFit="1" customWidth="1"/>
    <col min="7" max="7" width="21" bestFit="1" customWidth="1"/>
    <col min="8" max="9" width="9.7109375" bestFit="1" customWidth="1"/>
    <col min="10" max="10" width="12.85546875" bestFit="1" customWidth="1"/>
    <col min="11" max="11" width="9.7109375" bestFit="1" customWidth="1"/>
    <col min="12" max="12" width="11.7109375" bestFit="1" customWidth="1"/>
    <col min="13" max="14" width="11.42578125" bestFit="1" customWidth="1"/>
    <col min="15" max="15" width="37.85546875" bestFit="1" customWidth="1"/>
    <col min="16" max="25" width="11.42578125" bestFit="1" customWidth="1"/>
    <col min="26" max="26" width="12.7109375" bestFit="1" customWidth="1"/>
  </cols>
  <sheetData>
    <row r="1" spans="1:6">
      <c r="A1" s="5" t="s">
        <v>646</v>
      </c>
    </row>
    <row r="2" spans="1:6">
      <c r="A2" s="224" t="s">
        <v>183</v>
      </c>
      <c r="B2" s="225"/>
      <c r="C2" s="226"/>
      <c r="E2" s="1" t="s">
        <v>234</v>
      </c>
    </row>
    <row r="3" spans="1:6">
      <c r="A3" s="103" t="s">
        <v>539</v>
      </c>
      <c r="B3" s="101" t="s">
        <v>582</v>
      </c>
      <c r="C3" s="102" t="s">
        <v>236</v>
      </c>
      <c r="E3" s="2" t="s">
        <v>237</v>
      </c>
    </row>
    <row r="4" spans="1:6">
      <c r="A4" s="74" t="s">
        <v>238</v>
      </c>
      <c r="B4" cm="1">
        <f t="array" ref="B4:B5">'1. EV Forecast'!D4:D5</f>
        <v>500000</v>
      </c>
      <c r="C4" s="75">
        <v>1</v>
      </c>
    </row>
    <row r="5" spans="1:6">
      <c r="A5" s="76" t="s">
        <v>239</v>
      </c>
      <c r="B5" s="7">
        <v>1500000</v>
      </c>
      <c r="C5" s="77">
        <v>1</v>
      </c>
    </row>
    <row r="7" spans="1:6">
      <c r="A7" s="5" t="s">
        <v>647</v>
      </c>
    </row>
    <row r="8" spans="1:6">
      <c r="A8" s="190" t="s">
        <v>167</v>
      </c>
      <c r="B8" s="192"/>
      <c r="C8" s="192"/>
      <c r="D8" s="191"/>
      <c r="E8" s="5"/>
      <c r="F8" s="5"/>
    </row>
    <row r="9" spans="1:6">
      <c r="A9" s="263" t="s">
        <v>542</v>
      </c>
      <c r="B9" s="265"/>
      <c r="C9" s="263" t="s">
        <v>543</v>
      </c>
      <c r="D9" s="265"/>
    </row>
    <row r="10" spans="1:6">
      <c r="A10" s="72" t="s">
        <v>271</v>
      </c>
      <c r="B10" s="73" t="s">
        <v>603</v>
      </c>
      <c r="C10" s="5" t="s">
        <v>271</v>
      </c>
      <c r="D10" s="73" t="s">
        <v>603</v>
      </c>
    </row>
    <row r="11" spans="1:6">
      <c r="A11" s="74" t="s">
        <v>286</v>
      </c>
      <c r="B11" s="169" cm="1">
        <f t="array" ref="B11:B16">('6. Global Mineral Production'!B95:B100)</f>
        <v>962370</v>
      </c>
      <c r="C11" t="s">
        <v>286</v>
      </c>
      <c r="D11" s="166" cm="1">
        <f t="array" ref="D11:D16">('7.US Mineral Production&amp;Imports'!B152:B157)</f>
        <v>626743.16820000007</v>
      </c>
    </row>
    <row r="12" spans="1:6">
      <c r="A12" s="74" t="s">
        <v>290</v>
      </c>
      <c r="B12" s="169">
        <v>4581.18</v>
      </c>
      <c r="C12" t="s">
        <v>290</v>
      </c>
      <c r="D12" s="166">
        <v>1833.96</v>
      </c>
    </row>
    <row r="13" spans="1:6">
      <c r="A13" s="74" t="s">
        <v>254</v>
      </c>
      <c r="B13" s="169">
        <v>28396.7</v>
      </c>
      <c r="C13" t="s">
        <v>254</v>
      </c>
      <c r="D13" s="166">
        <v>16767.842125000003</v>
      </c>
    </row>
    <row r="14" spans="1:6">
      <c r="A14" s="74" t="s">
        <v>287</v>
      </c>
      <c r="B14" s="169">
        <v>55063.400592000005</v>
      </c>
      <c r="C14" t="s">
        <v>287</v>
      </c>
      <c r="D14" s="166">
        <v>666.9871599999999</v>
      </c>
    </row>
    <row r="15" spans="1:6">
      <c r="A15" s="74" t="s">
        <v>289</v>
      </c>
      <c r="B15" s="169">
        <v>414871.386</v>
      </c>
      <c r="C15" t="s">
        <v>289</v>
      </c>
      <c r="D15" s="166">
        <v>14161.092800000002</v>
      </c>
    </row>
    <row r="16" spans="1:6">
      <c r="A16" s="76" t="s">
        <v>288</v>
      </c>
      <c r="B16" s="170">
        <v>153261.25900000002</v>
      </c>
      <c r="C16" s="7" t="s">
        <v>288</v>
      </c>
      <c r="D16" s="168">
        <v>64086.613500000007</v>
      </c>
    </row>
    <row r="18" spans="1:7">
      <c r="A18" s="5" t="s">
        <v>648</v>
      </c>
    </row>
    <row r="19" spans="1:7">
      <c r="A19" s="190" t="s">
        <v>605</v>
      </c>
      <c r="B19" s="192"/>
      <c r="C19" s="192"/>
      <c r="D19" s="192"/>
      <c r="E19" s="191"/>
    </row>
    <row r="20" spans="1:7">
      <c r="A20" s="72" t="s">
        <v>271</v>
      </c>
      <c r="B20" s="5" t="s">
        <v>535</v>
      </c>
      <c r="C20" s="5" t="s">
        <v>520</v>
      </c>
      <c r="D20" s="5" t="s">
        <v>536</v>
      </c>
      <c r="E20" s="73" t="s">
        <v>537</v>
      </c>
    </row>
    <row r="21" spans="1:7">
      <c r="A21" s="74" t="s">
        <v>286</v>
      </c>
      <c r="B21" s="165" cm="1">
        <f t="array" ref="B21:E26">'8. Mineral Market Values'!B58:E63</f>
        <v>2123.4399999999996</v>
      </c>
      <c r="C21" s="165">
        <v>280.21471767200518</v>
      </c>
      <c r="D21" s="165">
        <v>1843.2252823279944</v>
      </c>
      <c r="E21" s="166">
        <v>2403.6547176720046</v>
      </c>
    </row>
    <row r="22" spans="1:7">
      <c r="A22" s="74" t="s">
        <v>290</v>
      </c>
      <c r="B22" s="165">
        <v>46992</v>
      </c>
      <c r="C22" s="165">
        <v>23574.773381731582</v>
      </c>
      <c r="D22" s="165">
        <v>23417.226618268418</v>
      </c>
      <c r="E22" s="166">
        <v>70566.773381731589</v>
      </c>
    </row>
    <row r="23" spans="1:7">
      <c r="A23" s="74" t="s">
        <v>254</v>
      </c>
      <c r="B23" s="165">
        <v>1013.6688277832823</v>
      </c>
      <c r="C23" s="165">
        <v>202.89523261354051</v>
      </c>
      <c r="D23" s="165">
        <v>810.77359516974172</v>
      </c>
      <c r="E23" s="166">
        <v>1216.5640603968227</v>
      </c>
    </row>
    <row r="24" spans="1:7">
      <c r="A24" s="74" t="s">
        <v>287</v>
      </c>
      <c r="B24" s="165">
        <v>2618.5489437143901</v>
      </c>
      <c r="C24" s="165">
        <v>707.05336924779601</v>
      </c>
      <c r="D24" s="165">
        <v>1911.495574466594</v>
      </c>
      <c r="E24" s="166">
        <v>3325.6023129621863</v>
      </c>
    </row>
    <row r="25" spans="1:7">
      <c r="A25" s="74" t="s">
        <v>289</v>
      </c>
      <c r="B25" s="165">
        <v>5710</v>
      </c>
      <c r="C25" s="165">
        <v>960.59877160029725</v>
      </c>
      <c r="D25" s="165">
        <v>4749.4012283997026</v>
      </c>
      <c r="E25" s="166">
        <v>6670.5987716002974</v>
      </c>
    </row>
    <row r="26" spans="1:7">
      <c r="A26" s="76" t="s">
        <v>288</v>
      </c>
      <c r="B26" s="167">
        <v>12361.4</v>
      </c>
      <c r="C26" s="167">
        <v>2855.8701476082579</v>
      </c>
      <c r="D26" s="167">
        <v>9505.5298523917409</v>
      </c>
      <c r="E26" s="168">
        <v>15217.270147608258</v>
      </c>
    </row>
    <row r="28" spans="1:7">
      <c r="A28" s="5" t="s">
        <v>649</v>
      </c>
    </row>
    <row r="29" spans="1:7">
      <c r="A29" s="190" t="s">
        <v>202</v>
      </c>
      <c r="B29" s="192"/>
      <c r="C29" s="192"/>
      <c r="D29" s="192"/>
      <c r="E29" s="191"/>
    </row>
    <row r="30" spans="1:7">
      <c r="A30" s="254" t="s">
        <v>26</v>
      </c>
      <c r="B30" s="255"/>
      <c r="C30" s="255"/>
      <c r="D30" s="255"/>
      <c r="E30" s="256"/>
    </row>
    <row r="31" spans="1:7">
      <c r="A31" s="103" t="s">
        <v>271</v>
      </c>
      <c r="B31" s="101" t="s">
        <v>607</v>
      </c>
      <c r="C31" s="101" t="s">
        <v>608</v>
      </c>
      <c r="D31" s="101" t="s">
        <v>609</v>
      </c>
      <c r="E31" s="102" t="s">
        <v>610</v>
      </c>
      <c r="F31" s="5"/>
      <c r="G31" s="5"/>
    </row>
    <row r="32" spans="1:7">
      <c r="A32" s="74" t="s">
        <v>286</v>
      </c>
      <c r="B32" s="3" cm="1">
        <f t="array" ref="B32:B37">_xlfn.ANCHORARRAY('3. PHEV Battery Chemistry Stats'!B87)/1000</f>
        <v>1.602681818181818E-2</v>
      </c>
      <c r="C32" s="108">
        <f t="shared" ref="C32:C37" si="0">B32*B21</f>
        <v>34.031986799999991</v>
      </c>
      <c r="D32" s="108">
        <f t="shared" ref="D32:D37" si="1">B32*D21</f>
        <v>29.541036468001248</v>
      </c>
      <c r="E32" s="97">
        <f t="shared" ref="E32:E37" si="2">B32*E21</f>
        <v>38.522937131998731</v>
      </c>
      <c r="G32" s="4"/>
    </row>
    <row r="33" spans="1:26">
      <c r="A33" s="74" t="s">
        <v>290</v>
      </c>
      <c r="B33" s="3">
        <v>0</v>
      </c>
      <c r="C33" s="108">
        <f t="shared" si="0"/>
        <v>0</v>
      </c>
      <c r="D33" s="108">
        <f t="shared" si="1"/>
        <v>0</v>
      </c>
      <c r="E33" s="97">
        <f t="shared" si="2"/>
        <v>0</v>
      </c>
      <c r="G33" s="4"/>
    </row>
    <row r="34" spans="1:26">
      <c r="A34" s="74" t="s">
        <v>254</v>
      </c>
      <c r="B34" s="3">
        <v>1.6616818181818181E-2</v>
      </c>
      <c r="C34" s="108">
        <f t="shared" si="0"/>
        <v>16.843950607851568</v>
      </c>
      <c r="D34" s="108">
        <f t="shared" si="1"/>
        <v>13.472477417554657</v>
      </c>
      <c r="E34" s="97">
        <f t="shared" si="2"/>
        <v>20.215423798148475</v>
      </c>
      <c r="G34" s="4"/>
      <c r="H34" s="4"/>
      <c r="I34" s="113"/>
      <c r="J34" s="113"/>
    </row>
    <row r="35" spans="1:26">
      <c r="A35" s="74" t="s">
        <v>287</v>
      </c>
      <c r="B35" s="3">
        <v>1.5767653770111011E-3</v>
      </c>
      <c r="C35" s="108">
        <f t="shared" si="0"/>
        <v>4.1288373124578408</v>
      </c>
      <c r="D35" s="108">
        <f t="shared" si="1"/>
        <v>3.0139800401288706</v>
      </c>
      <c r="E35" s="97">
        <f t="shared" si="2"/>
        <v>5.2436945847868115</v>
      </c>
      <c r="G35" s="4"/>
    </row>
    <row r="36" spans="1:26">
      <c r="A36" s="74" t="s">
        <v>289</v>
      </c>
      <c r="B36" s="3">
        <v>0</v>
      </c>
      <c r="C36" s="108">
        <f t="shared" si="0"/>
        <v>0</v>
      </c>
      <c r="D36" s="108">
        <f t="shared" si="1"/>
        <v>0</v>
      </c>
      <c r="E36" s="97">
        <f t="shared" si="2"/>
        <v>0</v>
      </c>
      <c r="G36" s="4"/>
    </row>
    <row r="37" spans="1:26">
      <c r="A37" s="76" t="s">
        <v>288</v>
      </c>
      <c r="B37" s="129">
        <v>0</v>
      </c>
      <c r="C37" s="124">
        <f t="shared" si="0"/>
        <v>0</v>
      </c>
      <c r="D37" s="124">
        <f t="shared" si="1"/>
        <v>0</v>
      </c>
      <c r="E37" s="98">
        <f t="shared" si="2"/>
        <v>0</v>
      </c>
      <c r="G37" s="4"/>
    </row>
    <row r="38" spans="1:26">
      <c r="A38" s="74"/>
      <c r="B38" s="106" t="s">
        <v>383</v>
      </c>
      <c r="C38" s="173">
        <f>SUM(C32:C37)</f>
        <v>55.004774720309399</v>
      </c>
      <c r="D38" s="173">
        <f>SUM(D32:D37)</f>
        <v>46.02749392568478</v>
      </c>
      <c r="E38" s="174">
        <f>SUM(E32:E37)</f>
        <v>63.982055514934018</v>
      </c>
    </row>
    <row r="39" spans="1:26">
      <c r="A39" s="74"/>
      <c r="E39" s="75"/>
    </row>
    <row r="40" spans="1:26">
      <c r="A40" s="254" t="s">
        <v>28</v>
      </c>
      <c r="B40" s="255"/>
      <c r="C40" s="255"/>
      <c r="D40" s="255"/>
      <c r="E40" s="256"/>
      <c r="J40" s="274"/>
      <c r="K40" s="274"/>
    </row>
    <row r="41" spans="1:26">
      <c r="A41" s="103" t="s">
        <v>271</v>
      </c>
      <c r="B41" s="101" t="s">
        <v>607</v>
      </c>
      <c r="C41" s="101" t="s">
        <v>608</v>
      </c>
      <c r="D41" s="101" t="s">
        <v>609</v>
      </c>
      <c r="E41" s="102" t="s">
        <v>610</v>
      </c>
      <c r="F41" s="5"/>
      <c r="G41" s="5"/>
      <c r="H41" s="5"/>
      <c r="I41" s="5"/>
      <c r="J41" s="5"/>
      <c r="K41" s="5"/>
      <c r="L41" s="5"/>
      <c r="M41" s="5"/>
      <c r="N41" s="5"/>
      <c r="O41" s="5"/>
      <c r="P41" s="5" t="s">
        <v>611</v>
      </c>
      <c r="Q41" s="5" t="s">
        <v>612</v>
      </c>
      <c r="R41" s="5" t="s">
        <v>613</v>
      </c>
      <c r="X41" t="s">
        <v>614</v>
      </c>
      <c r="Y41" t="s">
        <v>615</v>
      </c>
    </row>
    <row r="42" spans="1:26">
      <c r="A42" s="74" t="s">
        <v>286</v>
      </c>
      <c r="B42" s="3" cm="1">
        <f t="array" ref="B42:B47">_xlfn.ANCHORARRAY('3. PHEV Battery Chemistry Stats'!C87)/1000</f>
        <v>1.602681818181818E-2</v>
      </c>
      <c r="C42" s="108">
        <f t="shared" ref="C42:C47" si="3">B42*B21</f>
        <v>34.031986799999991</v>
      </c>
      <c r="D42" s="108">
        <f t="shared" ref="D42:D47" si="4">B42*D21</f>
        <v>29.541036468001248</v>
      </c>
      <c r="E42" s="97">
        <f t="shared" ref="E42:E47" si="5">B42*E21</f>
        <v>38.522937131998731</v>
      </c>
      <c r="F42" s="112"/>
      <c r="G42" s="112"/>
      <c r="H42" s="112"/>
      <c r="I42" s="112"/>
      <c r="J42" s="114"/>
      <c r="K42" s="114"/>
      <c r="L42" s="4"/>
      <c r="U42" t="s">
        <v>650</v>
      </c>
      <c r="W42" t="s">
        <v>290</v>
      </c>
      <c r="X42" t="s">
        <v>617</v>
      </c>
      <c r="Y42" t="s">
        <v>618</v>
      </c>
      <c r="Z42" t="s">
        <v>619</v>
      </c>
    </row>
    <row r="43" spans="1:26">
      <c r="A43" s="74" t="s">
        <v>290</v>
      </c>
      <c r="B43" s="3">
        <v>0</v>
      </c>
      <c r="C43" s="108">
        <f t="shared" si="3"/>
        <v>0</v>
      </c>
      <c r="D43" s="108">
        <f t="shared" si="4"/>
        <v>0</v>
      </c>
      <c r="E43" s="97">
        <f t="shared" si="5"/>
        <v>0</v>
      </c>
      <c r="F43" s="112"/>
      <c r="G43" s="112"/>
      <c r="H43" s="112"/>
      <c r="I43" s="112"/>
      <c r="J43" s="114"/>
      <c r="K43" s="114"/>
      <c r="N43" s="115"/>
      <c r="U43" s="74" t="s">
        <v>286</v>
      </c>
      <c r="V43" s="4">
        <f t="shared" ref="V43:V48" si="6">C42/$C$48</f>
        <v>0.19359297723651347</v>
      </c>
      <c r="X43" s="116">
        <f>B43*0.15</f>
        <v>0</v>
      </c>
      <c r="Y43" s="113" t="e">
        <f>H43/X43</f>
        <v>#DIV/0!</v>
      </c>
      <c r="Z43" s="113" t="e">
        <f>I43/X43</f>
        <v>#DIV/0!</v>
      </c>
    </row>
    <row r="44" spans="1:26">
      <c r="A44" s="74" t="s">
        <v>254</v>
      </c>
      <c r="B44" s="3">
        <v>1.294090909090909E-2</v>
      </c>
      <c r="C44" s="108">
        <f t="shared" si="3"/>
        <v>13.117796148631838</v>
      </c>
      <c r="D44" s="108">
        <f t="shared" si="4"/>
        <v>10.492147388401158</v>
      </c>
      <c r="E44" s="97">
        <f t="shared" si="5"/>
        <v>15.743444908862518</v>
      </c>
      <c r="F44" s="112"/>
      <c r="G44" s="112"/>
      <c r="H44" s="112"/>
      <c r="I44" s="112"/>
      <c r="J44" s="114"/>
      <c r="K44" s="114"/>
      <c r="N44" s="115"/>
      <c r="O44" s="115"/>
      <c r="P44" s="115">
        <f>(H43-O44)</f>
        <v>0</v>
      </c>
      <c r="Q44" s="115" t="e">
        <f>P44/B43</f>
        <v>#DIV/0!</v>
      </c>
      <c r="R44" s="115" t="e">
        <f>N44+Q44</f>
        <v>#DIV/0!</v>
      </c>
      <c r="S44" s="115" t="e">
        <f>R44/0.8</f>
        <v>#DIV/0!</v>
      </c>
      <c r="U44" s="74" t="s">
        <v>290</v>
      </c>
      <c r="V44" s="4">
        <f t="shared" si="6"/>
        <v>0</v>
      </c>
    </row>
    <row r="45" spans="1:26">
      <c r="A45" s="74" t="s">
        <v>287</v>
      </c>
      <c r="B45" s="3">
        <v>1.3808868502868472E-3</v>
      </c>
      <c r="C45" s="108">
        <f t="shared" si="3"/>
        <v>3.6159198032077149</v>
      </c>
      <c r="D45" s="108">
        <f t="shared" si="4"/>
        <v>2.6395591031624228</v>
      </c>
      <c r="E45" s="97">
        <f t="shared" si="5"/>
        <v>4.592280503253007</v>
      </c>
      <c r="F45" s="112"/>
      <c r="G45" s="112"/>
      <c r="H45" s="112"/>
      <c r="I45" s="112"/>
      <c r="J45" s="114"/>
      <c r="K45" s="114"/>
      <c r="U45" s="74" t="s">
        <v>254</v>
      </c>
      <c r="V45" s="4">
        <f t="shared" si="6"/>
        <v>7.4621362135557368E-2</v>
      </c>
    </row>
    <row r="46" spans="1:26">
      <c r="A46" s="74" t="s">
        <v>289</v>
      </c>
      <c r="B46" s="3">
        <v>2.1895924658147957E-2</v>
      </c>
      <c r="C46" s="108">
        <f t="shared" si="3"/>
        <v>125.02572979802484</v>
      </c>
      <c r="D46" s="108">
        <f t="shared" si="4"/>
        <v>103.99253146835524</v>
      </c>
      <c r="E46" s="97">
        <f t="shared" si="5"/>
        <v>146.05892812769443</v>
      </c>
      <c r="F46" s="112"/>
      <c r="G46" s="112"/>
      <c r="H46" s="112"/>
      <c r="I46" s="112"/>
      <c r="J46" s="114"/>
      <c r="K46" s="114"/>
      <c r="U46" s="74" t="s">
        <v>287</v>
      </c>
      <c r="V46" s="4">
        <f t="shared" si="6"/>
        <v>2.0569374461306786E-2</v>
      </c>
    </row>
    <row r="47" spans="1:26">
      <c r="A47" s="76" t="s">
        <v>288</v>
      </c>
      <c r="B47" s="129">
        <v>0</v>
      </c>
      <c r="C47" s="124">
        <f t="shared" si="3"/>
        <v>0</v>
      </c>
      <c r="D47" s="124">
        <f t="shared" si="4"/>
        <v>0</v>
      </c>
      <c r="E47" s="98">
        <f t="shared" si="5"/>
        <v>0</v>
      </c>
      <c r="F47" s="112"/>
      <c r="G47" s="112"/>
      <c r="H47" s="112"/>
      <c r="I47" s="112"/>
      <c r="J47" s="114"/>
      <c r="K47" s="114"/>
      <c r="U47" s="74" t="s">
        <v>289</v>
      </c>
      <c r="V47" s="4">
        <f t="shared" si="6"/>
        <v>0.71121628616662236</v>
      </c>
    </row>
    <row r="48" spans="1:26">
      <c r="A48" s="74"/>
      <c r="B48" s="106" t="s">
        <v>383</v>
      </c>
      <c r="C48" s="173">
        <f>SUM(C42:C47)</f>
        <v>175.7914325498644</v>
      </c>
      <c r="D48" s="173">
        <f>SUM(D42:D47)</f>
        <v>146.66527442792005</v>
      </c>
      <c r="E48" s="174">
        <f>SUM(E42:E47)</f>
        <v>204.91759067180868</v>
      </c>
      <c r="U48" s="74" t="s">
        <v>288</v>
      </c>
      <c r="V48" s="4">
        <f t="shared" si="6"/>
        <v>0</v>
      </c>
    </row>
    <row r="49" spans="1:10">
      <c r="A49" s="74"/>
      <c r="E49" s="75"/>
    </row>
    <row r="50" spans="1:10">
      <c r="A50" s="254" t="s">
        <v>247</v>
      </c>
      <c r="B50" s="255"/>
      <c r="C50" s="255"/>
      <c r="D50" s="255"/>
      <c r="E50" s="256"/>
    </row>
    <row r="51" spans="1:10">
      <c r="A51" s="72" t="s">
        <v>271</v>
      </c>
      <c r="B51" s="5" t="s">
        <v>607</v>
      </c>
      <c r="C51" s="5" t="s">
        <v>608</v>
      </c>
      <c r="D51" s="5" t="s">
        <v>609</v>
      </c>
      <c r="E51" s="73" t="s">
        <v>610</v>
      </c>
      <c r="F51" s="5"/>
      <c r="G51" s="5"/>
    </row>
    <row r="52" spans="1:10">
      <c r="A52" s="74" t="s">
        <v>286</v>
      </c>
      <c r="B52" s="3" cm="1">
        <f t="array" ref="B52:B57">_xlfn.ANCHORARRAY('3. PHEV Battery Chemistry Stats'!D87)/1000</f>
        <v>1.4182636363636364E-2</v>
      </c>
      <c r="C52" s="108">
        <f t="shared" ref="C52:C57" si="7">B52*B21</f>
        <v>30.115977359999995</v>
      </c>
      <c r="D52" s="108">
        <f t="shared" ref="D52:D57" si="8">B52*D21</f>
        <v>26.141793915518917</v>
      </c>
      <c r="E52" s="97">
        <f t="shared" ref="E52:E57" si="9">B52*E21</f>
        <v>34.090160804481073</v>
      </c>
      <c r="G52" s="4"/>
    </row>
    <row r="53" spans="1:10">
      <c r="A53" s="74" t="s">
        <v>290</v>
      </c>
      <c r="B53" s="3">
        <v>5.5183687977599996E-3</v>
      </c>
      <c r="C53" s="108">
        <f t="shared" si="7"/>
        <v>259.31918654433792</v>
      </c>
      <c r="D53" s="108">
        <f t="shared" si="8"/>
        <v>129.22489270032736</v>
      </c>
      <c r="E53" s="97">
        <f t="shared" si="9"/>
        <v>389.41348038834849</v>
      </c>
      <c r="G53" s="4"/>
      <c r="I53" s="113"/>
      <c r="J53" s="113"/>
    </row>
    <row r="54" spans="1:10">
      <c r="A54" s="74" t="s">
        <v>254</v>
      </c>
      <c r="B54" s="3">
        <v>1.4358818181818183E-2</v>
      </c>
      <c r="C54" s="108">
        <f t="shared" si="7"/>
        <v>14.555086394716918</v>
      </c>
      <c r="D54" s="108">
        <f t="shared" si="8"/>
        <v>11.641750639661382</v>
      </c>
      <c r="E54" s="97">
        <f t="shared" si="9"/>
        <v>17.468422149772451</v>
      </c>
      <c r="G54" s="4"/>
    </row>
    <row r="55" spans="1:10">
      <c r="A55" s="74" t="s">
        <v>287</v>
      </c>
      <c r="B55" s="3">
        <v>1.9519941167395218E-3</v>
      </c>
      <c r="C55" s="108">
        <f t="shared" si="7"/>
        <v>5.1113921325249789</v>
      </c>
      <c r="D55" s="108">
        <f t="shared" si="8"/>
        <v>3.7312281155324238</v>
      </c>
      <c r="E55" s="97">
        <f t="shared" si="9"/>
        <v>6.4915561495175336</v>
      </c>
      <c r="G55" s="4"/>
    </row>
    <row r="56" spans="1:10">
      <c r="A56" s="74" t="s">
        <v>289</v>
      </c>
      <c r="B56" s="3">
        <v>5.15255241162914E-3</v>
      </c>
      <c r="C56" s="108">
        <f t="shared" si="7"/>
        <v>29.421074270402389</v>
      </c>
      <c r="D56" s="108">
        <f t="shared" si="8"/>
        <v>24.471538753185289</v>
      </c>
      <c r="E56" s="97">
        <f t="shared" si="9"/>
        <v>34.370609787619493</v>
      </c>
      <c r="G56" s="4"/>
    </row>
    <row r="57" spans="1:10">
      <c r="A57" s="76" t="s">
        <v>288</v>
      </c>
      <c r="B57" s="129">
        <v>5.507576987340097E-3</v>
      </c>
      <c r="C57" s="124">
        <f t="shared" si="7"/>
        <v>68.081362171305869</v>
      </c>
      <c r="D57" s="124">
        <f t="shared" si="8"/>
        <v>52.352437467507059</v>
      </c>
      <c r="E57" s="98">
        <f t="shared" si="9"/>
        <v>83.81028687510468</v>
      </c>
      <c r="G57" s="4"/>
    </row>
    <row r="58" spans="1:10">
      <c r="B58" s="78" t="s">
        <v>383</v>
      </c>
      <c r="C58" s="173">
        <f>SUM(C52:C57)</f>
        <v>406.60407887328813</v>
      </c>
      <c r="D58" s="173">
        <f>SUM(D52:D57)</f>
        <v>247.56364159173242</v>
      </c>
      <c r="E58" s="174">
        <f>SUM(E52:E57)</f>
        <v>565.6445161548437</v>
      </c>
      <c r="G58" s="4"/>
    </row>
    <row r="60" spans="1:10">
      <c r="A60" s="5" t="s">
        <v>651</v>
      </c>
      <c r="B60" s="107"/>
      <c r="C60" s="107"/>
      <c r="D60" s="107"/>
      <c r="E60" s="107"/>
      <c r="F60" s="107"/>
      <c r="G60" s="107"/>
    </row>
    <row r="61" spans="1:10" ht="15.95" thickBot="1">
      <c r="A61" s="224" t="s">
        <v>652</v>
      </c>
      <c r="B61" s="225"/>
      <c r="C61" s="225"/>
      <c r="D61" s="226"/>
    </row>
    <row r="62" spans="1:10" ht="15.95" thickBot="1">
      <c r="A62" s="254" t="s">
        <v>26</v>
      </c>
      <c r="B62" s="255"/>
      <c r="C62" s="255"/>
      <c r="D62" s="256"/>
    </row>
    <row r="63" spans="1:10">
      <c r="A63" s="110" t="s">
        <v>271</v>
      </c>
      <c r="B63" s="5" t="s">
        <v>622</v>
      </c>
      <c r="C63" s="5" t="s">
        <v>623</v>
      </c>
      <c r="D63" s="73" t="s">
        <v>624</v>
      </c>
      <c r="E63" s="5"/>
      <c r="F63" s="5"/>
      <c r="G63" s="5"/>
      <c r="H63" s="5"/>
    </row>
    <row r="64" spans="1:10">
      <c r="A64" s="109" t="s">
        <v>286</v>
      </c>
      <c r="B64" s="171">
        <f t="shared" ref="B64:B69" si="10">B32*500000</f>
        <v>8013.4090909090901</v>
      </c>
      <c r="C64" s="171">
        <f>$B11-B64</f>
        <v>954356.59090909094</v>
      </c>
      <c r="D64" s="169">
        <f>$D11-B64</f>
        <v>618729.75910909101</v>
      </c>
      <c r="E64" s="149"/>
      <c r="F64" s="149"/>
      <c r="G64" s="108"/>
    </row>
    <row r="65" spans="1:8">
      <c r="A65" s="109" t="s">
        <v>290</v>
      </c>
      <c r="B65" s="171">
        <f t="shared" si="10"/>
        <v>0</v>
      </c>
      <c r="C65" s="171"/>
      <c r="D65" s="169"/>
      <c r="E65" s="149"/>
      <c r="F65" s="149"/>
      <c r="G65" s="108"/>
    </row>
    <row r="66" spans="1:8">
      <c r="A66" s="109" t="s">
        <v>254</v>
      </c>
      <c r="B66" s="171">
        <f t="shared" si="10"/>
        <v>8308.4090909090901</v>
      </c>
      <c r="C66" s="171">
        <f>$B13-B66</f>
        <v>20088.290909090909</v>
      </c>
      <c r="D66" s="169">
        <f>$D13-B66</f>
        <v>8459.4330340909128</v>
      </c>
      <c r="E66" s="149"/>
      <c r="F66" s="149"/>
      <c r="G66" s="108"/>
    </row>
    <row r="67" spans="1:8">
      <c r="A67" s="109" t="s">
        <v>287</v>
      </c>
      <c r="B67" s="171">
        <f t="shared" si="10"/>
        <v>788.3826885055505</v>
      </c>
      <c r="C67" s="171">
        <f>$B14-B67</f>
        <v>54275.017903494452</v>
      </c>
      <c r="D67" s="169">
        <f>$D14-B67</f>
        <v>-121.3955285055506</v>
      </c>
      <c r="E67" s="149"/>
      <c r="F67" s="149"/>
      <c r="G67" s="108"/>
    </row>
    <row r="68" spans="1:8">
      <c r="A68" s="109" t="s">
        <v>289</v>
      </c>
      <c r="B68" s="171">
        <f t="shared" si="10"/>
        <v>0</v>
      </c>
      <c r="C68" s="171"/>
      <c r="D68" s="169"/>
      <c r="E68" s="149"/>
      <c r="F68" s="149"/>
      <c r="G68" s="108"/>
    </row>
    <row r="69" spans="1:8" ht="15.95" thickBot="1">
      <c r="A69" s="130" t="s">
        <v>288</v>
      </c>
      <c r="B69" s="172">
        <f t="shared" si="10"/>
        <v>0</v>
      </c>
      <c r="C69" s="172"/>
      <c r="D69" s="170"/>
      <c r="E69" s="149"/>
      <c r="F69" s="149"/>
      <c r="G69" s="108"/>
    </row>
    <row r="70" spans="1:8" ht="15.95" thickBot="1">
      <c r="A70" s="74"/>
      <c r="D70" s="75"/>
    </row>
    <row r="71" spans="1:8" ht="15.95" thickBot="1">
      <c r="A71" s="254" t="s">
        <v>28</v>
      </c>
      <c r="B71" s="255"/>
      <c r="C71" s="255"/>
      <c r="D71" s="256"/>
    </row>
    <row r="72" spans="1:8">
      <c r="A72" s="110" t="s">
        <v>271</v>
      </c>
      <c r="B72" s="5" t="s">
        <v>622</v>
      </c>
      <c r="C72" s="5" t="s">
        <v>623</v>
      </c>
      <c r="D72" s="73" t="s">
        <v>624</v>
      </c>
      <c r="E72" s="5"/>
      <c r="F72" s="5"/>
      <c r="G72" s="5"/>
      <c r="H72" s="5"/>
    </row>
    <row r="73" spans="1:8">
      <c r="A73" s="109" t="s">
        <v>286</v>
      </c>
      <c r="B73" s="171">
        <f t="shared" ref="B73:B78" si="11">B42*500000</f>
        <v>8013.4090909090901</v>
      </c>
      <c r="C73" s="171">
        <f t="shared" ref="C73:C78" si="12">$B11-B73</f>
        <v>954356.59090909094</v>
      </c>
      <c r="D73" s="169">
        <f t="shared" ref="D73:D78" si="13">$D11-B73</f>
        <v>618729.75910909101</v>
      </c>
      <c r="F73" s="108"/>
      <c r="G73" s="108"/>
    </row>
    <row r="74" spans="1:8">
      <c r="A74" s="109" t="s">
        <v>290</v>
      </c>
      <c r="B74" s="171">
        <f t="shared" si="11"/>
        <v>0</v>
      </c>
      <c r="C74" s="171">
        <f t="shared" si="12"/>
        <v>4581.18</v>
      </c>
      <c r="D74" s="169">
        <f t="shared" si="13"/>
        <v>1833.96</v>
      </c>
      <c r="F74" s="108"/>
      <c r="G74" s="108"/>
    </row>
    <row r="75" spans="1:8">
      <c r="A75" s="109" t="s">
        <v>254</v>
      </c>
      <c r="B75" s="171">
        <f t="shared" si="11"/>
        <v>6470.454545454545</v>
      </c>
      <c r="C75" s="171">
        <f t="shared" si="12"/>
        <v>21926.245454545457</v>
      </c>
      <c r="D75" s="169">
        <f t="shared" si="13"/>
        <v>10297.387579545459</v>
      </c>
      <c r="F75" s="108"/>
      <c r="G75" s="108"/>
    </row>
    <row r="76" spans="1:8">
      <c r="A76" s="109" t="s">
        <v>287</v>
      </c>
      <c r="B76" s="171">
        <f t="shared" si="11"/>
        <v>690.44342514342361</v>
      </c>
      <c r="C76" s="171">
        <f t="shared" si="12"/>
        <v>54372.957166856584</v>
      </c>
      <c r="D76" s="169">
        <f t="shared" si="13"/>
        <v>-23.456265143423707</v>
      </c>
      <c r="F76" s="108"/>
      <c r="G76" s="108"/>
    </row>
    <row r="77" spans="1:8">
      <c r="A77" s="109" t="s">
        <v>289</v>
      </c>
      <c r="B77" s="171">
        <f t="shared" si="11"/>
        <v>10947.962329073978</v>
      </c>
      <c r="C77" s="171">
        <f t="shared" si="12"/>
        <v>403923.42367092601</v>
      </c>
      <c r="D77" s="169">
        <f t="shared" si="13"/>
        <v>3213.1304709260239</v>
      </c>
      <c r="F77" s="108"/>
      <c r="G77" s="108"/>
    </row>
    <row r="78" spans="1:8" ht="15.95" thickBot="1">
      <c r="A78" s="130" t="s">
        <v>288</v>
      </c>
      <c r="B78" s="172">
        <f t="shared" si="11"/>
        <v>0</v>
      </c>
      <c r="C78" s="172">
        <f t="shared" si="12"/>
        <v>153261.25900000002</v>
      </c>
      <c r="D78" s="170">
        <f t="shared" si="13"/>
        <v>64086.613500000007</v>
      </c>
      <c r="F78" s="108"/>
      <c r="G78" s="108"/>
    </row>
    <row r="79" spans="1:8" ht="15.95" thickBot="1">
      <c r="A79" s="74"/>
      <c r="D79" s="75"/>
    </row>
    <row r="80" spans="1:8" ht="15.95" thickBot="1">
      <c r="A80" s="254" t="s">
        <v>247</v>
      </c>
      <c r="B80" s="255"/>
      <c r="C80" s="255"/>
      <c r="D80" s="256"/>
    </row>
    <row r="81" spans="1:8">
      <c r="A81" s="110" t="s">
        <v>271</v>
      </c>
      <c r="B81" s="5" t="s">
        <v>622</v>
      </c>
      <c r="C81" s="5" t="s">
        <v>623</v>
      </c>
      <c r="D81" s="73" t="s">
        <v>624</v>
      </c>
      <c r="E81" s="5"/>
      <c r="F81" s="5"/>
      <c r="G81" s="5"/>
      <c r="H81" s="5"/>
    </row>
    <row r="82" spans="1:8">
      <c r="A82" s="109" t="s">
        <v>286</v>
      </c>
      <c r="B82" s="108">
        <f t="shared" ref="B82:B87" si="14">B52*500000</f>
        <v>7091.318181818182</v>
      </c>
      <c r="C82" s="108">
        <f t="shared" ref="C82:C87" si="15">$B11-B82</f>
        <v>955278.68181818177</v>
      </c>
      <c r="D82" s="97">
        <f t="shared" ref="D82:D87" si="16">$D11-B82</f>
        <v>619651.85001818184</v>
      </c>
    </row>
    <row r="83" spans="1:8">
      <c r="A83" s="109" t="s">
        <v>290</v>
      </c>
      <c r="B83" s="108">
        <f t="shared" si="14"/>
        <v>2759.1843988799997</v>
      </c>
      <c r="C83" s="108">
        <f t="shared" si="15"/>
        <v>1821.9956011200006</v>
      </c>
      <c r="D83" s="97">
        <f t="shared" si="16"/>
        <v>-925.22439887999963</v>
      </c>
    </row>
    <row r="84" spans="1:8">
      <c r="A84" s="109" t="s">
        <v>254</v>
      </c>
      <c r="B84" s="108">
        <f t="shared" si="14"/>
        <v>7179.409090909091</v>
      </c>
      <c r="C84" s="108">
        <f t="shared" si="15"/>
        <v>21217.290909090909</v>
      </c>
      <c r="D84" s="97">
        <f t="shared" si="16"/>
        <v>9588.433034090911</v>
      </c>
    </row>
    <row r="85" spans="1:8">
      <c r="A85" s="109" t="s">
        <v>287</v>
      </c>
      <c r="B85" s="108">
        <f t="shared" si="14"/>
        <v>975.99705836976091</v>
      </c>
      <c r="C85" s="108">
        <f t="shared" si="15"/>
        <v>54087.403533630248</v>
      </c>
      <c r="D85" s="97">
        <f t="shared" si="16"/>
        <v>-309.009898369761</v>
      </c>
    </row>
    <row r="86" spans="1:8">
      <c r="A86" s="109" t="s">
        <v>289</v>
      </c>
      <c r="B86" s="108">
        <f t="shared" si="14"/>
        <v>2576.2762058145699</v>
      </c>
      <c r="C86" s="108">
        <f t="shared" si="15"/>
        <v>412295.10979418544</v>
      </c>
      <c r="D86" s="97">
        <f t="shared" si="16"/>
        <v>11584.816594185431</v>
      </c>
    </row>
    <row r="87" spans="1:8" ht="15.95" thickBot="1">
      <c r="A87" s="130" t="s">
        <v>288</v>
      </c>
      <c r="B87" s="124">
        <f t="shared" si="14"/>
        <v>2753.7884936700484</v>
      </c>
      <c r="C87" s="124">
        <f t="shared" si="15"/>
        <v>150507.47050632996</v>
      </c>
      <c r="D87" s="98">
        <f t="shared" si="16"/>
        <v>61332.825006329957</v>
      </c>
    </row>
    <row r="89" spans="1:8">
      <c r="A89" s="5" t="s">
        <v>653</v>
      </c>
      <c r="B89" s="4"/>
      <c r="C89" s="4"/>
      <c r="D89" s="4"/>
      <c r="E89" s="4"/>
      <c r="F89" s="4"/>
      <c r="G89" s="4"/>
    </row>
    <row r="90" spans="1:8">
      <c r="A90" s="190" t="s">
        <v>654</v>
      </c>
      <c r="B90" s="192"/>
      <c r="C90" s="192"/>
      <c r="D90" s="191"/>
      <c r="E90" s="4"/>
      <c r="F90" s="4"/>
      <c r="G90" s="4"/>
    </row>
    <row r="91" spans="1:8">
      <c r="A91" s="254" t="s">
        <v>26</v>
      </c>
      <c r="B91" s="255"/>
      <c r="C91" s="255"/>
      <c r="D91" s="256"/>
      <c r="E91" s="4"/>
      <c r="F91" s="4"/>
      <c r="G91" s="4"/>
    </row>
    <row r="92" spans="1:8">
      <c r="A92" s="110" t="s">
        <v>271</v>
      </c>
      <c r="B92" s="5" t="s">
        <v>627</v>
      </c>
      <c r="C92" s="5" t="s">
        <v>628</v>
      </c>
      <c r="D92" s="73" t="s">
        <v>629</v>
      </c>
      <c r="E92" s="4"/>
      <c r="F92" s="4"/>
      <c r="G92" s="4"/>
    </row>
    <row r="93" spans="1:8">
      <c r="A93" s="109" t="s">
        <v>286</v>
      </c>
      <c r="B93" s="4">
        <f t="shared" ref="B93:D98" si="17">C32/C$38</f>
        <v>0.61870968426008965</v>
      </c>
      <c r="C93" s="4">
        <f t="shared" si="17"/>
        <v>0.64181283725109406</v>
      </c>
      <c r="D93" s="87">
        <f t="shared" si="17"/>
        <v>0.60208970815273533</v>
      </c>
      <c r="E93" s="4"/>
      <c r="F93" s="4"/>
      <c r="G93" s="4"/>
    </row>
    <row r="94" spans="1:8">
      <c r="A94" s="109" t="s">
        <v>290</v>
      </c>
      <c r="B94" s="4">
        <f t="shared" si="17"/>
        <v>0</v>
      </c>
      <c r="C94" s="4">
        <f t="shared" si="17"/>
        <v>0</v>
      </c>
      <c r="D94" s="87">
        <f t="shared" si="17"/>
        <v>0</v>
      </c>
    </row>
    <row r="95" spans="1:8">
      <c r="A95" s="109" t="s">
        <v>254</v>
      </c>
      <c r="B95" s="4">
        <f t="shared" si="17"/>
        <v>0.3062270628959104</v>
      </c>
      <c r="C95" s="4">
        <f t="shared" si="17"/>
        <v>0.29270499582938608</v>
      </c>
      <c r="D95" s="87">
        <f t="shared" si="17"/>
        <v>0.3159545850075105</v>
      </c>
    </row>
    <row r="96" spans="1:8">
      <c r="A96" s="109" t="s">
        <v>287</v>
      </c>
      <c r="B96" s="4">
        <f t="shared" si="17"/>
        <v>7.506325284399995E-2</v>
      </c>
      <c r="C96" s="4">
        <f t="shared" si="17"/>
        <v>6.5482166919519719E-2</v>
      </c>
      <c r="D96" s="87">
        <f t="shared" si="17"/>
        <v>8.1955706839754214E-2</v>
      </c>
      <c r="F96" s="274"/>
      <c r="G96" s="274"/>
    </row>
    <row r="97" spans="1:4">
      <c r="A97" s="109" t="s">
        <v>289</v>
      </c>
      <c r="B97" s="4">
        <f t="shared" si="17"/>
        <v>0</v>
      </c>
      <c r="C97" s="4">
        <f t="shared" si="17"/>
        <v>0</v>
      </c>
      <c r="D97" s="87">
        <f t="shared" si="17"/>
        <v>0</v>
      </c>
    </row>
    <row r="98" spans="1:4">
      <c r="A98" s="109" t="s">
        <v>288</v>
      </c>
      <c r="B98" s="4">
        <f t="shared" si="17"/>
        <v>0</v>
      </c>
      <c r="C98" s="4">
        <f t="shared" si="17"/>
        <v>0</v>
      </c>
      <c r="D98" s="87">
        <f t="shared" si="17"/>
        <v>0</v>
      </c>
    </row>
    <row r="99" spans="1:4">
      <c r="A99" s="74"/>
      <c r="B99" s="4"/>
      <c r="C99" s="4"/>
      <c r="D99" s="75"/>
    </row>
    <row r="100" spans="1:4">
      <c r="A100" s="267" t="s">
        <v>28</v>
      </c>
      <c r="B100" s="268"/>
      <c r="C100" s="268"/>
      <c r="D100" s="269"/>
    </row>
    <row r="101" spans="1:4">
      <c r="A101" s="110" t="s">
        <v>271</v>
      </c>
      <c r="B101" s="5" t="s">
        <v>627</v>
      </c>
      <c r="C101" s="5" t="s">
        <v>628</v>
      </c>
      <c r="D101" s="73" t="s">
        <v>629</v>
      </c>
    </row>
    <row r="102" spans="1:4">
      <c r="A102" s="109" t="s">
        <v>286</v>
      </c>
      <c r="B102" s="4">
        <f t="shared" ref="B102:D107" si="18">C42/C$48</f>
        <v>0.19359297723651347</v>
      </c>
      <c r="C102" s="4">
        <f t="shared" si="18"/>
        <v>0.20141806970483292</v>
      </c>
      <c r="D102" s="87">
        <f t="shared" si="18"/>
        <v>0.18799233880168045</v>
      </c>
    </row>
    <row r="103" spans="1:4">
      <c r="A103" s="109" t="s">
        <v>290</v>
      </c>
      <c r="B103" s="4">
        <f t="shared" si="18"/>
        <v>0</v>
      </c>
      <c r="C103" s="4">
        <f t="shared" si="18"/>
        <v>0</v>
      </c>
      <c r="D103" s="87">
        <f t="shared" si="18"/>
        <v>0</v>
      </c>
    </row>
    <row r="104" spans="1:4">
      <c r="A104" s="109" t="s">
        <v>254</v>
      </c>
      <c r="B104" s="4">
        <f t="shared" si="18"/>
        <v>7.4621362135557368E-2</v>
      </c>
      <c r="C104" s="4">
        <f t="shared" si="18"/>
        <v>7.1538047634838176E-2</v>
      </c>
      <c r="D104" s="87">
        <f t="shared" si="18"/>
        <v>7.682817691369824E-2</v>
      </c>
    </row>
    <row r="105" spans="1:4">
      <c r="A105" s="109" t="s">
        <v>287</v>
      </c>
      <c r="B105" s="4">
        <f t="shared" si="18"/>
        <v>2.0569374461306786E-2</v>
      </c>
      <c r="C105" s="4">
        <f t="shared" si="18"/>
        <v>1.799716472394873E-2</v>
      </c>
      <c r="D105" s="87">
        <f t="shared" si="18"/>
        <v>2.2410377206746972E-2</v>
      </c>
    </row>
    <row r="106" spans="1:4">
      <c r="A106" s="109" t="s">
        <v>289</v>
      </c>
      <c r="B106" s="4">
        <f t="shared" si="18"/>
        <v>0.71121628616662236</v>
      </c>
      <c r="C106" s="4">
        <f t="shared" si="18"/>
        <v>0.7090467179363803</v>
      </c>
      <c r="D106" s="87">
        <f t="shared" si="18"/>
        <v>0.71276910707787433</v>
      </c>
    </row>
    <row r="107" spans="1:4">
      <c r="A107" s="130" t="s">
        <v>288</v>
      </c>
      <c r="B107" s="84">
        <f t="shared" si="18"/>
        <v>0</v>
      </c>
      <c r="C107" s="84">
        <f t="shared" si="18"/>
        <v>0</v>
      </c>
      <c r="D107" s="88">
        <f t="shared" si="18"/>
        <v>0</v>
      </c>
    </row>
    <row r="108" spans="1:4">
      <c r="A108" s="74"/>
      <c r="D108" s="75"/>
    </row>
    <row r="109" spans="1:4">
      <c r="A109" s="267" t="s">
        <v>247</v>
      </c>
      <c r="B109" s="268"/>
      <c r="C109" s="268"/>
      <c r="D109" s="269"/>
    </row>
    <row r="110" spans="1:4">
      <c r="A110" s="110" t="s">
        <v>271</v>
      </c>
      <c r="B110" s="5" t="s">
        <v>627</v>
      </c>
      <c r="C110" s="5" t="s">
        <v>628</v>
      </c>
      <c r="D110" s="73" t="s">
        <v>629</v>
      </c>
    </row>
    <row r="111" spans="1:4">
      <c r="A111" s="109" t="s">
        <v>286</v>
      </c>
      <c r="B111" s="4">
        <f t="shared" ref="B111:D116" si="19">C52/C$58</f>
        <v>7.4067081283228281E-2</v>
      </c>
      <c r="C111" s="4">
        <f t="shared" si="19"/>
        <v>0.10559625697633922</v>
      </c>
      <c r="D111" s="87">
        <f t="shared" si="19"/>
        <v>6.0267818092218504E-2</v>
      </c>
    </row>
    <row r="112" spans="1:4">
      <c r="A112" s="109" t="s">
        <v>290</v>
      </c>
      <c r="B112" s="4">
        <f t="shared" si="19"/>
        <v>0.63776828619850301</v>
      </c>
      <c r="C112" s="4">
        <f t="shared" si="19"/>
        <v>0.52198655614154177</v>
      </c>
      <c r="D112" s="87">
        <f t="shared" si="19"/>
        <v>0.68844206788305107</v>
      </c>
    </row>
    <row r="113" spans="1:5">
      <c r="A113" s="109" t="s">
        <v>254</v>
      </c>
      <c r="B113" s="4">
        <f t="shared" si="19"/>
        <v>3.5796705323393435E-2</v>
      </c>
      <c r="C113" s="4">
        <f t="shared" si="19"/>
        <v>4.7025284346318835E-2</v>
      </c>
      <c r="D113" s="87">
        <f t="shared" si="19"/>
        <v>3.0882332721122882E-2</v>
      </c>
    </row>
    <row r="114" spans="1:5">
      <c r="A114" s="109" t="s">
        <v>287</v>
      </c>
      <c r="B114" s="4">
        <f t="shared" si="19"/>
        <v>1.2570931769028969E-2</v>
      </c>
      <c r="C114" s="4">
        <f t="shared" si="19"/>
        <v>1.5071793626649541E-2</v>
      </c>
      <c r="D114" s="87">
        <f t="shared" si="19"/>
        <v>1.1476388374886123E-2</v>
      </c>
    </row>
    <row r="115" spans="1:5">
      <c r="A115" s="109" t="s">
        <v>289</v>
      </c>
      <c r="B115" s="4">
        <f t="shared" si="19"/>
        <v>7.2358040165088983E-2</v>
      </c>
      <c r="C115" s="4">
        <f t="shared" si="19"/>
        <v>9.8849486119380686E-2</v>
      </c>
      <c r="D115" s="87">
        <f t="shared" si="19"/>
        <v>6.0763622391789666E-2</v>
      </c>
    </row>
    <row r="116" spans="1:5">
      <c r="A116" s="130" t="s">
        <v>288</v>
      </c>
      <c r="B116" s="84">
        <f t="shared" si="19"/>
        <v>0.16743895526075717</v>
      </c>
      <c r="C116" s="84">
        <f t="shared" si="19"/>
        <v>0.21147062278977</v>
      </c>
      <c r="D116" s="88">
        <f t="shared" si="19"/>
        <v>0.14816777053693178</v>
      </c>
    </row>
    <row r="117" spans="1:5">
      <c r="A117" s="2"/>
      <c r="B117" s="4"/>
      <c r="C117" s="4"/>
      <c r="D117" s="4"/>
    </row>
    <row r="118" spans="1:5">
      <c r="A118" s="1" t="s">
        <v>655</v>
      </c>
      <c r="B118" s="4"/>
      <c r="C118" s="4"/>
      <c r="D118" s="4"/>
    </row>
    <row r="119" spans="1:5">
      <c r="A119" s="190" t="s">
        <v>208</v>
      </c>
      <c r="B119" s="192"/>
      <c r="C119" s="192"/>
      <c r="D119" s="192"/>
      <c r="E119" s="191"/>
    </row>
    <row r="120" spans="1:5">
      <c r="A120" s="74"/>
      <c r="C120" s="263" t="s">
        <v>631</v>
      </c>
      <c r="D120" s="264"/>
      <c r="E120" s="265"/>
    </row>
    <row r="121" spans="1:5">
      <c r="A121" s="72" t="s">
        <v>242</v>
      </c>
      <c r="B121" s="5" t="s">
        <v>271</v>
      </c>
      <c r="C121" s="103" t="s">
        <v>632</v>
      </c>
      <c r="D121" s="101" t="s">
        <v>633</v>
      </c>
      <c r="E121" s="102" t="s">
        <v>634</v>
      </c>
    </row>
    <row r="122" spans="1:5">
      <c r="A122" s="74" t="s">
        <v>26</v>
      </c>
      <c r="B122" t="s">
        <v>254</v>
      </c>
      <c r="C122" s="82">
        <f>0.8-(1-B95)</f>
        <v>0.10622706289591044</v>
      </c>
      <c r="D122" s="4">
        <f>0.8-(1-C95)</f>
        <v>9.2704995829386183E-2</v>
      </c>
      <c r="E122" s="87">
        <f>0.8-(1-D95)</f>
        <v>0.11595458500751055</v>
      </c>
    </row>
    <row r="123" spans="1:5">
      <c r="A123" s="74" t="s">
        <v>28</v>
      </c>
      <c r="B123" t="s">
        <v>289</v>
      </c>
      <c r="C123" s="82">
        <f>0.8-(1-B106)</f>
        <v>0.5112162861666224</v>
      </c>
      <c r="D123" s="4">
        <f>0.8-(1-C106)</f>
        <v>0.50904671793638034</v>
      </c>
      <c r="E123" s="87">
        <f>0.8-(1-D106)</f>
        <v>0.51276910707787438</v>
      </c>
    </row>
    <row r="124" spans="1:5">
      <c r="A124" s="76" t="s">
        <v>247</v>
      </c>
      <c r="B124" s="7" t="s">
        <v>290</v>
      </c>
      <c r="C124" s="86">
        <f>0.8-(1-B112)</f>
        <v>0.43776828619850305</v>
      </c>
      <c r="D124" s="84">
        <f>0.8-(1-C112)</f>
        <v>0.32198655614154181</v>
      </c>
      <c r="E124" s="88">
        <f>0.8-(1-D112)</f>
        <v>0.48844206788305111</v>
      </c>
    </row>
    <row r="126" spans="1:5" ht="15.95" thickBot="1">
      <c r="A126" s="5" t="s">
        <v>656</v>
      </c>
    </row>
    <row r="127" spans="1:5" ht="15.95" thickBot="1">
      <c r="A127" s="190" t="s">
        <v>657</v>
      </c>
      <c r="B127" s="192"/>
      <c r="C127" s="192"/>
      <c r="D127" s="192"/>
      <c r="E127" s="191"/>
    </row>
    <row r="128" spans="1:5">
      <c r="A128" s="72" t="s">
        <v>242</v>
      </c>
      <c r="B128" s="5" t="s">
        <v>271</v>
      </c>
      <c r="C128" s="5" t="s">
        <v>627</v>
      </c>
      <c r="D128" s="5" t="s">
        <v>628</v>
      </c>
      <c r="E128" s="73" t="s">
        <v>629</v>
      </c>
    </row>
    <row r="129" spans="1:7">
      <c r="A129" s="74" t="s">
        <v>26</v>
      </c>
      <c r="B129" t="s">
        <v>254</v>
      </c>
      <c r="C129" s="4">
        <f>C38*C122</f>
        <v>5.8429956637896909</v>
      </c>
      <c r="D129" s="4">
        <f>D38*D122</f>
        <v>4.2669786324177057</v>
      </c>
      <c r="E129" s="87">
        <f>E38*E122</f>
        <v>7.4190126951616753</v>
      </c>
    </row>
    <row r="130" spans="1:7">
      <c r="A130" s="74" t="s">
        <v>28</v>
      </c>
      <c r="B130" t="s">
        <v>289</v>
      </c>
      <c r="C130" s="4">
        <f>C48*C123</f>
        <v>89.867443288051973</v>
      </c>
      <c r="D130" s="4">
        <f>D48*D123</f>
        <v>74.659476582771234</v>
      </c>
      <c r="E130" s="87">
        <f>E48*E123</f>
        <v>105.0754099933327</v>
      </c>
    </row>
    <row r="131" spans="1:7">
      <c r="A131" s="76" t="s">
        <v>247</v>
      </c>
      <c r="B131" s="7" t="s">
        <v>290</v>
      </c>
      <c r="C131" s="84">
        <f>C124*C58</f>
        <v>177.99837076968032</v>
      </c>
      <c r="D131" s="84">
        <f>D124*D58</f>
        <v>79.712164381980884</v>
      </c>
      <c r="E131" s="88">
        <f>E124*E58</f>
        <v>276.28457715737977</v>
      </c>
    </row>
    <row r="133" spans="1:7">
      <c r="A133" s="5" t="s">
        <v>658</v>
      </c>
    </row>
    <row r="134" spans="1:7">
      <c r="A134" s="190" t="s">
        <v>212</v>
      </c>
      <c r="B134" s="192"/>
      <c r="C134" s="192"/>
      <c r="D134" s="192"/>
      <c r="E134" s="191"/>
    </row>
    <row r="135" spans="1:7">
      <c r="A135" s="72" t="s">
        <v>242</v>
      </c>
      <c r="B135" s="5" t="s">
        <v>271</v>
      </c>
      <c r="C135" s="5" t="s">
        <v>627</v>
      </c>
      <c r="D135" s="5" t="s">
        <v>628</v>
      </c>
      <c r="E135" s="73" t="s">
        <v>629</v>
      </c>
    </row>
    <row r="136" spans="1:7">
      <c r="A136" s="74" t="s">
        <v>26</v>
      </c>
      <c r="B136" t="s">
        <v>254</v>
      </c>
      <c r="C136" s="3">
        <f>C129/$B$23</f>
        <v>5.7642057283810409E-3</v>
      </c>
      <c r="D136" s="3">
        <f>D129/D$23</f>
        <v>5.2628485409966768E-3</v>
      </c>
      <c r="E136" s="131">
        <f>E129/E$23</f>
        <v>6.0983329498832299E-3</v>
      </c>
    </row>
    <row r="137" spans="1:7">
      <c r="A137" s="74" t="s">
        <v>28</v>
      </c>
      <c r="B137" t="s">
        <v>289</v>
      </c>
      <c r="C137" s="3">
        <f>C130/B$25</f>
        <v>1.5738606530306825E-2</v>
      </c>
      <c r="D137" s="3">
        <f>D130/D$25</f>
        <v>1.5719766133114748E-2</v>
      </c>
      <c r="E137" s="131">
        <f>E130/E$25</f>
        <v>1.5752020709248082E-2</v>
      </c>
    </row>
    <row r="138" spans="1:7">
      <c r="A138" s="76" t="s">
        <v>247</v>
      </c>
      <c r="B138" s="7" t="s">
        <v>290</v>
      </c>
      <c r="C138" s="129">
        <f>C131/$B$22</f>
        <v>3.7878441175025605E-3</v>
      </c>
      <c r="D138" s="129">
        <f>D131/$D$22</f>
        <v>3.40399679609349E-3</v>
      </c>
      <c r="E138" s="132">
        <f>E131/$E$22</f>
        <v>3.9152219085151572E-3</v>
      </c>
    </row>
    <row r="140" spans="1:7">
      <c r="A140" s="5" t="s">
        <v>659</v>
      </c>
    </row>
    <row r="141" spans="1:7">
      <c r="A141" s="224" t="s">
        <v>639</v>
      </c>
      <c r="B141" s="225"/>
      <c r="C141" s="225"/>
      <c r="D141" s="225"/>
      <c r="E141" s="225"/>
      <c r="F141" s="225"/>
      <c r="G141" s="226"/>
    </row>
    <row r="142" spans="1:7">
      <c r="A142" s="254" t="s">
        <v>570</v>
      </c>
      <c r="B142" s="255"/>
      <c r="C142" s="255"/>
      <c r="D142" s="255"/>
      <c r="E142" s="255"/>
      <c r="F142" s="255"/>
      <c r="G142" s="256"/>
    </row>
    <row r="143" spans="1:7">
      <c r="A143" s="74"/>
      <c r="C143" s="263" t="s">
        <v>571</v>
      </c>
      <c r="D143" s="264"/>
      <c r="E143" s="264"/>
      <c r="F143" s="264"/>
      <c r="G143" s="265"/>
    </row>
    <row r="144" spans="1:7">
      <c r="A144" s="104" t="s">
        <v>548</v>
      </c>
      <c r="B144" s="121" t="s">
        <v>640</v>
      </c>
      <c r="C144" s="72" t="s">
        <v>550</v>
      </c>
      <c r="D144" s="5" t="s">
        <v>551</v>
      </c>
      <c r="E144" s="5" t="s">
        <v>627</v>
      </c>
      <c r="F144" s="5" t="s">
        <v>628</v>
      </c>
      <c r="G144" s="73" t="s">
        <v>629</v>
      </c>
    </row>
    <row r="145" spans="1:7">
      <c r="A145" s="82" t="s">
        <v>542</v>
      </c>
      <c r="B145" s="4">
        <f>B13</f>
        <v>28396.7</v>
      </c>
      <c r="C145" s="82">
        <f>$B$4/1000000</f>
        <v>0.5</v>
      </c>
      <c r="D145" s="4">
        <f>$B$5/1000000</f>
        <v>1.5</v>
      </c>
      <c r="E145" s="4">
        <f t="shared" ref="E145:G146" si="20">$B145/C$136/1000000</f>
        <v>4.9263855833916628</v>
      </c>
      <c r="F145" s="4">
        <f t="shared" si="20"/>
        <v>5.3956901436160729</v>
      </c>
      <c r="G145" s="87">
        <f t="shared" si="20"/>
        <v>4.6564692733845794</v>
      </c>
    </row>
    <row r="146" spans="1:7">
      <c r="A146" s="86" t="s">
        <v>543</v>
      </c>
      <c r="B146" s="84">
        <f>D13</f>
        <v>16767.842125000003</v>
      </c>
      <c r="C146" s="86">
        <f>$B$4/1000000</f>
        <v>0.5</v>
      </c>
      <c r="D146" s="84">
        <f>$B$5/1000000</f>
        <v>1.5</v>
      </c>
      <c r="E146" s="84">
        <f t="shared" si="20"/>
        <v>2.9089596928230197</v>
      </c>
      <c r="F146" s="84">
        <f t="shared" si="20"/>
        <v>3.1860772724849333</v>
      </c>
      <c r="G146" s="88">
        <f t="shared" si="20"/>
        <v>2.7495780015292657</v>
      </c>
    </row>
    <row r="147" spans="1:7">
      <c r="A147" s="82"/>
      <c r="B147" s="4"/>
      <c r="C147" s="4"/>
      <c r="D147" s="4"/>
      <c r="E147" s="4"/>
      <c r="F147" s="4"/>
      <c r="G147" s="87"/>
    </row>
    <row r="148" spans="1:7">
      <c r="A148" s="257" t="s">
        <v>660</v>
      </c>
      <c r="B148" s="258"/>
      <c r="C148" s="258"/>
      <c r="D148" s="258"/>
      <c r="E148" s="258"/>
      <c r="F148" s="258"/>
      <c r="G148" s="259"/>
    </row>
    <row r="149" spans="1:7">
      <c r="A149" s="82"/>
      <c r="B149" s="4"/>
      <c r="C149" s="260" t="s">
        <v>571</v>
      </c>
      <c r="D149" s="261"/>
      <c r="E149" s="261"/>
      <c r="F149" s="261"/>
      <c r="G149" s="262"/>
    </row>
    <row r="150" spans="1:7">
      <c r="A150" s="104" t="s">
        <v>548</v>
      </c>
      <c r="B150" s="121" t="s">
        <v>642</v>
      </c>
      <c r="C150" s="104" t="s">
        <v>550</v>
      </c>
      <c r="D150" s="121" t="s">
        <v>551</v>
      </c>
      <c r="E150" s="121" t="s">
        <v>627</v>
      </c>
      <c r="F150" s="121" t="s">
        <v>628</v>
      </c>
      <c r="G150" s="105" t="s">
        <v>629</v>
      </c>
    </row>
    <row r="151" spans="1:7">
      <c r="A151" s="82" t="s">
        <v>542</v>
      </c>
      <c r="B151" s="4">
        <f>B15</f>
        <v>414871.386</v>
      </c>
      <c r="C151" s="82">
        <f>$B$4/1000000</f>
        <v>0.5</v>
      </c>
      <c r="D151" s="4">
        <f>$B$5/1000000</f>
        <v>1.5</v>
      </c>
      <c r="E151" s="4">
        <f t="shared" ref="E151:G152" si="21">$B151/C$137/1000000</f>
        <v>26.360109149504993</v>
      </c>
      <c r="F151" s="4">
        <f t="shared" si="21"/>
        <v>26.391702172085463</v>
      </c>
      <c r="G151" s="87">
        <f t="shared" si="21"/>
        <v>26.337661285350336</v>
      </c>
    </row>
    <row r="152" spans="1:7">
      <c r="A152" s="86" t="s">
        <v>543</v>
      </c>
      <c r="B152" s="84">
        <f>D15</f>
        <v>14161.092800000002</v>
      </c>
      <c r="C152" s="86">
        <f>$B$4/1000000</f>
        <v>0.5</v>
      </c>
      <c r="D152" s="84">
        <f>$B$5/1000000</f>
        <v>1.5</v>
      </c>
      <c r="E152" s="84">
        <f t="shared" si="21"/>
        <v>0.89976789067894258</v>
      </c>
      <c r="F152" s="84">
        <f t="shared" si="21"/>
        <v>0.90084627723364818</v>
      </c>
      <c r="G152" s="88">
        <f t="shared" si="21"/>
        <v>0.89900166216045918</v>
      </c>
    </row>
    <row r="153" spans="1:7">
      <c r="A153" s="82"/>
      <c r="B153" s="4"/>
      <c r="C153" s="4"/>
      <c r="D153" s="4"/>
      <c r="E153" s="4"/>
      <c r="F153" s="4"/>
      <c r="G153" s="87"/>
    </row>
    <row r="154" spans="1:7">
      <c r="A154" s="257" t="s">
        <v>661</v>
      </c>
      <c r="B154" s="258"/>
      <c r="C154" s="258"/>
      <c r="D154" s="258"/>
      <c r="E154" s="258"/>
      <c r="F154" s="258"/>
      <c r="G154" s="259"/>
    </row>
    <row r="155" spans="1:7">
      <c r="A155" s="82"/>
      <c r="B155" s="4"/>
      <c r="C155" s="271" t="s">
        <v>571</v>
      </c>
      <c r="D155" s="272"/>
      <c r="E155" s="272"/>
      <c r="F155" s="272"/>
      <c r="G155" s="273"/>
    </row>
    <row r="156" spans="1:7">
      <c r="A156" s="104" t="s">
        <v>548</v>
      </c>
      <c r="B156" s="121" t="s">
        <v>642</v>
      </c>
      <c r="C156" s="104" t="s">
        <v>550</v>
      </c>
      <c r="D156" s="121" t="s">
        <v>551</v>
      </c>
      <c r="E156" s="121" t="s">
        <v>627</v>
      </c>
      <c r="F156" s="121" t="s">
        <v>628</v>
      </c>
      <c r="G156" s="105" t="s">
        <v>629</v>
      </c>
    </row>
    <row r="157" spans="1:7">
      <c r="A157" s="82" t="s">
        <v>542</v>
      </c>
      <c r="B157" s="4">
        <f>B12</f>
        <v>4581.18</v>
      </c>
      <c r="C157" s="82">
        <f>$B$4/1000000</f>
        <v>0.5</v>
      </c>
      <c r="D157" s="4">
        <f>$B$5/1000000</f>
        <v>1.5</v>
      </c>
      <c r="E157" s="4">
        <f t="shared" ref="E157:G158" si="22">$B157/C$138/1000000</f>
        <v>1.2094425900030199</v>
      </c>
      <c r="F157" s="4">
        <f t="shared" si="22"/>
        <v>1.3458238284059123</v>
      </c>
      <c r="G157" s="87">
        <f t="shared" si="22"/>
        <v>1.1700945966910485</v>
      </c>
    </row>
    <row r="158" spans="1:7">
      <c r="A158" s="86" t="s">
        <v>543</v>
      </c>
      <c r="B158" s="84">
        <f>D12</f>
        <v>1833.96</v>
      </c>
      <c r="C158" s="86">
        <f>$B$4/1000000</f>
        <v>0.5</v>
      </c>
      <c r="D158" s="84">
        <f>$B$5/1000000</f>
        <v>1.5</v>
      </c>
      <c r="E158" s="84">
        <f t="shared" si="22"/>
        <v>0.48416987159682401</v>
      </c>
      <c r="F158" s="84">
        <f t="shared" si="22"/>
        <v>0.53876666455876143</v>
      </c>
      <c r="G158" s="88">
        <f t="shared" si="22"/>
        <v>0.46841789376263659</v>
      </c>
    </row>
    <row r="160" spans="1:7">
      <c r="A160" s="5" t="s">
        <v>662</v>
      </c>
    </row>
    <row r="161" spans="1:13">
      <c r="A161" s="190" t="s">
        <v>645</v>
      </c>
      <c r="B161" s="192"/>
      <c r="C161" s="192"/>
      <c r="D161" s="192"/>
      <c r="E161" s="192"/>
      <c r="F161" s="192"/>
      <c r="G161" s="191"/>
    </row>
    <row r="162" spans="1:13">
      <c r="A162" s="74"/>
      <c r="B162" s="257" t="s">
        <v>26</v>
      </c>
      <c r="C162" s="259"/>
      <c r="D162" s="254" t="s">
        <v>28</v>
      </c>
      <c r="E162" s="256"/>
      <c r="F162" s="254" t="s">
        <v>247</v>
      </c>
      <c r="G162" s="256"/>
      <c r="H162" s="5"/>
      <c r="I162" s="5"/>
      <c r="J162" s="5"/>
      <c r="K162" s="5"/>
      <c r="L162" s="5"/>
      <c r="M162" s="5"/>
    </row>
    <row r="163" spans="1:13">
      <c r="A163" s="74"/>
      <c r="B163" s="104" t="s">
        <v>542</v>
      </c>
      <c r="C163" s="105" t="s">
        <v>543</v>
      </c>
      <c r="D163" s="104" t="s">
        <v>542</v>
      </c>
      <c r="E163" s="105" t="s">
        <v>543</v>
      </c>
      <c r="F163" s="121" t="s">
        <v>542</v>
      </c>
      <c r="G163" s="105" t="s">
        <v>543</v>
      </c>
      <c r="H163" s="4"/>
      <c r="I163" s="4"/>
      <c r="J163" s="4"/>
      <c r="K163" s="4"/>
      <c r="L163" s="4"/>
      <c r="M163" s="4"/>
    </row>
    <row r="164" spans="1:13">
      <c r="A164" s="82" t="s">
        <v>519</v>
      </c>
      <c r="B164" s="82" cm="1">
        <f t="array" ref="B164:C164">TRANSPOSE(E145:E146)</f>
        <v>4.9263855833916628</v>
      </c>
      <c r="C164" s="87">
        <v>2.9089596928230197</v>
      </c>
      <c r="D164" s="82" cm="1">
        <f t="array" ref="D164:E164">TRANSPOSE(E151:E152)</f>
        <v>26.360109149504993</v>
      </c>
      <c r="E164" s="87">
        <v>0.89976789067894258</v>
      </c>
      <c r="F164" s="4" cm="1">
        <f t="array" ref="F164:G164">TRANSPOSE(E157:E158)</f>
        <v>1.2094425900030199</v>
      </c>
      <c r="G164" s="87">
        <v>0.48416987159682401</v>
      </c>
      <c r="H164" s="4"/>
      <c r="I164" s="4"/>
      <c r="J164" s="4"/>
      <c r="K164" s="4"/>
      <c r="L164" s="4"/>
      <c r="M164" s="4"/>
    </row>
    <row r="165" spans="1:13">
      <c r="A165" s="82" t="s">
        <v>521</v>
      </c>
      <c r="B165" s="82" cm="1">
        <f t="array" ref="B165:C165">TRANSPOSE(F145:F146)</f>
        <v>5.3956901436160729</v>
      </c>
      <c r="C165" s="87">
        <v>3.1860772724849333</v>
      </c>
      <c r="D165" s="82" cm="1">
        <f t="array" ref="D165:E165">TRANSPOSE(F151:F152)</f>
        <v>26.391702172085463</v>
      </c>
      <c r="E165" s="87">
        <v>0.90084627723364818</v>
      </c>
      <c r="F165" s="4" cm="1">
        <f t="array" ref="F165:G165">TRANSPOSE(F157:F158)</f>
        <v>1.3458238284059123</v>
      </c>
      <c r="G165" s="87">
        <v>0.53876666455876143</v>
      </c>
    </row>
    <row r="166" spans="1:13">
      <c r="A166" s="82" t="s">
        <v>522</v>
      </c>
      <c r="B166" s="82" cm="1">
        <f t="array" ref="B166:C166">TRANSPOSE(G145:G146)</f>
        <v>4.6564692733845794</v>
      </c>
      <c r="C166" s="87">
        <v>2.7495780015292657</v>
      </c>
      <c r="D166" s="82" cm="1">
        <f t="array" ref="D166:E166">TRANSPOSE(G151:G152)</f>
        <v>26.337661285350336</v>
      </c>
      <c r="E166" s="87">
        <v>0.89900166216045918</v>
      </c>
      <c r="F166" s="4" cm="1">
        <f t="array" ref="F166:G166">TRANSPOSE(G157:G158)</f>
        <v>1.1700945966910485</v>
      </c>
      <c r="G166" s="87">
        <v>0.46841789376263659</v>
      </c>
    </row>
    <row r="167" spans="1:13">
      <c r="A167" s="82" t="s">
        <v>579</v>
      </c>
      <c r="B167" s="82">
        <f t="shared" ref="B167:G167" si="23">$B$4/1000000</f>
        <v>0.5</v>
      </c>
      <c r="C167" s="87">
        <f t="shared" si="23"/>
        <v>0.5</v>
      </c>
      <c r="D167" s="82">
        <f t="shared" si="23"/>
        <v>0.5</v>
      </c>
      <c r="E167" s="87">
        <f t="shared" si="23"/>
        <v>0.5</v>
      </c>
      <c r="F167" s="4">
        <f t="shared" si="23"/>
        <v>0.5</v>
      </c>
      <c r="G167" s="87">
        <f t="shared" si="23"/>
        <v>0.5</v>
      </c>
    </row>
    <row r="168" spans="1:13">
      <c r="A168" s="86" t="s">
        <v>580</v>
      </c>
      <c r="B168" s="86">
        <f t="shared" ref="B168:G168" si="24">$B$5/1000000</f>
        <v>1.5</v>
      </c>
      <c r="C168" s="88">
        <f t="shared" si="24"/>
        <v>1.5</v>
      </c>
      <c r="D168" s="86">
        <f t="shared" si="24"/>
        <v>1.5</v>
      </c>
      <c r="E168" s="88">
        <f t="shared" si="24"/>
        <v>1.5</v>
      </c>
      <c r="F168" s="84">
        <f t="shared" si="24"/>
        <v>1.5</v>
      </c>
      <c r="G168" s="88">
        <f t="shared" si="24"/>
        <v>1.5</v>
      </c>
    </row>
    <row r="173" spans="1:13">
      <c r="B173" s="4"/>
    </row>
    <row r="175" spans="1:13">
      <c r="A175" s="5"/>
      <c r="B175" s="5"/>
      <c r="C175" s="5"/>
      <c r="D175" s="5"/>
      <c r="E175" s="5"/>
      <c r="F175" s="5"/>
      <c r="G175" s="5"/>
    </row>
    <row r="185" spans="2:7">
      <c r="B185" s="5"/>
      <c r="C185" s="5"/>
      <c r="D185" s="5"/>
      <c r="E185" s="5"/>
      <c r="F185" s="5"/>
      <c r="G185" s="5"/>
    </row>
  </sheetData>
  <mergeCells count="34">
    <mergeCell ref="A29:E29"/>
    <mergeCell ref="A30:E30"/>
    <mergeCell ref="A40:E40"/>
    <mergeCell ref="A2:C2"/>
    <mergeCell ref="A8:D8"/>
    <mergeCell ref="A9:B9"/>
    <mergeCell ref="C9:D9"/>
    <mergeCell ref="A19:E19"/>
    <mergeCell ref="J40:K40"/>
    <mergeCell ref="A50:E50"/>
    <mergeCell ref="A61:D61"/>
    <mergeCell ref="A141:G141"/>
    <mergeCell ref="A71:D71"/>
    <mergeCell ref="A80:D80"/>
    <mergeCell ref="A90:D90"/>
    <mergeCell ref="A91:D91"/>
    <mergeCell ref="F96:G96"/>
    <mergeCell ref="A100:D100"/>
    <mergeCell ref="A109:D109"/>
    <mergeCell ref="A119:E119"/>
    <mergeCell ref="C120:E120"/>
    <mergeCell ref="A127:E127"/>
    <mergeCell ref="A134:E134"/>
    <mergeCell ref="A62:D62"/>
    <mergeCell ref="A161:G161"/>
    <mergeCell ref="B162:C162"/>
    <mergeCell ref="D162:E162"/>
    <mergeCell ref="F162:G162"/>
    <mergeCell ref="A142:G142"/>
    <mergeCell ref="C143:G143"/>
    <mergeCell ref="A148:G148"/>
    <mergeCell ref="C149:G149"/>
    <mergeCell ref="A154:G154"/>
    <mergeCell ref="C155:G15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F88D8-A2F6-0F4D-8932-231625A320E0}">
  <dimension ref="A1:I2"/>
  <sheetViews>
    <sheetView tabSelected="1" zoomScale="150" zoomScaleNormal="150" workbookViewId="0">
      <selection activeCell="K3" sqref="K3"/>
    </sheetView>
  </sheetViews>
  <sheetFormatPr defaultColWidth="11.42578125" defaultRowHeight="15"/>
  <sheetData>
    <row r="1" spans="1:9" ht="15.95" thickBot="1">
      <c r="A1" s="5" t="s">
        <v>663</v>
      </c>
    </row>
    <row r="2" spans="1:9" ht="15.95" thickBot="1">
      <c r="A2" s="190" t="s">
        <v>664</v>
      </c>
      <c r="B2" s="192"/>
      <c r="C2" s="192"/>
      <c r="D2" s="192"/>
      <c r="E2" s="192"/>
      <c r="F2" s="192"/>
      <c r="G2" s="192"/>
      <c r="H2" s="192"/>
      <c r="I2" s="191"/>
    </row>
  </sheetData>
  <mergeCells count="1">
    <mergeCell ref="A2:I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Jenna Trost</cp:lastModifiedBy>
  <cp:revision/>
  <dcterms:created xsi:type="dcterms:W3CDTF">2022-11-17T21:18:32Z</dcterms:created>
  <dcterms:modified xsi:type="dcterms:W3CDTF">2023-01-25T21:00:39Z</dcterms:modified>
  <cp:category/>
  <cp:contentStatus/>
</cp:coreProperties>
</file>