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roup\Manuscripts\2023_Methylocoli_bioproduction\Final\Source Data\Figure 4\Submit\"/>
    </mc:Choice>
  </mc:AlternateContent>
  <xr:revisionPtr revIDLastSave="0" documentId="13_ncr:1_{DCECF996-8D7E-492E-B455-852841AA2CD4}" xr6:coauthVersionLast="47" xr6:coauthVersionMax="47" xr10:uidLastSave="{00000000-0000-0000-0000-000000000000}"/>
  <bookViews>
    <workbookView xWindow="-28920" yWindow="-120" windowWidth="29040" windowHeight="17520" activeTab="3" xr2:uid="{20F5F131-D7B9-4AC5-BC4A-498A95261E05}"/>
  </bookViews>
  <sheets>
    <sheet name="4b" sheetId="1" r:id="rId1"/>
    <sheet name="4c" sheetId="2" r:id="rId2"/>
    <sheet name="4d-productivity" sheetId="3" r:id="rId3"/>
    <sheet name="4d-titer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B21" i="2"/>
  <c r="D20" i="2"/>
  <c r="B20" i="2"/>
  <c r="D19" i="2"/>
  <c r="B19" i="2"/>
  <c r="D18" i="2"/>
  <c r="B18" i="2"/>
  <c r="D17" i="2"/>
  <c r="B17" i="2"/>
  <c r="D16" i="2"/>
  <c r="B16" i="2"/>
  <c r="D15" i="2"/>
  <c r="B15" i="2"/>
  <c r="D14" i="2"/>
  <c r="B14" i="2"/>
  <c r="D13" i="2"/>
  <c r="B13" i="2"/>
  <c r="D11" i="2"/>
  <c r="B11" i="2"/>
  <c r="D10" i="2"/>
  <c r="B10" i="2"/>
  <c r="D9" i="2"/>
  <c r="B9" i="2"/>
  <c r="D8" i="2"/>
  <c r="B8" i="2"/>
  <c r="D7" i="2"/>
  <c r="B7" i="2"/>
  <c r="D5" i="2"/>
  <c r="B5" i="2"/>
  <c r="D4" i="2"/>
  <c r="B4" i="2"/>
  <c r="D3" i="2"/>
  <c r="B3" i="2"/>
  <c r="D2" i="2"/>
  <c r="B2" i="2"/>
  <c r="J2" i="1" l="1"/>
  <c r="K2" i="1" s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E3" i="1"/>
  <c r="E4" i="1"/>
  <c r="E6" i="1"/>
  <c r="E7" i="1"/>
  <c r="E8" i="1"/>
  <c r="E10" i="1"/>
  <c r="E11" i="1"/>
  <c r="E2" i="1"/>
  <c r="B7" i="1" l="1"/>
  <c r="E12" i="1" l="1"/>
  <c r="E13" i="1"/>
  <c r="E14" i="1"/>
  <c r="E15" i="1"/>
  <c r="E17" i="1"/>
  <c r="E18" i="1"/>
  <c r="B18" i="1"/>
  <c r="B17" i="1"/>
  <c r="B15" i="1"/>
  <c r="B14" i="1"/>
  <c r="B13" i="1"/>
  <c r="B12" i="1"/>
  <c r="B11" i="1"/>
  <c r="B10" i="1"/>
  <c r="B9" i="1"/>
  <c r="B8" i="1"/>
  <c r="B6" i="1"/>
  <c r="B4" i="1"/>
</calcChain>
</file>

<file path=xl/sharedStrings.xml><?xml version="1.0" encoding="utf-8"?>
<sst xmlns="http://schemas.openxmlformats.org/spreadsheetml/2006/main" count="40" uniqueCount="27">
  <si>
    <t>Time [h]</t>
  </si>
  <si>
    <t>Methanol concentration [mM]</t>
  </si>
  <si>
    <t>Supplementation</t>
  </si>
  <si>
    <t>Comment</t>
  </si>
  <si>
    <t>Methanol concentration [g/L]</t>
  </si>
  <si>
    <r>
      <t>Biomass concentration [</t>
    </r>
    <r>
      <rPr>
        <b/>
        <sz val="10"/>
        <rFont val="Arial"/>
        <family val="2"/>
      </rPr>
      <t>g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cell dry weight/L]</t>
    </r>
  </si>
  <si>
    <t>22.1 ± 0.5</t>
  </si>
  <si>
    <t>Increased maximal air flow to 5.0 L/min</t>
  </si>
  <si>
    <r>
      <t>OD</t>
    </r>
    <r>
      <rPr>
        <b/>
        <vertAlign val="subscript"/>
        <sz val="10"/>
        <color theme="1"/>
        <rFont val="Arial"/>
        <family val="2"/>
      </rPr>
      <t>600</t>
    </r>
  </si>
  <si>
    <r>
      <t>31.1 mg CaCl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
1380.2 mg MgSO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*7H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</si>
  <si>
    <r>
      <t>28.8 mg CaC</t>
    </r>
    <r>
      <rPr>
        <vertAlign val="subscript"/>
        <sz val="10"/>
        <color theme="1"/>
        <rFont val="Arial"/>
        <family val="2"/>
      </rPr>
      <t>l2</t>
    </r>
    <r>
      <rPr>
        <sz val="10"/>
        <color theme="1"/>
        <rFont val="Arial"/>
        <family val="2"/>
      </rPr>
      <t xml:space="preserve">
1281.6 mg MgSO</t>
    </r>
    <r>
      <rPr>
        <vertAlign val="sub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>*7H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</si>
  <si>
    <r>
      <t>13 mg 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65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EDTA*2H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28.8 mg CaCl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1281.6 mg 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5.46 mg MnCl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1.3 mg Co(NO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*6H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1.3 mg ZnSO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0.13 mg CuSO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*5H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0.13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MoO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0.26 mg NiCl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*6H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881.4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HPO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
390 mg KH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
65 mg NaCl
130 mg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Cl</t>
    </r>
  </si>
  <si>
    <r>
      <t>12.6 mg 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63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EDTA*2H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15.5 mg CaCl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690.1 mg 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
</t>
    </r>
    <r>
      <rPr>
        <sz val="10"/>
        <rFont val="Arial"/>
        <family val="2"/>
      </rPr>
      <t>10 ppm antifoam C</t>
    </r>
  </si>
  <si>
    <r>
      <t>ln(OD</t>
    </r>
    <r>
      <rPr>
        <b/>
        <vertAlign val="subscript"/>
        <sz val="10"/>
        <color theme="1"/>
        <rFont val="Arial"/>
        <family val="2"/>
      </rPr>
      <t>600</t>
    </r>
    <r>
      <rPr>
        <b/>
        <sz val="10"/>
        <color theme="1"/>
        <rFont val="Arial"/>
        <family val="2"/>
      </rPr>
      <t>)</t>
    </r>
  </si>
  <si>
    <t>average doubling time [h]</t>
  </si>
  <si>
    <r>
      <t>average growth rate [h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]</t>
    </r>
  </si>
  <si>
    <t>comment</t>
  </si>
  <si>
    <t>over whole growth period</t>
  </si>
  <si>
    <t>OD600</t>
  </si>
  <si>
    <t>Itaconic acid concentration [mg/L]</t>
  </si>
  <si>
    <r>
      <t>12.6 mg 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63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EDTA*2H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15.5 mg CaCl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690.1 mg 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</si>
  <si>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14 mg FeSO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70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EDTA*2H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31.1 mg CaCl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1380.2 mg MgSO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5.88 mg MnCl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
1.4 mg Co(NO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*6H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1.4 mg ZnSO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*7H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0.14 mg CuSO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*5H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0.14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MoO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*2H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0.28 mg NiCl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*6H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
949.2 mg 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HPO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
420 mg KH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PO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 xml:space="preserve">
70 mg NaCl
140 mg NH</t>
    </r>
    <r>
      <rPr>
        <vertAlign val="subscript"/>
        <sz val="10"/>
        <rFont val="Arial"/>
        <family val="2"/>
      </rPr>
      <t>4</t>
    </r>
    <r>
      <rPr>
        <sz val="10"/>
        <rFont val="Arial"/>
        <family val="2"/>
      </rPr>
      <t>Cl</t>
    </r>
  </si>
  <si>
    <t>Induction by the addition of 500 nM anhydrotetracycline (aTc)</t>
  </si>
  <si>
    <t>mean</t>
  </si>
  <si>
    <t>std</t>
  </si>
  <si>
    <t>shake flask</t>
  </si>
  <si>
    <t>bioreactor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</si>
</sst>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10"/>
      <color rgb="FF92D05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4" fontId="0" fillId="0" borderId="0" xfId="0" applyNumberFormat="1"/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ACAED-AC24-4F77-BC33-7476B5C28E23}">
  <dimension ref="A1:N18"/>
  <sheetViews>
    <sheetView workbookViewId="0">
      <selection activeCell="K5" sqref="K5"/>
    </sheetView>
  </sheetViews>
  <sheetFormatPr defaultRowHeight="12.75" x14ac:dyDescent="0.2"/>
  <cols>
    <col min="2" max="2" width="6.7109375" bestFit="1" customWidth="1"/>
    <col min="3" max="3" width="9.7109375" bestFit="1" customWidth="1"/>
    <col min="4" max="4" width="28" bestFit="1" customWidth="1"/>
    <col min="5" max="5" width="28" style="2" customWidth="1"/>
    <col min="6" max="6" width="23.85546875" customWidth="1"/>
    <col min="7" max="7" width="41.140625" bestFit="1" customWidth="1"/>
    <col min="8" max="8" width="9.7109375" bestFit="1" customWidth="1"/>
    <col min="9" max="9" width="10.28515625" customWidth="1"/>
    <col min="11" max="11" width="21.42578125" bestFit="1" customWidth="1"/>
    <col min="12" max="12" width="14.5703125" customWidth="1"/>
    <col min="14" max="14" width="11.140625" customWidth="1"/>
  </cols>
  <sheetData>
    <row r="1" spans="1:14" ht="40.5" x14ac:dyDescent="0.25">
      <c r="A1" s="2" t="s">
        <v>0</v>
      </c>
      <c r="B1" s="2" t="s">
        <v>8</v>
      </c>
      <c r="C1" s="2" t="s">
        <v>13</v>
      </c>
      <c r="D1" s="2" t="s">
        <v>1</v>
      </c>
      <c r="E1" s="2" t="s">
        <v>4</v>
      </c>
      <c r="F1" s="2" t="s">
        <v>2</v>
      </c>
      <c r="G1" s="2" t="s">
        <v>5</v>
      </c>
      <c r="H1" s="2" t="s">
        <v>3</v>
      </c>
      <c r="J1" s="1" t="s">
        <v>15</v>
      </c>
      <c r="K1" s="1" t="s">
        <v>14</v>
      </c>
      <c r="L1" t="s">
        <v>16</v>
      </c>
      <c r="M1" s="2"/>
      <c r="N1" s="2"/>
    </row>
    <row r="2" spans="1:14" ht="75.75" x14ac:dyDescent="0.2">
      <c r="A2" s="6">
        <v>0</v>
      </c>
      <c r="B2">
        <v>0.92700000000000005</v>
      </c>
      <c r="C2">
        <f>LOG(B2)</f>
        <v>-3.2920265855502902E-2</v>
      </c>
      <c r="D2">
        <v>640.64469999999994</v>
      </c>
      <c r="E2">
        <f>32.04*D2/1000</f>
        <v>20.526256187999998</v>
      </c>
      <c r="F2" s="5" t="s">
        <v>12</v>
      </c>
      <c r="H2" s="3"/>
      <c r="J2">
        <f>LOG(B18/B2)/A18</f>
        <v>6.1386410794435832E-2</v>
      </c>
      <c r="K2">
        <f>LOG(2)/J2</f>
        <v>4.9038539925723601</v>
      </c>
      <c r="L2" t="s">
        <v>17</v>
      </c>
    </row>
    <row r="3" spans="1:14" x14ac:dyDescent="0.2">
      <c r="A3" s="6">
        <v>3.9999999999417923</v>
      </c>
      <c r="B3">
        <v>1.708</v>
      </c>
      <c r="C3">
        <f t="shared" ref="C3:C18" si="0">LOG(B3)</f>
        <v>0.23248786635298624</v>
      </c>
      <c r="D3">
        <v>640.45150000000001</v>
      </c>
      <c r="E3">
        <f t="shared" ref="E3:E18" si="1">32.04*D3/1000</f>
        <v>20.520066060000001</v>
      </c>
    </row>
    <row r="4" spans="1:14" x14ac:dyDescent="0.2">
      <c r="A4" s="6">
        <v>7.0666666666511446</v>
      </c>
      <c r="B4">
        <f>AVERAGE(2.772,2.809,2.877,2.757)</f>
        <v>2.8037499999999995</v>
      </c>
      <c r="C4">
        <f t="shared" si="0"/>
        <v>0.44773928659102408</v>
      </c>
      <c r="D4">
        <v>624.81679999999994</v>
      </c>
      <c r="E4">
        <f t="shared" si="1"/>
        <v>20.019130271999998</v>
      </c>
    </row>
    <row r="5" spans="1:14" ht="217.5" x14ac:dyDescent="0.3">
      <c r="A5" s="7">
        <v>7.6833333332324401</v>
      </c>
      <c r="C5" t="e">
        <f t="shared" si="0"/>
        <v>#NUM!</v>
      </c>
      <c r="E5"/>
      <c r="F5" s="5" t="s">
        <v>11</v>
      </c>
      <c r="H5" s="3"/>
    </row>
    <row r="6" spans="1:14" x14ac:dyDescent="0.2">
      <c r="A6" s="6">
        <v>8.2666666667209938</v>
      </c>
      <c r="B6">
        <f>AVERAGE(3.612,3.68,3.587,3.628)</f>
        <v>3.6267499999999999</v>
      </c>
      <c r="C6">
        <f t="shared" si="0"/>
        <v>0.55951761972090819</v>
      </c>
      <c r="D6">
        <v>606.77009999999996</v>
      </c>
      <c r="E6">
        <f t="shared" si="1"/>
        <v>19.440914004</v>
      </c>
    </row>
    <row r="7" spans="1:14" ht="31.5" x14ac:dyDescent="0.3">
      <c r="A7" s="6">
        <v>22.333333333313931</v>
      </c>
      <c r="B7">
        <f>AVERAGE(24.757,27.095,27.772,26.623)</f>
        <v>26.56175</v>
      </c>
      <c r="C7">
        <f t="shared" si="0"/>
        <v>1.4242566847888365</v>
      </c>
      <c r="D7">
        <v>419.62200000000001</v>
      </c>
      <c r="E7">
        <f t="shared" si="1"/>
        <v>13.444688879999999</v>
      </c>
      <c r="F7" s="1" t="s">
        <v>10</v>
      </c>
    </row>
    <row r="8" spans="1:14" x14ac:dyDescent="0.2">
      <c r="A8" s="6">
        <v>24.366666666639503</v>
      </c>
      <c r="B8">
        <f>AVERAGE(39.257,38.275,38.67,38.605)</f>
        <v>38.701749999999997</v>
      </c>
      <c r="C8">
        <f t="shared" si="0"/>
        <v>1.5877306032142613</v>
      </c>
      <c r="D8">
        <v>376.57</v>
      </c>
      <c r="E8">
        <f t="shared" si="1"/>
        <v>12.0653028</v>
      </c>
    </row>
    <row r="9" spans="1:14" x14ac:dyDescent="0.2">
      <c r="A9" s="6">
        <v>24.666666666569654</v>
      </c>
      <c r="B9">
        <f>AVERAGE(34.583,38.031,36.471,35.071,37.467,37.023)</f>
        <v>36.440999999999995</v>
      </c>
      <c r="C9">
        <f t="shared" si="0"/>
        <v>1.5615902862077382</v>
      </c>
      <c r="E9"/>
    </row>
    <row r="10" spans="1:14" x14ac:dyDescent="0.2">
      <c r="A10" s="6">
        <v>25.78333333338378</v>
      </c>
      <c r="B10">
        <f>AVERAGE(42.512,44.447,45.045,44.492)</f>
        <v>44.124000000000002</v>
      </c>
      <c r="C10">
        <f t="shared" si="0"/>
        <v>1.6446748759164873</v>
      </c>
      <c r="D10">
        <v>461.35109999999997</v>
      </c>
      <c r="E10">
        <f t="shared" si="1"/>
        <v>14.781689243999999</v>
      </c>
    </row>
    <row r="11" spans="1:14" ht="31.5" x14ac:dyDescent="0.3">
      <c r="A11" s="6">
        <v>26.866666666581295</v>
      </c>
      <c r="B11">
        <f>AVERAGE(49.851,48.817,49.047,49.18)</f>
        <v>49.223750000000003</v>
      </c>
      <c r="C11">
        <f t="shared" si="0"/>
        <v>1.6921746963694209</v>
      </c>
      <c r="D11">
        <v>506.6712</v>
      </c>
      <c r="E11">
        <f t="shared" si="1"/>
        <v>16.233745247999998</v>
      </c>
      <c r="F11" s="1" t="s">
        <v>10</v>
      </c>
    </row>
    <row r="12" spans="1:14" x14ac:dyDescent="0.2">
      <c r="A12" s="6">
        <v>27.833333333255723</v>
      </c>
      <c r="B12">
        <f>AVERAGE(56.441,60.338,57.776,57.945)</f>
        <v>58.125</v>
      </c>
      <c r="C12">
        <f t="shared" si="0"/>
        <v>1.7643629658980102</v>
      </c>
      <c r="D12">
        <v>562.69119999999998</v>
      </c>
      <c r="E12">
        <f t="shared" si="1"/>
        <v>18.028626048</v>
      </c>
    </row>
    <row r="13" spans="1:14" ht="31.5" x14ac:dyDescent="0.3">
      <c r="A13" s="6">
        <v>29.216666666732635</v>
      </c>
      <c r="B13">
        <f>AVERAGE(69.774,68.095,67.322,67.89)</f>
        <v>68.270250000000004</v>
      </c>
      <c r="C13">
        <f t="shared" si="0"/>
        <v>1.834231493205005</v>
      </c>
      <c r="D13">
        <v>590.84389999999996</v>
      </c>
      <c r="E13">
        <f t="shared" si="1"/>
        <v>18.930638555999998</v>
      </c>
      <c r="F13" s="1" t="s">
        <v>10</v>
      </c>
    </row>
    <row r="14" spans="1:14" x14ac:dyDescent="0.2">
      <c r="A14" s="6">
        <v>29.666666666627862</v>
      </c>
      <c r="B14">
        <f>AVERAGE(75.151,73.942,73.9,77.741)</f>
        <v>75.183499999999995</v>
      </c>
      <c r="C14">
        <f t="shared" si="0"/>
        <v>1.8761225394584706</v>
      </c>
      <c r="D14">
        <v>609.48820000000001</v>
      </c>
      <c r="E14">
        <f t="shared" si="1"/>
        <v>19.528001927999998</v>
      </c>
    </row>
    <row r="15" spans="1:14" x14ac:dyDescent="0.2">
      <c r="A15" s="6">
        <v>30.93333333323244</v>
      </c>
      <c r="B15">
        <f>AVERAGE(77.738,86.195,90.027,85.76)</f>
        <v>84.929999999999993</v>
      </c>
      <c r="C15">
        <f t="shared" si="0"/>
        <v>1.9290611240847655</v>
      </c>
      <c r="D15">
        <v>583.99419999999998</v>
      </c>
      <c r="E15">
        <f t="shared" si="1"/>
        <v>18.711174167999999</v>
      </c>
      <c r="H15" s="4" t="s">
        <v>7</v>
      </c>
    </row>
    <row r="16" spans="1:14" ht="31.5" x14ac:dyDescent="0.3">
      <c r="A16" s="7">
        <v>31.333333333313931</v>
      </c>
      <c r="C16" t="e">
        <f t="shared" si="0"/>
        <v>#NUM!</v>
      </c>
      <c r="E16"/>
      <c r="F16" s="1" t="s">
        <v>9</v>
      </c>
      <c r="H16" s="3"/>
    </row>
    <row r="17" spans="1:8" x14ac:dyDescent="0.2">
      <c r="A17" s="6">
        <v>32.383333333244082</v>
      </c>
      <c r="B17">
        <f>AVERAGE(93.402,98.46,98.628,99.712)</f>
        <v>97.5505</v>
      </c>
      <c r="C17">
        <f t="shared" si="0"/>
        <v>1.9892294997344779</v>
      </c>
      <c r="D17">
        <v>565.06449999999995</v>
      </c>
      <c r="E17">
        <f t="shared" si="1"/>
        <v>18.104666579999996</v>
      </c>
    </row>
    <row r="18" spans="1:8" x14ac:dyDescent="0.2">
      <c r="A18" s="6">
        <v>33.133333333244082</v>
      </c>
      <c r="B18">
        <f>AVERAGE(95.072,99.315,101.72,104.83)</f>
        <v>100.23424999999999</v>
      </c>
      <c r="C18">
        <f t="shared" si="0"/>
        <v>2.0010161451279922</v>
      </c>
      <c r="D18">
        <v>557.8066</v>
      </c>
      <c r="E18">
        <f t="shared" si="1"/>
        <v>17.872123464000001</v>
      </c>
      <c r="G18" s="4" t="s">
        <v>6</v>
      </c>
      <c r="H1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81A9-5B7F-448E-AA8E-FA66DB8C2342}">
  <dimension ref="A1:G22"/>
  <sheetViews>
    <sheetView workbookViewId="0">
      <selection activeCell="E7" sqref="E7"/>
    </sheetView>
  </sheetViews>
  <sheetFormatPr defaultRowHeight="12.75" x14ac:dyDescent="0.2"/>
  <cols>
    <col min="1" max="1" width="8.42578125" bestFit="1" customWidth="1"/>
    <col min="2" max="2" width="6.7109375" bestFit="1" customWidth="1"/>
    <col min="3" max="4" width="28" bestFit="1" customWidth="1"/>
    <col min="5" max="5" width="30.85546875" bestFit="1" customWidth="1"/>
    <col min="6" max="6" width="32.5703125" bestFit="1" customWidth="1"/>
    <col min="7" max="7" width="52.7109375" bestFit="1" customWidth="1"/>
  </cols>
  <sheetData>
    <row r="1" spans="1:7" x14ac:dyDescent="0.2">
      <c r="A1" s="2" t="s">
        <v>0</v>
      </c>
      <c r="B1" s="2" t="s">
        <v>18</v>
      </c>
      <c r="C1" s="2" t="s">
        <v>1</v>
      </c>
      <c r="D1" s="2" t="s">
        <v>4</v>
      </c>
      <c r="E1" s="2" t="s">
        <v>2</v>
      </c>
      <c r="F1" s="2" t="s">
        <v>19</v>
      </c>
      <c r="G1" s="2" t="s">
        <v>3</v>
      </c>
    </row>
    <row r="2" spans="1:7" ht="63" x14ac:dyDescent="0.3">
      <c r="A2">
        <v>0</v>
      </c>
      <c r="B2">
        <f>AVERAGE(1.442,1.402,1.389,1.435)</f>
        <v>1.4169999999999998</v>
      </c>
      <c r="C2">
        <v>655.64750000000004</v>
      </c>
      <c r="D2">
        <f>32.04*C2/1000</f>
        <v>21.006945899999998</v>
      </c>
      <c r="E2" s="5" t="s">
        <v>20</v>
      </c>
    </row>
    <row r="3" spans="1:7" x14ac:dyDescent="0.2">
      <c r="A3">
        <v>2.9000000000232831</v>
      </c>
      <c r="B3">
        <f>AVERAGE(1.927,1.933,1.94,1.931)</f>
        <v>1.9327500000000002</v>
      </c>
      <c r="C3">
        <v>563.64260000000002</v>
      </c>
      <c r="D3">
        <f>32.04*C3/1000</f>
        <v>18.059108904000002</v>
      </c>
    </row>
    <row r="4" spans="1:7" x14ac:dyDescent="0.2">
      <c r="A4">
        <v>5.0499999998719431</v>
      </c>
      <c r="B4">
        <f>AVERAGE(2.487,2.558,2.53,2.489)</f>
        <v>2.516</v>
      </c>
      <c r="C4">
        <v>522.08209999999997</v>
      </c>
      <c r="D4">
        <f t="shared" ref="D4:D21" si="0">32.04*C4/1000</f>
        <v>16.727510484</v>
      </c>
    </row>
    <row r="5" spans="1:7" x14ac:dyDescent="0.2">
      <c r="A5">
        <v>8.1833333332906477</v>
      </c>
      <c r="B5">
        <f>AVERAGE(3.626,3.73,3.664,3.69)</f>
        <v>3.6774999999999998</v>
      </c>
      <c r="C5">
        <v>566.54949999999997</v>
      </c>
      <c r="D5">
        <f t="shared" si="0"/>
        <v>18.15224598</v>
      </c>
    </row>
    <row r="6" spans="1:7" ht="217.5" x14ac:dyDescent="0.3">
      <c r="A6">
        <v>8.5166666666627862</v>
      </c>
      <c r="E6" s="5" t="s">
        <v>21</v>
      </c>
      <c r="G6" s="3"/>
    </row>
    <row r="7" spans="1:7" x14ac:dyDescent="0.2">
      <c r="A7">
        <v>22.183333333348855</v>
      </c>
      <c r="B7">
        <f>AVERAGE(16.998,16.786,18.009)</f>
        <v>17.264333333333337</v>
      </c>
      <c r="C7">
        <v>585.28279999999995</v>
      </c>
      <c r="D7">
        <f t="shared" si="0"/>
        <v>18.752460912</v>
      </c>
    </row>
    <row r="8" spans="1:7" x14ac:dyDescent="0.2">
      <c r="A8">
        <v>28.183333333348855</v>
      </c>
      <c r="B8">
        <f>AVERAGE(30.925,31.295,33.224,33.448)</f>
        <v>32.222999999999999</v>
      </c>
      <c r="C8">
        <v>450.57549999999998</v>
      </c>
      <c r="D8">
        <f t="shared" si="0"/>
        <v>14.436439019999998</v>
      </c>
    </row>
    <row r="9" spans="1:7" x14ac:dyDescent="0.2">
      <c r="A9">
        <v>31.68333333323244</v>
      </c>
      <c r="B9">
        <f>AVERAGE(41.345,41.381,44.284)</f>
        <v>42.336666666666666</v>
      </c>
      <c r="C9">
        <v>465.9862</v>
      </c>
      <c r="D9">
        <f t="shared" si="0"/>
        <v>14.930197848000001</v>
      </c>
    </row>
    <row r="10" spans="1:7" ht="31.5" x14ac:dyDescent="0.3">
      <c r="A10">
        <v>33.016666666546371</v>
      </c>
      <c r="B10">
        <f>AVERAGE(43.473,48.873,44.346,47.055)</f>
        <v>45.936750000000004</v>
      </c>
      <c r="C10">
        <v>468.53399999999999</v>
      </c>
      <c r="D10">
        <f t="shared" si="0"/>
        <v>15.01182936</v>
      </c>
      <c r="E10" s="1" t="s">
        <v>9</v>
      </c>
      <c r="F10">
        <v>0</v>
      </c>
      <c r="G10" t="s">
        <v>22</v>
      </c>
    </row>
    <row r="11" spans="1:7" x14ac:dyDescent="0.2">
      <c r="A11">
        <v>45.766666666546371</v>
      </c>
      <c r="B11">
        <f>AVERAGE(53.663,50.438,54.884)</f>
        <v>52.995000000000005</v>
      </c>
      <c r="C11">
        <v>658.34159999999997</v>
      </c>
      <c r="D11">
        <f t="shared" si="0"/>
        <v>21.093264863999998</v>
      </c>
      <c r="F11">
        <v>391.70003985954878</v>
      </c>
    </row>
    <row r="12" spans="1:7" ht="31.5" x14ac:dyDescent="0.3">
      <c r="A12">
        <v>48.099999999976717</v>
      </c>
      <c r="E12" s="1" t="s">
        <v>9</v>
      </c>
    </row>
    <row r="13" spans="1:7" x14ac:dyDescent="0.2">
      <c r="A13">
        <v>50.950000000011642</v>
      </c>
      <c r="B13">
        <f>AVERAGE(51.481,49.864,54.673,55.26)</f>
        <v>52.819499999999998</v>
      </c>
      <c r="C13">
        <v>680.69709999999998</v>
      </c>
      <c r="D13">
        <f t="shared" si="0"/>
        <v>21.809535084</v>
      </c>
      <c r="F13">
        <v>689.9519004240741</v>
      </c>
    </row>
    <row r="14" spans="1:7" x14ac:dyDescent="0.2">
      <c r="A14">
        <v>54.766666666546371</v>
      </c>
      <c r="B14">
        <f>AVERAGE(50.636,53.929,57.579)</f>
        <v>54.048000000000002</v>
      </c>
      <c r="C14">
        <v>842.42399999999998</v>
      </c>
      <c r="D14">
        <f t="shared" si="0"/>
        <v>26.991264959999995</v>
      </c>
      <c r="F14">
        <v>758.52266283911558</v>
      </c>
    </row>
    <row r="15" spans="1:7" x14ac:dyDescent="0.2">
      <c r="A15">
        <v>69.75</v>
      </c>
      <c r="B15">
        <f>AVERAGE(49.241,46.833,52.573,53.795)</f>
        <v>50.610500000000002</v>
      </c>
      <c r="C15">
        <v>598.904</v>
      </c>
      <c r="D15">
        <f t="shared" si="0"/>
        <v>19.188884159999997</v>
      </c>
      <c r="F15">
        <v>851.67138366349036</v>
      </c>
    </row>
    <row r="16" spans="1:7" x14ac:dyDescent="0.2">
      <c r="A16">
        <v>78.93333333323244</v>
      </c>
      <c r="B16">
        <f>AVERAGE(46.748,51.638,54.512,52.644)</f>
        <v>51.3855</v>
      </c>
      <c r="C16">
        <v>544.58510000000001</v>
      </c>
      <c r="D16">
        <f t="shared" si="0"/>
        <v>17.448506603999999</v>
      </c>
      <c r="F16">
        <v>863.50261926212897</v>
      </c>
    </row>
    <row r="17" spans="1:6" x14ac:dyDescent="0.2">
      <c r="A17">
        <v>93.766666666546371</v>
      </c>
      <c r="B17">
        <f>AVERAGE(48.174,54.589,52.792,52.832)</f>
        <v>52.09675</v>
      </c>
      <c r="C17">
        <v>511.32400000000001</v>
      </c>
      <c r="D17">
        <f t="shared" si="0"/>
        <v>16.38282096</v>
      </c>
      <c r="F17">
        <v>925.93990242715199</v>
      </c>
    </row>
    <row r="18" spans="1:6" x14ac:dyDescent="0.2">
      <c r="A18">
        <v>100.76666666666279</v>
      </c>
      <c r="B18">
        <f>AVERAGE(47.892,52.01,51.143,52.554)</f>
        <v>50.899750000000004</v>
      </c>
      <c r="C18">
        <v>501.24020000000002</v>
      </c>
      <c r="D18">
        <f t="shared" si="0"/>
        <v>16.059736008000002</v>
      </c>
      <c r="F18">
        <v>987.89085697567498</v>
      </c>
    </row>
    <row r="19" spans="1:6" x14ac:dyDescent="0.2">
      <c r="A19">
        <v>127.84999999991851</v>
      </c>
      <c r="B19">
        <f>AVERAGE(50.79,49.417,48.275,50.197)</f>
        <v>49.669750000000001</v>
      </c>
      <c r="C19">
        <v>897.86789999999996</v>
      </c>
      <c r="D19">
        <f t="shared" si="0"/>
        <v>28.767687515999999</v>
      </c>
      <c r="F19">
        <v>1015.330602160848</v>
      </c>
    </row>
    <row r="20" spans="1:6" x14ac:dyDescent="0.2">
      <c r="A20">
        <v>149.18333333329065</v>
      </c>
      <c r="B20">
        <f>AVERAGE(47.477,46.58,49.334,50.901)</f>
        <v>48.573</v>
      </c>
      <c r="C20">
        <v>1467.0533</v>
      </c>
      <c r="D20">
        <f t="shared" si="0"/>
        <v>47.004387732000005</v>
      </c>
      <c r="F20">
        <v>1021.350986151608</v>
      </c>
    </row>
    <row r="21" spans="1:6" x14ac:dyDescent="0.2">
      <c r="A21">
        <v>167.44999999995343</v>
      </c>
      <c r="B21">
        <f>AVERAGE(45.066,49.977,50.217,48.556)</f>
        <v>48.453999999999994</v>
      </c>
      <c r="C21">
        <v>1860.5965000000001</v>
      </c>
      <c r="D21">
        <f t="shared" si="0"/>
        <v>59.613511859999996</v>
      </c>
      <c r="F21">
        <v>962.08883452430337</v>
      </c>
    </row>
    <row r="22" spans="1:6" x14ac:dyDescent="0.2">
      <c r="F2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FF7F8-06E3-4252-BA63-AA3AF0A1FC82}">
  <dimension ref="A1:C3"/>
  <sheetViews>
    <sheetView workbookViewId="0">
      <selection sqref="A1:C3"/>
    </sheetView>
  </sheetViews>
  <sheetFormatPr defaultRowHeight="12.75" x14ac:dyDescent="0.2"/>
  <sheetData>
    <row r="1" spans="1:3" x14ac:dyDescent="0.2">
      <c r="B1" t="s">
        <v>23</v>
      </c>
      <c r="C1" t="s">
        <v>24</v>
      </c>
    </row>
    <row r="2" spans="1:3" x14ac:dyDescent="0.2">
      <c r="A2" t="s">
        <v>25</v>
      </c>
      <c r="B2">
        <v>1.85</v>
      </c>
      <c r="C2">
        <v>0.18</v>
      </c>
    </row>
    <row r="3" spans="1:3" x14ac:dyDescent="0.2">
      <c r="A3" t="s">
        <v>26</v>
      </c>
      <c r="B3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430B-22E8-4358-8DCF-5763624F800B}">
  <dimension ref="A1:C3"/>
  <sheetViews>
    <sheetView tabSelected="1" workbookViewId="0">
      <selection activeCell="A2" sqref="A2"/>
    </sheetView>
  </sheetViews>
  <sheetFormatPr defaultRowHeight="12.75" x14ac:dyDescent="0.2"/>
  <sheetData>
    <row r="1" spans="1:3" x14ac:dyDescent="0.2">
      <c r="B1" t="s">
        <v>23</v>
      </c>
      <c r="C1" t="s">
        <v>24</v>
      </c>
    </row>
    <row r="2" spans="1:3" x14ac:dyDescent="0.2">
      <c r="A2" t="s">
        <v>25</v>
      </c>
      <c r="B2">
        <v>138.9</v>
      </c>
      <c r="C2">
        <v>13.5</v>
      </c>
    </row>
    <row r="3" spans="1:3" x14ac:dyDescent="0.2">
      <c r="A3" t="s">
        <v>26</v>
      </c>
      <c r="B3">
        <v>1021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4b</vt:lpstr>
      <vt:lpstr>4c</vt:lpstr>
      <vt:lpstr>4d-productivity</vt:lpstr>
      <vt:lpstr>4d-titers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  Philipp</dc:creator>
  <cp:lastModifiedBy>Bradley  Timothy</cp:lastModifiedBy>
  <dcterms:created xsi:type="dcterms:W3CDTF">2023-10-24T12:47:39Z</dcterms:created>
  <dcterms:modified xsi:type="dcterms:W3CDTF">2024-02-08T12:18:30Z</dcterms:modified>
</cp:coreProperties>
</file>