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da\Desktop\iijimaCB_2nd\投稿版\"/>
    </mc:Choice>
  </mc:AlternateContent>
  <xr:revisionPtr revIDLastSave="0" documentId="8_{32949D42-9D8A-4ABD-86CD-4FE5DC75FD43}" xr6:coauthVersionLast="43" xr6:coauthVersionMax="43" xr10:uidLastSave="{00000000-0000-0000-0000-000000000000}"/>
  <bookViews>
    <workbookView xWindow="19080" yWindow="-120" windowWidth="29040" windowHeight="15840" xr2:uid="{00000000-000D-0000-FFFF-FFFF00000000}"/>
  </bookViews>
  <sheets>
    <sheet name="Fig.1b" sheetId="2" r:id="rId1"/>
    <sheet name="Fig. 2b" sheetId="12" r:id="rId2"/>
    <sheet name="Fig.3a" sheetId="9" r:id="rId3"/>
    <sheet name="Fig.3b" sheetId="6" r:id="rId4"/>
    <sheet name="Fig.3c d e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" i="7" l="1"/>
  <c r="I4" i="7"/>
  <c r="R12" i="7"/>
  <c r="R4" i="7"/>
  <c r="R5" i="7"/>
  <c r="G21" i="7" l="1"/>
  <c r="G20" i="7"/>
  <c r="F21" i="7"/>
  <c r="F20" i="7"/>
  <c r="E21" i="7"/>
  <c r="E20" i="7"/>
  <c r="I20" i="7" s="1"/>
  <c r="G13" i="7"/>
  <c r="G12" i="7"/>
  <c r="F13" i="7"/>
  <c r="F12" i="7"/>
  <c r="E13" i="7"/>
  <c r="E12" i="7"/>
  <c r="G5" i="7"/>
  <c r="G4" i="7"/>
  <c r="F5" i="7"/>
  <c r="F4" i="7"/>
  <c r="E5" i="7"/>
  <c r="E4" i="7"/>
  <c r="I21" i="7"/>
  <c r="H20" i="7"/>
  <c r="Q21" i="7" s="1"/>
  <c r="F28" i="6"/>
  <c r="F29" i="6"/>
  <c r="E29" i="6"/>
  <c r="D29" i="6"/>
  <c r="F21" i="6"/>
  <c r="F20" i="6"/>
  <c r="E21" i="6"/>
  <c r="E20" i="6"/>
  <c r="D21" i="6"/>
  <c r="D20" i="6"/>
  <c r="E28" i="6"/>
  <c r="D28" i="6"/>
  <c r="G28" i="6" s="1"/>
  <c r="F13" i="6"/>
  <c r="F12" i="6"/>
  <c r="E13" i="6"/>
  <c r="E12" i="6"/>
  <c r="D13" i="6"/>
  <c r="D12" i="6"/>
  <c r="F5" i="6"/>
  <c r="F4" i="6"/>
  <c r="E5" i="6"/>
  <c r="H5" i="6" s="1"/>
  <c r="E4" i="6"/>
  <c r="D5" i="6"/>
  <c r="D4" i="6"/>
  <c r="H28" i="6"/>
  <c r="G21" i="6"/>
  <c r="G4" i="6"/>
  <c r="N4" i="6" s="1"/>
  <c r="D38" i="9"/>
  <c r="D39" i="9"/>
  <c r="F39" i="9"/>
  <c r="E37" i="9"/>
  <c r="D37" i="9"/>
  <c r="F37" i="9"/>
  <c r="D36" i="9"/>
  <c r="P40" i="9"/>
  <c r="P38" i="9"/>
  <c r="P36" i="9"/>
  <c r="O40" i="9"/>
  <c r="O38" i="9"/>
  <c r="N40" i="9"/>
  <c r="F41" i="9"/>
  <c r="F40" i="9"/>
  <c r="F38" i="9"/>
  <c r="F36" i="9"/>
  <c r="F35" i="9"/>
  <c r="F34" i="9"/>
  <c r="E41" i="9"/>
  <c r="E40" i="9"/>
  <c r="E39" i="9"/>
  <c r="E38" i="9"/>
  <c r="E36" i="9"/>
  <c r="E35" i="9"/>
  <c r="E34" i="9"/>
  <c r="G34" i="9" s="1"/>
  <c r="O36" i="9" s="1"/>
  <c r="D41" i="9"/>
  <c r="H41" i="9" s="1"/>
  <c r="D40" i="9"/>
  <c r="H36" i="9"/>
  <c r="D35" i="9"/>
  <c r="D34" i="9"/>
  <c r="H34" i="9" s="1"/>
  <c r="F31" i="9"/>
  <c r="F30" i="9"/>
  <c r="F29" i="9"/>
  <c r="F28" i="9"/>
  <c r="F27" i="9"/>
  <c r="F26" i="9"/>
  <c r="F25" i="9"/>
  <c r="F24" i="9"/>
  <c r="E31" i="9"/>
  <c r="E30" i="9"/>
  <c r="E29" i="9"/>
  <c r="I28" i="9" s="1"/>
  <c r="E28" i="9"/>
  <c r="E27" i="9"/>
  <c r="E26" i="9"/>
  <c r="I26" i="9" s="1"/>
  <c r="E25" i="9"/>
  <c r="E24" i="9"/>
  <c r="D31" i="9"/>
  <c r="D30" i="9"/>
  <c r="D29" i="9"/>
  <c r="D28" i="9"/>
  <c r="D27" i="9"/>
  <c r="D26" i="9"/>
  <c r="D25" i="9"/>
  <c r="D24" i="9"/>
  <c r="H24" i="9"/>
  <c r="N20" i="9"/>
  <c r="O18" i="9"/>
  <c r="N18" i="9"/>
  <c r="O16" i="9"/>
  <c r="N16" i="9"/>
  <c r="O14" i="9"/>
  <c r="N14" i="9"/>
  <c r="F21" i="9"/>
  <c r="H21" i="9" s="1"/>
  <c r="F20" i="9"/>
  <c r="F19" i="9"/>
  <c r="F18" i="9"/>
  <c r="F17" i="9"/>
  <c r="F16" i="9"/>
  <c r="F15" i="9"/>
  <c r="E21" i="9"/>
  <c r="E20" i="9"/>
  <c r="E19" i="9"/>
  <c r="E18" i="9"/>
  <c r="E17" i="9"/>
  <c r="H17" i="9" s="1"/>
  <c r="E16" i="9"/>
  <c r="E15" i="9"/>
  <c r="G14" i="9"/>
  <c r="P20" i="9" s="1"/>
  <c r="D21" i="9"/>
  <c r="D20" i="9"/>
  <c r="H20" i="9" s="1"/>
  <c r="D19" i="9"/>
  <c r="D18" i="9"/>
  <c r="D17" i="9"/>
  <c r="D16" i="9"/>
  <c r="D15" i="9"/>
  <c r="H14" i="9"/>
  <c r="G18" i="9"/>
  <c r="D8" i="9"/>
  <c r="F8" i="9"/>
  <c r="R40" i="9"/>
  <c r="F11" i="9"/>
  <c r="E11" i="9"/>
  <c r="D11" i="9"/>
  <c r="H11" i="9" s="1"/>
  <c r="F10" i="9"/>
  <c r="E10" i="9"/>
  <c r="I10" i="9" s="1"/>
  <c r="D10" i="9"/>
  <c r="H10" i="9" s="1"/>
  <c r="F9" i="9"/>
  <c r="E9" i="9"/>
  <c r="G9" i="9" s="1"/>
  <c r="D9" i="9"/>
  <c r="E8" i="9"/>
  <c r="I8" i="9" s="1"/>
  <c r="F7" i="9"/>
  <c r="E7" i="9"/>
  <c r="G7" i="9" s="1"/>
  <c r="D7" i="9"/>
  <c r="G6" i="9"/>
  <c r="F6" i="9"/>
  <c r="E6" i="9"/>
  <c r="I6" i="9" s="1"/>
  <c r="D6" i="9"/>
  <c r="H6" i="9" s="1"/>
  <c r="F5" i="9"/>
  <c r="E5" i="9"/>
  <c r="D5" i="9"/>
  <c r="H5" i="9" s="1"/>
  <c r="F4" i="9"/>
  <c r="E4" i="9"/>
  <c r="G4" i="9" s="1"/>
  <c r="D4" i="9"/>
  <c r="P8" i="9" l="1"/>
  <c r="P6" i="9"/>
  <c r="N10" i="9"/>
  <c r="O6" i="9"/>
  <c r="P4" i="9"/>
  <c r="O8" i="9"/>
  <c r="N6" i="9"/>
  <c r="O4" i="9"/>
  <c r="Q4" i="9" s="1"/>
  <c r="P10" i="9"/>
  <c r="N4" i="9"/>
  <c r="O10" i="9"/>
  <c r="N8" i="9"/>
  <c r="O29" i="6"/>
  <c r="Q29" i="6" s="1"/>
  <c r="N28" i="6"/>
  <c r="S28" i="6" s="1"/>
  <c r="N29" i="6"/>
  <c r="P28" i="6"/>
  <c r="P29" i="6"/>
  <c r="O28" i="6"/>
  <c r="S4" i="6"/>
  <c r="H40" i="9"/>
  <c r="O4" i="6"/>
  <c r="O20" i="7"/>
  <c r="H16" i="9"/>
  <c r="R16" i="9"/>
  <c r="G29" i="9"/>
  <c r="H27" i="9"/>
  <c r="H13" i="6"/>
  <c r="P4" i="6"/>
  <c r="O21" i="7"/>
  <c r="G11" i="9"/>
  <c r="H15" i="9"/>
  <c r="P14" i="9"/>
  <c r="Q14" i="9" s="1"/>
  <c r="P16" i="9"/>
  <c r="P18" i="9"/>
  <c r="Q18" i="9" s="1"/>
  <c r="O20" i="9"/>
  <c r="R20" i="9" s="1"/>
  <c r="G24" i="9"/>
  <c r="G30" i="9"/>
  <c r="O34" i="9"/>
  <c r="G37" i="9"/>
  <c r="N5" i="6"/>
  <c r="P20" i="7"/>
  <c r="G19" i="9"/>
  <c r="R18" i="9"/>
  <c r="H25" i="9"/>
  <c r="H31" i="9"/>
  <c r="N34" i="9"/>
  <c r="R34" i="9" s="1"/>
  <c r="P34" i="9"/>
  <c r="N36" i="9"/>
  <c r="R36" i="9" s="1"/>
  <c r="N38" i="9"/>
  <c r="R38" i="9" s="1"/>
  <c r="O5" i="6"/>
  <c r="P21" i="7"/>
  <c r="H4" i="9"/>
  <c r="H7" i="9"/>
  <c r="H9" i="9"/>
  <c r="G10" i="9"/>
  <c r="G17" i="9"/>
  <c r="H35" i="9"/>
  <c r="P5" i="6"/>
  <c r="Q20" i="7"/>
  <c r="G5" i="9"/>
  <c r="H13" i="7"/>
  <c r="I13" i="7"/>
  <c r="H5" i="7"/>
  <c r="I5" i="7"/>
  <c r="J20" i="7"/>
  <c r="J12" i="7"/>
  <c r="H4" i="7"/>
  <c r="H12" i="7"/>
  <c r="I12" i="7"/>
  <c r="H21" i="7"/>
  <c r="H29" i="6"/>
  <c r="Q4" i="6"/>
  <c r="H21" i="6"/>
  <c r="I20" i="6"/>
  <c r="I28" i="6"/>
  <c r="H12" i="6"/>
  <c r="G13" i="6"/>
  <c r="I12" i="6"/>
  <c r="G12" i="6"/>
  <c r="H4" i="6"/>
  <c r="I4" i="6"/>
  <c r="G5" i="6"/>
  <c r="G20" i="6"/>
  <c r="H20" i="6"/>
  <c r="G29" i="6"/>
  <c r="Q40" i="9"/>
  <c r="I40" i="9"/>
  <c r="I38" i="9"/>
  <c r="G40" i="9"/>
  <c r="G39" i="9"/>
  <c r="H37" i="9"/>
  <c r="G36" i="9"/>
  <c r="I36" i="9"/>
  <c r="H39" i="9"/>
  <c r="G35" i="9"/>
  <c r="G38" i="9"/>
  <c r="H38" i="9"/>
  <c r="G41" i="9"/>
  <c r="I30" i="9"/>
  <c r="G27" i="9"/>
  <c r="H26" i="9"/>
  <c r="G28" i="9"/>
  <c r="G26" i="9"/>
  <c r="G25" i="9"/>
  <c r="H29" i="9"/>
  <c r="H30" i="9"/>
  <c r="H28" i="9"/>
  <c r="G31" i="9"/>
  <c r="Q16" i="9"/>
  <c r="R14" i="9"/>
  <c r="I18" i="9"/>
  <c r="G20" i="9"/>
  <c r="I20" i="9"/>
  <c r="I16" i="9"/>
  <c r="G16" i="9"/>
  <c r="G15" i="9"/>
  <c r="H18" i="9"/>
  <c r="G21" i="9"/>
  <c r="H19" i="9"/>
  <c r="G8" i="9"/>
  <c r="H8" i="9"/>
  <c r="Q8" i="9"/>
  <c r="R8" i="9"/>
  <c r="Q38" i="9"/>
  <c r="Q10" i="9"/>
  <c r="Q20" i="9"/>
  <c r="R21" i="7"/>
  <c r="T20" i="7"/>
  <c r="S21" i="7"/>
  <c r="R20" i="7"/>
  <c r="S20" i="7"/>
  <c r="Q28" i="6"/>
  <c r="R5" i="6"/>
  <c r="O21" i="9" l="1"/>
  <c r="O19" i="9"/>
  <c r="P17" i="9"/>
  <c r="P15" i="9"/>
  <c r="N21" i="9"/>
  <c r="N19" i="9"/>
  <c r="O17" i="9"/>
  <c r="S16" i="9" s="1"/>
  <c r="O15" i="9"/>
  <c r="N17" i="9"/>
  <c r="N15" i="9"/>
  <c r="P21" i="9"/>
  <c r="P19" i="9"/>
  <c r="Q5" i="7"/>
  <c r="Q4" i="7"/>
  <c r="P5" i="7"/>
  <c r="P4" i="7"/>
  <c r="O5" i="7"/>
  <c r="O4" i="7"/>
  <c r="Q5" i="6"/>
  <c r="P29" i="9"/>
  <c r="Q29" i="9" s="1"/>
  <c r="N27" i="9"/>
  <c r="N25" i="9"/>
  <c r="O27" i="9"/>
  <c r="P27" i="9"/>
  <c r="N31" i="9"/>
  <c r="O31" i="9"/>
  <c r="P31" i="9"/>
  <c r="N29" i="9"/>
  <c r="P25" i="9"/>
  <c r="O29" i="9"/>
  <c r="O25" i="9"/>
  <c r="Q36" i="9"/>
  <c r="N12" i="6"/>
  <c r="P13" i="6"/>
  <c r="P12" i="6"/>
  <c r="O13" i="6"/>
  <c r="O12" i="6"/>
  <c r="N13" i="6"/>
  <c r="P39" i="9"/>
  <c r="P37" i="9"/>
  <c r="P35" i="9"/>
  <c r="N35" i="9"/>
  <c r="O37" i="9"/>
  <c r="O35" i="9"/>
  <c r="P41" i="9"/>
  <c r="O41" i="9"/>
  <c r="R41" i="9" s="1"/>
  <c r="N39" i="9"/>
  <c r="N37" i="9"/>
  <c r="N41" i="9"/>
  <c r="O39" i="9"/>
  <c r="R28" i="6"/>
  <c r="Q34" i="9"/>
  <c r="R4" i="6"/>
  <c r="R29" i="6"/>
  <c r="R4" i="9"/>
  <c r="R6" i="9"/>
  <c r="R10" i="9"/>
  <c r="P9" i="9"/>
  <c r="N7" i="9"/>
  <c r="N5" i="9"/>
  <c r="N11" i="9"/>
  <c r="O9" i="9"/>
  <c r="O11" i="9"/>
  <c r="P11" i="9"/>
  <c r="N9" i="9"/>
  <c r="P7" i="9"/>
  <c r="P5" i="9"/>
  <c r="O7" i="9"/>
  <c r="O5" i="9"/>
  <c r="O28" i="9"/>
  <c r="P28" i="9"/>
  <c r="P26" i="9"/>
  <c r="P24" i="9"/>
  <c r="O26" i="9"/>
  <c r="O24" i="9"/>
  <c r="N30" i="9"/>
  <c r="N26" i="9"/>
  <c r="N24" i="9"/>
  <c r="Q24" i="9" s="1"/>
  <c r="O30" i="9"/>
  <c r="P30" i="9"/>
  <c r="N28" i="9"/>
  <c r="N20" i="6"/>
  <c r="P21" i="6"/>
  <c r="P20" i="6"/>
  <c r="O21" i="6"/>
  <c r="O20" i="6"/>
  <c r="N21" i="6"/>
  <c r="Q13" i="7"/>
  <c r="Q12" i="7"/>
  <c r="P13" i="7"/>
  <c r="P12" i="7"/>
  <c r="O13" i="7"/>
  <c r="O12" i="7"/>
  <c r="Q6" i="9"/>
  <c r="F6" i="2"/>
  <c r="E6" i="2"/>
  <c r="F5" i="2"/>
  <c r="E5" i="2"/>
  <c r="R35" i="9" l="1"/>
  <c r="Q35" i="9"/>
  <c r="T4" i="7"/>
  <c r="S4" i="7"/>
  <c r="R19" i="9"/>
  <c r="S18" i="9"/>
  <c r="Q19" i="9"/>
  <c r="S5" i="7"/>
  <c r="R29" i="9"/>
  <c r="Q25" i="9"/>
  <c r="R25" i="9"/>
  <c r="Q15" i="9"/>
  <c r="R15" i="9"/>
  <c r="Q26" i="9"/>
  <c r="R5" i="9"/>
  <c r="Q5" i="9"/>
  <c r="Q37" i="9"/>
  <c r="R37" i="9"/>
  <c r="S36" i="9"/>
  <c r="S26" i="9"/>
  <c r="R26" i="9"/>
  <c r="S8" i="9"/>
  <c r="R9" i="9"/>
  <c r="Q9" i="9"/>
  <c r="R7" i="9"/>
  <c r="S6" i="9"/>
  <c r="Q7" i="9"/>
  <c r="R39" i="9"/>
  <c r="Q39" i="9"/>
  <c r="S38" i="9"/>
  <c r="R21" i="9"/>
  <c r="Q21" i="9"/>
  <c r="Q20" i="6"/>
  <c r="R20" i="6"/>
  <c r="S20" i="6"/>
  <c r="R30" i="9"/>
  <c r="S30" i="9"/>
  <c r="Q30" i="9"/>
  <c r="S12" i="7"/>
  <c r="T12" i="7"/>
  <c r="R21" i="6"/>
  <c r="Q21" i="6"/>
  <c r="S28" i="9"/>
  <c r="Q28" i="9"/>
  <c r="R28" i="9"/>
  <c r="R24" i="9"/>
  <c r="R12" i="6"/>
  <c r="S12" i="6"/>
  <c r="Q12" i="6"/>
  <c r="R27" i="9"/>
  <c r="Q27" i="9"/>
  <c r="R17" i="9"/>
  <c r="Q17" i="9"/>
  <c r="R13" i="7"/>
  <c r="S13" i="7"/>
  <c r="R13" i="6"/>
  <c r="Q13" i="6"/>
  <c r="R11" i="9"/>
  <c r="Q11" i="9"/>
  <c r="S10" i="9"/>
  <c r="Q41" i="9"/>
  <c r="S40" i="9"/>
  <c r="Q31" i="9"/>
  <c r="R31" i="9"/>
  <c r="S20" i="9"/>
  <c r="G7" i="2"/>
  <c r="G9" i="2"/>
  <c r="G11" i="2"/>
  <c r="F8" i="2"/>
  <c r="F9" i="2"/>
  <c r="F10" i="2"/>
  <c r="F11" i="2"/>
  <c r="F12" i="2"/>
  <c r="E8" i="2"/>
  <c r="E9" i="2"/>
  <c r="E10" i="2"/>
  <c r="E11" i="2"/>
  <c r="E12" i="2"/>
  <c r="E7" i="2"/>
  <c r="F7" i="2"/>
</calcChain>
</file>

<file path=xl/sharedStrings.xml><?xml version="1.0" encoding="utf-8"?>
<sst xmlns="http://schemas.openxmlformats.org/spreadsheetml/2006/main" count="523" uniqueCount="143">
  <si>
    <t>sd</t>
    <phoneticPr fontId="1"/>
  </si>
  <si>
    <t>P2</t>
    <phoneticPr fontId="1"/>
  </si>
  <si>
    <t>Wnt1</t>
    <phoneticPr fontId="1"/>
  </si>
  <si>
    <t>Wnt6</t>
    <phoneticPr fontId="1"/>
  </si>
  <si>
    <t>P1</t>
    <phoneticPr fontId="1"/>
  </si>
  <si>
    <t>P1-siRNA</t>
    <phoneticPr fontId="1"/>
  </si>
  <si>
    <t>P2-siRNA</t>
    <phoneticPr fontId="1"/>
  </si>
  <si>
    <t>P3</t>
    <phoneticPr fontId="1"/>
  </si>
  <si>
    <t>P3-siRNA</t>
    <phoneticPr fontId="1"/>
  </si>
  <si>
    <t>ID</t>
    <phoneticPr fontId="1"/>
  </si>
  <si>
    <t>P0</t>
    <phoneticPr fontId="1"/>
  </si>
  <si>
    <t>t-test</t>
    <phoneticPr fontId="1"/>
  </si>
  <si>
    <t>Average</t>
    <phoneticPr fontId="1"/>
  </si>
  <si>
    <t>sd</t>
  </si>
  <si>
    <t>dsx</t>
    <phoneticPr fontId="1"/>
  </si>
  <si>
    <t>Gene name</t>
    <phoneticPr fontId="1"/>
  </si>
  <si>
    <t>Sample ID</t>
    <phoneticPr fontId="1"/>
  </si>
  <si>
    <t>Average</t>
    <phoneticPr fontId="2"/>
  </si>
  <si>
    <t>t-test</t>
    <phoneticPr fontId="2"/>
  </si>
  <si>
    <t>P0-Hh</t>
    <phoneticPr fontId="1"/>
  </si>
  <si>
    <t>P1-Hh</t>
    <phoneticPr fontId="1"/>
  </si>
  <si>
    <t>P2-Hh</t>
    <phoneticPr fontId="1"/>
  </si>
  <si>
    <t>P3-Hh</t>
    <phoneticPr fontId="1"/>
  </si>
  <si>
    <t>P0-hh</t>
    <phoneticPr fontId="1"/>
  </si>
  <si>
    <t>P1-hh</t>
    <phoneticPr fontId="1"/>
  </si>
  <si>
    <t>P2-hh</t>
    <phoneticPr fontId="1"/>
  </si>
  <si>
    <t>P3-hh</t>
    <phoneticPr fontId="1"/>
  </si>
  <si>
    <t>Un-treated</t>
    <phoneticPr fontId="1"/>
  </si>
  <si>
    <t>dsx-H-knockdown</t>
    <phoneticPr fontId="1"/>
  </si>
  <si>
    <t>Abd-A</t>
    <phoneticPr fontId="1"/>
  </si>
  <si>
    <t>Fig.3c</t>
    <phoneticPr fontId="1"/>
  </si>
  <si>
    <t>Fig.3d</t>
    <phoneticPr fontId="1"/>
  </si>
  <si>
    <t>Fig.3e</t>
    <phoneticPr fontId="1"/>
  </si>
  <si>
    <t>dsx-H</t>
    <phoneticPr fontId="1"/>
  </si>
  <si>
    <t>Wnt1-knockdown</t>
    <phoneticPr fontId="1"/>
  </si>
  <si>
    <t>Wnt6-knockdown</t>
    <phoneticPr fontId="1"/>
  </si>
  <si>
    <t>Abd-A-knockdown</t>
    <phoneticPr fontId="1"/>
  </si>
  <si>
    <t>Normalization</t>
    <phoneticPr fontId="1"/>
  </si>
  <si>
    <t>P1</t>
  </si>
  <si>
    <t>P2</t>
  </si>
  <si>
    <t>P3</t>
  </si>
  <si>
    <t xml:space="preserve">WntA </t>
  </si>
  <si>
    <t>PpolytesGene0009523</t>
  </si>
  <si>
    <t>SOX-21</t>
  </si>
  <si>
    <t>cut</t>
  </si>
  <si>
    <t>PpolytesGene0008570</t>
  </si>
  <si>
    <t xml:space="preserve">dichaete </t>
  </si>
  <si>
    <t>Wnt1 (wingless)</t>
  </si>
  <si>
    <t>PpolytesGene0008023</t>
  </si>
  <si>
    <t xml:space="preserve">ocelliless </t>
  </si>
  <si>
    <t>Wnt6</t>
  </si>
  <si>
    <t>PpolytesGene0008021</t>
  </si>
  <si>
    <t>PGRP</t>
  </si>
  <si>
    <t xml:space="preserve">doublesex </t>
  </si>
  <si>
    <t>PpolytesGene0000001</t>
  </si>
  <si>
    <t>sloppy paired 2</t>
  </si>
  <si>
    <t>fd96Ca</t>
  </si>
  <si>
    <t xml:space="preserve">optix </t>
  </si>
  <si>
    <t>PpolytesGene0004116</t>
  </si>
  <si>
    <t>fd96Cb</t>
  </si>
  <si>
    <t>aristaless</t>
  </si>
  <si>
    <t>PpolytesGene0008030</t>
  </si>
  <si>
    <t xml:space="preserve">Lim1 </t>
  </si>
  <si>
    <t>PpolytesGene0009746</t>
  </si>
  <si>
    <t>disconnected</t>
  </si>
  <si>
    <t>PpolytesGene0003404</t>
  </si>
  <si>
    <t>cubitus interruptus</t>
  </si>
  <si>
    <t>PpolytesGene0008824</t>
  </si>
  <si>
    <t>castor</t>
  </si>
  <si>
    <t>PpolytesGene0008819</t>
  </si>
  <si>
    <t xml:space="preserve">thickveins </t>
  </si>
  <si>
    <t>PpolytesGene0003081</t>
  </si>
  <si>
    <t>empty spiracles</t>
  </si>
  <si>
    <t>PpolytesGene0002275</t>
  </si>
  <si>
    <t>slit</t>
  </si>
  <si>
    <t>PpolytesGene0000700</t>
  </si>
  <si>
    <t>asense</t>
  </si>
  <si>
    <t>PpolytesGene0007281</t>
  </si>
  <si>
    <t>vestigial</t>
  </si>
  <si>
    <t>midline</t>
  </si>
  <si>
    <t>PpolytesGene0007753</t>
  </si>
  <si>
    <t xml:space="preserve">homothorax </t>
  </si>
  <si>
    <t>PpolytesGene0006813</t>
  </si>
  <si>
    <t>pointed</t>
  </si>
  <si>
    <t xml:space="preserve">ladybird early </t>
  </si>
  <si>
    <t>PpolytesGene0004982</t>
  </si>
  <si>
    <t xml:space="preserve">E(spl)mb </t>
  </si>
  <si>
    <t>PpolytesGene0006431</t>
  </si>
  <si>
    <t>midline-like</t>
  </si>
  <si>
    <t>PpolytesGene0007754</t>
  </si>
  <si>
    <t>PpolytesGene0009325</t>
  </si>
  <si>
    <t xml:space="preserve">spineless </t>
  </si>
  <si>
    <t xml:space="preserve">sine oculis </t>
  </si>
  <si>
    <t>PpolytesGene0011641</t>
  </si>
  <si>
    <t>doughnut on 2</t>
  </si>
  <si>
    <t>PpolytesGene0008400</t>
  </si>
  <si>
    <t>drumstick</t>
  </si>
  <si>
    <t>PpolytesGene0010396</t>
  </si>
  <si>
    <t>unc-4</t>
  </si>
  <si>
    <t>PpolytesGene0004236</t>
  </si>
  <si>
    <t>PpolytesGene0008277</t>
  </si>
  <si>
    <t>PpolytesGene0001172</t>
  </si>
  <si>
    <t>PpolytesGene0006633</t>
  </si>
  <si>
    <t>unc-5</t>
  </si>
  <si>
    <t>PpolytesGene0006430</t>
  </si>
  <si>
    <t>PpolytesGene0002973</t>
  </si>
  <si>
    <t>GPB5</t>
  </si>
  <si>
    <t>slp2</t>
  </si>
  <si>
    <t>PpolytesGene0008584</t>
  </si>
  <si>
    <t>PpolytesGene0008279</t>
  </si>
  <si>
    <t>PpolytesGene0011078</t>
  </si>
  <si>
    <t>PpolytesGene0009286</t>
  </si>
  <si>
    <t>Tenascin major</t>
  </si>
  <si>
    <t>log2FC (RNAi-FPKM/contorl-FPKM)</t>
  </si>
  <si>
    <t>P1 control</t>
  </si>
  <si>
    <t>P1 RNAi</t>
  </si>
  <si>
    <t>P2 control</t>
  </si>
  <si>
    <t>P2 RNAi</t>
  </si>
  <si>
    <t>P3 control</t>
  </si>
  <si>
    <t>P3 RNAi</t>
  </si>
  <si>
    <t>N.D.</t>
  </si>
  <si>
    <t>Peptidoglycan Recognition Protein</t>
  </si>
  <si>
    <t>forkhead domain 96Ca</t>
  </si>
  <si>
    <t>PpolytesGene0002604</t>
  </si>
  <si>
    <t>forkhead domain 96Cb</t>
  </si>
  <si>
    <t>Enhancer of split mβ</t>
  </si>
  <si>
    <t>PpolytesGene0001560</t>
  </si>
  <si>
    <t>Glycoprotein hormone beta 5</t>
  </si>
  <si>
    <t>PpolytesGene0010197</t>
  </si>
  <si>
    <t>PpolytesGene0007209</t>
  </si>
  <si>
    <r>
      <rPr>
        <i/>
        <sz val="12"/>
        <color rgb="FF000000"/>
        <rFont val="Arial"/>
        <family val="2"/>
      </rPr>
      <t>Twist</t>
    </r>
    <r>
      <rPr>
        <sz val="12"/>
        <color rgb="FF000000"/>
        <rFont val="Arial"/>
        <family val="2"/>
      </rPr>
      <t xml:space="preserve"> </t>
    </r>
  </si>
  <si>
    <t>FPKM values</t>
    <phoneticPr fontId="1"/>
  </si>
  <si>
    <t>Tenascin major</t>
    <phoneticPr fontId="1"/>
  </si>
  <si>
    <t>Gene ID</t>
    <phoneticPr fontId="1"/>
  </si>
  <si>
    <t>Fig. 3a. Source data</t>
    <phoneticPr fontId="1"/>
  </si>
  <si>
    <t>Fig. 1b. Souce data</t>
    <phoneticPr fontId="1"/>
  </si>
  <si>
    <t>Fig. 3b. Source data</t>
    <phoneticPr fontId="1"/>
  </si>
  <si>
    <t>Fig. 3c-e. Source data</t>
    <phoneticPr fontId="1"/>
  </si>
  <si>
    <t>abd-A</t>
    <phoneticPr fontId="1"/>
  </si>
  <si>
    <t>Untreated</t>
    <phoneticPr fontId="1"/>
  </si>
  <si>
    <r>
      <t>Mimetic female</t>
    </r>
    <r>
      <rPr>
        <sz val="12"/>
        <color theme="1"/>
        <rFont val="ＭＳ Ｐゴシック"/>
        <family val="3"/>
        <charset val="128"/>
      </rPr>
      <t>（</t>
    </r>
    <r>
      <rPr>
        <i/>
        <sz val="12"/>
        <color theme="1"/>
        <rFont val="Arial"/>
        <family val="2"/>
      </rPr>
      <t>Hh</t>
    </r>
    <r>
      <rPr>
        <sz val="12"/>
        <color theme="1"/>
        <rFont val="Arial"/>
        <family val="2"/>
      </rPr>
      <t>)</t>
    </r>
    <phoneticPr fontId="1"/>
  </si>
  <si>
    <r>
      <t>Non-mimetic female</t>
    </r>
    <r>
      <rPr>
        <sz val="12"/>
        <color theme="1"/>
        <rFont val="ＭＳ Ｐゴシック"/>
        <family val="3"/>
        <charset val="128"/>
      </rPr>
      <t>（</t>
    </r>
    <r>
      <rPr>
        <i/>
        <sz val="12"/>
        <color theme="1"/>
        <rFont val="Arial"/>
        <family val="2"/>
      </rPr>
      <t>hh</t>
    </r>
    <r>
      <rPr>
        <sz val="12"/>
        <color theme="1"/>
        <rFont val="ＭＳ Ｐゴシック"/>
        <family val="3"/>
        <charset val="128"/>
      </rPr>
      <t>）</t>
    </r>
    <phoneticPr fontId="1"/>
  </si>
  <si>
    <t>Fig. 2b. Source data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</si>
</sst>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0.0000_ "/>
    <numFmt numFmtId="178" formatCode="0.000000_ 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00B0F0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8">
    <xf numFmtId="0" fontId="0" fillId="0" borderId="0" xfId="0">
      <alignment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 readingOrder="1"/>
    </xf>
    <xf numFmtId="0" fontId="8" fillId="0" borderId="0" xfId="0" applyFont="1" applyAlignment="1">
      <alignment horizontal="left" vertical="center" readingOrder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readingOrder="1"/>
    </xf>
    <xf numFmtId="0" fontId="1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10" fillId="0" borderId="0" xfId="0" applyFont="1">
      <alignment vertical="center"/>
    </xf>
    <xf numFmtId="0" fontId="4" fillId="0" borderId="0" xfId="0" applyFont="1" applyAlignment="1">
      <alignment wrapText="1"/>
    </xf>
    <xf numFmtId="178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77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2E205504-6483-4219-825C-34C5C38EAC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Fig.3a!$K$4:$K$11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F9D-4C54-9ECD-AE50207E6FBA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F9D-4C54-9ECD-AE50207E6FBA}"/>
              </c:ext>
            </c:extLst>
          </c:dPt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F9D-4C54-9ECD-AE50207E6FBA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F9D-4C54-9ECD-AE50207E6FBA}"/>
              </c:ext>
            </c:extLst>
          </c:dPt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F9D-4C54-9ECD-AE50207E6FBA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F9D-4C54-9ECD-AE50207E6FBA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F9D-4C54-9ECD-AE50207E6FBA}"/>
              </c:ext>
            </c:extLst>
          </c:dPt>
          <c:dPt>
            <c:idx val="7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F9D-4C54-9ECD-AE50207E6FBA}"/>
              </c:ext>
            </c:extLst>
          </c:dPt>
          <c:errBars>
            <c:errBarType val="both"/>
            <c:errValType val="cust"/>
            <c:noEndCap val="0"/>
            <c:plus>
              <c:numRef>
                <c:f>Fig.3a!$R$4:$R$11</c:f>
                <c:numCache>
                  <c:formatCode>General</c:formatCode>
                  <c:ptCount val="8"/>
                  <c:pt idx="0">
                    <c:v>0.28065939109527133</c:v>
                  </c:pt>
                  <c:pt idx="1">
                    <c:v>0.10966521975454742</c:v>
                  </c:pt>
                  <c:pt idx="2">
                    <c:v>1.0189739005851932</c:v>
                  </c:pt>
                  <c:pt idx="3">
                    <c:v>0.19702739999033547</c:v>
                  </c:pt>
                  <c:pt idx="4">
                    <c:v>0.81610765632057181</c:v>
                  </c:pt>
                  <c:pt idx="5">
                    <c:v>8.4079528284902949E-2</c:v>
                  </c:pt>
                  <c:pt idx="6">
                    <c:v>0.96216822835600857</c:v>
                  </c:pt>
                  <c:pt idx="7">
                    <c:v>0.12611535787007092</c:v>
                  </c:pt>
                </c:numCache>
              </c:numRef>
            </c:plus>
            <c:minus>
              <c:numRef>
                <c:f>Fig.3a!$R$4:$R$11</c:f>
                <c:numCache>
                  <c:formatCode>General</c:formatCode>
                  <c:ptCount val="8"/>
                  <c:pt idx="0">
                    <c:v>0.28065939109527133</c:v>
                  </c:pt>
                  <c:pt idx="1">
                    <c:v>0.10966521975454742</c:v>
                  </c:pt>
                  <c:pt idx="2">
                    <c:v>1.0189739005851932</c:v>
                  </c:pt>
                  <c:pt idx="3">
                    <c:v>0.19702739999033547</c:v>
                  </c:pt>
                  <c:pt idx="4">
                    <c:v>0.81610765632057181</c:v>
                  </c:pt>
                  <c:pt idx="5">
                    <c:v>8.4079528284902949E-2</c:v>
                  </c:pt>
                  <c:pt idx="6">
                    <c:v>0.96216822835600857</c:v>
                  </c:pt>
                  <c:pt idx="7">
                    <c:v>0.12611535787007092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Fig.3a!$K$4:$K$11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cat>
          <c:val>
            <c:numRef>
              <c:f>Fig.3a!$Q$4:$Q$11</c:f>
              <c:numCache>
                <c:formatCode>0.000_ </c:formatCode>
                <c:ptCount val="8"/>
                <c:pt idx="0">
                  <c:v>1</c:v>
                </c:pt>
                <c:pt idx="1">
                  <c:v>1</c:v>
                </c:pt>
                <c:pt idx="2">
                  <c:v>5.2147575775322501</c:v>
                </c:pt>
                <c:pt idx="3">
                  <c:v>1.2093452946061038</c:v>
                </c:pt>
                <c:pt idx="4">
                  <c:v>11.741966269779107</c:v>
                </c:pt>
                <c:pt idx="5">
                  <c:v>1.0185861379786134</c:v>
                </c:pt>
                <c:pt idx="6">
                  <c:v>3.4721407602989438</c:v>
                </c:pt>
                <c:pt idx="7">
                  <c:v>1.0336280569226146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F9D-4C54-9ECD-AE50207E6F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49"/>
        <c:axId val="573575816"/>
        <c:axId val="573577456"/>
      </c:barChart>
      <c:scatterChart>
        <c:scatterStyle val="lineMarker"/>
        <c:varyColors val="0"/>
        <c:ser>
          <c:idx val="0"/>
          <c:order val="0"/>
          <c:tx>
            <c:strRef>
              <c:f>Fig.3a!$N$3</c:f>
              <c:strCache>
                <c:ptCount val="1"/>
                <c:pt idx="0">
                  <c:v>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Fig.3a!$K$4:$K$11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xVal>
          <c:yVal>
            <c:numRef>
              <c:f>Fig.3a!$N$4:$N$11</c:f>
              <c:numCache>
                <c:formatCode>0.000_ </c:formatCode>
                <c:ptCount val="8"/>
                <c:pt idx="0">
                  <c:v>0.73167792975199741</c:v>
                </c:pt>
                <c:pt idx="1">
                  <c:v>0.87339285444503001</c:v>
                </c:pt>
                <c:pt idx="2">
                  <c:v>4.1877383218333319</c:v>
                </c:pt>
                <c:pt idx="3">
                  <c:v>1.3602874249721566</c:v>
                </c:pt>
                <c:pt idx="4">
                  <c:v>11.848643370323822</c:v>
                </c:pt>
                <c:pt idx="5">
                  <c:v>1.1088470690247927</c:v>
                </c:pt>
                <c:pt idx="6">
                  <c:v>2.5571034454374364</c:v>
                </c:pt>
                <c:pt idx="7">
                  <c:v>1.1758781815133039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BF9D-4C54-9ECD-AE50207E6FBA}"/>
            </c:ext>
          </c:extLst>
        </c:ser>
        <c:ser>
          <c:idx val="1"/>
          <c:order val="1"/>
          <c:tx>
            <c:strRef>
              <c:f>Fig.3a!$O$3</c:f>
              <c:strCache>
                <c:ptCount val="1"/>
                <c:pt idx="0">
                  <c:v>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Fig.3a!$K$4:$K$11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xVal>
          <c:yVal>
            <c:numRef>
              <c:f>Fig.3a!$O$4:$O$11</c:f>
              <c:numCache>
                <c:formatCode>0.000_ </c:formatCode>
                <c:ptCount val="8"/>
                <c:pt idx="0">
                  <c:v>0.97676934610155663</c:v>
                </c:pt>
                <c:pt idx="1">
                  <c:v>1.0654091474330536</c:v>
                </c:pt>
                <c:pt idx="2">
                  <c:v>5.2310435168957969</c:v>
                </c:pt>
                <c:pt idx="3">
                  <c:v>1.2812925163055726</c:v>
                </c:pt>
                <c:pt idx="4">
                  <c:v>10.87776601497904</c:v>
                </c:pt>
                <c:pt idx="5">
                  <c:v>1.0044248558741973</c:v>
                </c:pt>
                <c:pt idx="6">
                  <c:v>3.3839509479713308</c:v>
                </c:pt>
                <c:pt idx="7">
                  <c:v>0.93550743886069809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BF9D-4C54-9ECD-AE50207E6FBA}"/>
            </c:ext>
          </c:extLst>
        </c:ser>
        <c:ser>
          <c:idx val="2"/>
          <c:order val="2"/>
          <c:tx>
            <c:strRef>
              <c:f>Fig.3a!$P$3</c:f>
              <c:strCache>
                <c:ptCount val="1"/>
                <c:pt idx="0">
                  <c:v>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chemeClr val="tx1"/>
                </a:solidFill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4-BF9D-4C54-9ECD-AE50207E6FBA}"/>
              </c:ext>
            </c:extLst>
          </c:dPt>
          <c:xVal>
            <c:strRef>
              <c:f>Fig.3a!$K$4:$K$11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xVal>
          <c:yVal>
            <c:numRef>
              <c:f>Fig.3a!$P$4:$P$11</c:f>
              <c:numCache>
                <c:formatCode>0.000_ </c:formatCode>
                <c:ptCount val="8"/>
                <c:pt idx="0">
                  <c:v>1.291552724146446</c:v>
                </c:pt>
                <c:pt idx="1">
                  <c:v>1.0611979981219162</c:v>
                </c:pt>
                <c:pt idx="2">
                  <c:v>6.2254908938676214</c:v>
                </c:pt>
                <c:pt idx="3">
                  <c:v>0.98645594254058211</c:v>
                </c:pt>
                <c:pt idx="4">
                  <c:v>12.499489424034463</c:v>
                </c:pt>
                <c:pt idx="5">
                  <c:v>0.94248648903685017</c:v>
                </c:pt>
                <c:pt idx="6">
                  <c:v>4.4753678874880656</c:v>
                </c:pt>
                <c:pt idx="7">
                  <c:v>0.98949855039384194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BF9D-4C54-9ECD-AE50207E6F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575816"/>
        <c:axId val="573577456"/>
      </c:scatterChart>
      <c:catAx>
        <c:axId val="57357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7456"/>
        <c:crosses val="autoZero"/>
        <c:auto val="1"/>
        <c:lblAlgn val="ctr"/>
        <c:lblOffset val="100"/>
        <c:tickMarkSkip val="1"/>
        <c:noMultiLvlLbl val="0"/>
      </c:catAx>
      <c:valAx>
        <c:axId val="57357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 " sourceLinked="0"/>
        <c:majorTickMark val="none"/>
        <c:minorTickMark val="none"/>
        <c:tickLblPos val="nextTo"/>
        <c:spPr>
          <a:noFill/>
          <a:ln w="190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5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Fig.3a!$K$14:$K$21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1CD-41A2-BFD0-2ED4DFE9B3E5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1CD-41A2-BFD0-2ED4DFE9B3E5}"/>
              </c:ext>
            </c:extLst>
          </c:dPt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1CD-41A2-BFD0-2ED4DFE9B3E5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1CD-41A2-BFD0-2ED4DFE9B3E5}"/>
              </c:ext>
            </c:extLst>
          </c:dPt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61CD-41A2-BFD0-2ED4DFE9B3E5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1CD-41A2-BFD0-2ED4DFE9B3E5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1CD-41A2-BFD0-2ED4DFE9B3E5}"/>
              </c:ext>
            </c:extLst>
          </c:dPt>
          <c:dPt>
            <c:idx val="7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1CD-41A2-BFD0-2ED4DFE9B3E5}"/>
              </c:ext>
            </c:extLst>
          </c:dPt>
          <c:errBars>
            <c:errBarType val="both"/>
            <c:errValType val="cust"/>
            <c:noEndCap val="0"/>
            <c:plus>
              <c:numRef>
                <c:f>Fig.3a!$R$14:$R$21</c:f>
                <c:numCache>
                  <c:formatCode>General</c:formatCode>
                  <c:ptCount val="8"/>
                  <c:pt idx="0">
                    <c:v>0.32171770553406126</c:v>
                  </c:pt>
                  <c:pt idx="1">
                    <c:v>9.3474306434008905E-2</c:v>
                  </c:pt>
                  <c:pt idx="2">
                    <c:v>0.34329312733680362</c:v>
                  </c:pt>
                  <c:pt idx="3">
                    <c:v>0.67130462755604881</c:v>
                  </c:pt>
                  <c:pt idx="4">
                    <c:v>2.8661233064317289</c:v>
                  </c:pt>
                  <c:pt idx="5">
                    <c:v>0.20758404151793422</c:v>
                  </c:pt>
                  <c:pt idx="6">
                    <c:v>0.44332838390101836</c:v>
                  </c:pt>
                  <c:pt idx="7">
                    <c:v>0.23074365205456965</c:v>
                  </c:pt>
                </c:numCache>
              </c:numRef>
            </c:plus>
            <c:minus>
              <c:numRef>
                <c:f>Fig.3a!$R$14:$R$21</c:f>
                <c:numCache>
                  <c:formatCode>General</c:formatCode>
                  <c:ptCount val="8"/>
                  <c:pt idx="0">
                    <c:v>0.32171770553406126</c:v>
                  </c:pt>
                  <c:pt idx="1">
                    <c:v>9.3474306434008905E-2</c:v>
                  </c:pt>
                  <c:pt idx="2">
                    <c:v>0.34329312733680362</c:v>
                  </c:pt>
                  <c:pt idx="3">
                    <c:v>0.67130462755604881</c:v>
                  </c:pt>
                  <c:pt idx="4">
                    <c:v>2.8661233064317289</c:v>
                  </c:pt>
                  <c:pt idx="5">
                    <c:v>0.20758404151793422</c:v>
                  </c:pt>
                  <c:pt idx="6">
                    <c:v>0.44332838390101836</c:v>
                  </c:pt>
                  <c:pt idx="7">
                    <c:v>0.23074365205456965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Fig.3a!$K$4:$K$11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cat>
          <c:val>
            <c:numRef>
              <c:f>Fig.3a!$Q$14:$Q$21</c:f>
              <c:numCache>
                <c:formatCode>0.000_ </c:formatCode>
                <c:ptCount val="8"/>
                <c:pt idx="0">
                  <c:v>1</c:v>
                </c:pt>
                <c:pt idx="1">
                  <c:v>1</c:v>
                </c:pt>
                <c:pt idx="2">
                  <c:v>4.1411529861879899</c:v>
                </c:pt>
                <c:pt idx="3">
                  <c:v>1.4592679931654804</c:v>
                </c:pt>
                <c:pt idx="4">
                  <c:v>9.6980552706171625</c:v>
                </c:pt>
                <c:pt idx="5">
                  <c:v>1.3653143733991098</c:v>
                </c:pt>
                <c:pt idx="6">
                  <c:v>2.160879806567753</c:v>
                </c:pt>
                <c:pt idx="7">
                  <c:v>1.1937442778097769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1CD-41A2-BFD0-2ED4DFE9B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49"/>
        <c:axId val="573575816"/>
        <c:axId val="573577456"/>
      </c:barChart>
      <c:scatterChart>
        <c:scatterStyle val="lineMarker"/>
        <c:varyColors val="0"/>
        <c:ser>
          <c:idx val="0"/>
          <c:order val="0"/>
          <c:tx>
            <c:strRef>
              <c:f>Fig.3a!$N$13</c:f>
              <c:strCache>
                <c:ptCount val="1"/>
                <c:pt idx="0">
                  <c:v>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Fig.3a!$K$14:$K$21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xVal>
          <c:yVal>
            <c:numRef>
              <c:f>Fig.3a!$N$14:$N$21</c:f>
              <c:numCache>
                <c:formatCode>0.000_ </c:formatCode>
                <c:ptCount val="8"/>
                <c:pt idx="0">
                  <c:v>0.66760697758353849</c:v>
                </c:pt>
                <c:pt idx="1">
                  <c:v>0.94539410471445195</c:v>
                </c:pt>
                <c:pt idx="2">
                  <c:v>4.4767391656874151</c:v>
                </c:pt>
                <c:pt idx="3">
                  <c:v>2.166569606751366</c:v>
                </c:pt>
                <c:pt idx="4">
                  <c:v>6.3907520241566456</c:v>
                </c:pt>
                <c:pt idx="5">
                  <c:v>1.6012911248200523</c:v>
                </c:pt>
                <c:pt idx="6">
                  <c:v>1.705270329868565</c:v>
                </c:pt>
                <c:pt idx="7">
                  <c:v>0.93620068870831119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61CD-41A2-BFD0-2ED4DFE9B3E5}"/>
            </c:ext>
          </c:extLst>
        </c:ser>
        <c:ser>
          <c:idx val="1"/>
          <c:order val="1"/>
          <c:tx>
            <c:strRef>
              <c:f>Fig.3a!$O$13</c:f>
              <c:strCache>
                <c:ptCount val="1"/>
                <c:pt idx="0">
                  <c:v>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Fig.3a!$K$14:$K$21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xVal>
          <c:yVal>
            <c:numRef>
              <c:f>Fig.3a!$O$14:$O$21</c:f>
              <c:numCache>
                <c:formatCode>0.000_ </c:formatCode>
                <c:ptCount val="8"/>
                <c:pt idx="0">
                  <c:v>1.0225356569690245</c:v>
                </c:pt>
                <c:pt idx="1">
                  <c:v>1.1079323040420832</c:v>
                </c:pt>
                <c:pt idx="2">
                  <c:v>4.1560799237298074</c:v>
                </c:pt>
                <c:pt idx="3">
                  <c:v>1.3802864848794281</c:v>
                </c:pt>
                <c:pt idx="4">
                  <c:v>11.246960845545262</c:v>
                </c:pt>
                <c:pt idx="5">
                  <c:v>1.2837590031168595</c:v>
                </c:pt>
                <c:pt idx="6">
                  <c:v>2.5908108903765892</c:v>
                </c:pt>
                <c:pt idx="7">
                  <c:v>1.3816439655077537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61CD-41A2-BFD0-2ED4DFE9B3E5}"/>
            </c:ext>
          </c:extLst>
        </c:ser>
        <c:ser>
          <c:idx val="2"/>
          <c:order val="2"/>
          <c:tx>
            <c:strRef>
              <c:f>Fig.3a!$P$13</c:f>
              <c:strCache>
                <c:ptCount val="1"/>
                <c:pt idx="0">
                  <c:v>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Fig.3a!$K$14:$K$21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xVal>
          <c:yVal>
            <c:numRef>
              <c:f>Fig.3a!$P$14:$P$21</c:f>
              <c:numCache>
                <c:formatCode>0.000_ </c:formatCode>
                <c:ptCount val="8"/>
                <c:pt idx="0">
                  <c:v>1.3098573654474368</c:v>
                </c:pt>
                <c:pt idx="1">
                  <c:v>0.94667359124346484</c:v>
                </c:pt>
                <c:pt idx="2">
                  <c:v>3.7906398691467471</c:v>
                </c:pt>
                <c:pt idx="3">
                  <c:v>0.83094788786564744</c:v>
                </c:pt>
                <c:pt idx="4">
                  <c:v>11.456452942149584</c:v>
                </c:pt>
                <c:pt idx="5">
                  <c:v>1.2108929922604181</c:v>
                </c:pt>
                <c:pt idx="6">
                  <c:v>2.1865581994581045</c:v>
                </c:pt>
                <c:pt idx="7">
                  <c:v>1.263388179213266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61CD-41A2-BFD0-2ED4DFE9B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575816"/>
        <c:axId val="573577456"/>
      </c:scatterChart>
      <c:catAx>
        <c:axId val="57357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7456"/>
        <c:crosses val="autoZero"/>
        <c:auto val="1"/>
        <c:lblAlgn val="ctr"/>
        <c:lblOffset val="100"/>
        <c:tickMarkSkip val="1"/>
        <c:noMultiLvlLbl val="0"/>
      </c:catAx>
      <c:valAx>
        <c:axId val="57357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 " sourceLinked="0"/>
        <c:majorTickMark val="none"/>
        <c:minorTickMark val="none"/>
        <c:tickLblPos val="nextTo"/>
        <c:spPr>
          <a:noFill/>
          <a:ln w="190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5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Fig.3a!$K$24:$K$31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142-4133-8741-FEEEB2E0837B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142-4133-8741-FEEEB2E0837B}"/>
              </c:ext>
            </c:extLst>
          </c:dPt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142-4133-8741-FEEEB2E0837B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142-4133-8741-FEEEB2E0837B}"/>
              </c:ext>
            </c:extLst>
          </c:dPt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2142-4133-8741-FEEEB2E0837B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142-4133-8741-FEEEB2E0837B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2142-4133-8741-FEEEB2E0837B}"/>
              </c:ext>
            </c:extLst>
          </c:dPt>
          <c:dPt>
            <c:idx val="7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142-4133-8741-FEEEB2E0837B}"/>
              </c:ext>
            </c:extLst>
          </c:dPt>
          <c:errBars>
            <c:errBarType val="both"/>
            <c:errValType val="cust"/>
            <c:noEndCap val="0"/>
            <c:plus>
              <c:numRef>
                <c:f>Fig.3a!$R$24:$R$31</c:f>
                <c:numCache>
                  <c:formatCode>General</c:formatCode>
                  <c:ptCount val="8"/>
                  <c:pt idx="0">
                    <c:v>0.16260993448025582</c:v>
                  </c:pt>
                  <c:pt idx="1">
                    <c:v>0.51235819898290391</c:v>
                  </c:pt>
                  <c:pt idx="2">
                    <c:v>1.614984827737999</c:v>
                  </c:pt>
                  <c:pt idx="3">
                    <c:v>0.48539313659224337</c:v>
                  </c:pt>
                  <c:pt idx="4">
                    <c:v>1.0685875579010702</c:v>
                  </c:pt>
                  <c:pt idx="5">
                    <c:v>0.34603562319741848</c:v>
                  </c:pt>
                  <c:pt idx="6">
                    <c:v>0.17180295490350508</c:v>
                  </c:pt>
                  <c:pt idx="7">
                    <c:v>0.36487465304224376</c:v>
                  </c:pt>
                </c:numCache>
              </c:numRef>
            </c:plus>
            <c:minus>
              <c:numRef>
                <c:f>Fig.3a!$R$24:$R$31</c:f>
                <c:numCache>
                  <c:formatCode>General</c:formatCode>
                  <c:ptCount val="8"/>
                  <c:pt idx="0">
                    <c:v>0.16260993448025582</c:v>
                  </c:pt>
                  <c:pt idx="1">
                    <c:v>0.51235819898290391</c:v>
                  </c:pt>
                  <c:pt idx="2">
                    <c:v>1.614984827737999</c:v>
                  </c:pt>
                  <c:pt idx="3">
                    <c:v>0.48539313659224337</c:v>
                  </c:pt>
                  <c:pt idx="4">
                    <c:v>1.0685875579010702</c:v>
                  </c:pt>
                  <c:pt idx="5">
                    <c:v>0.34603562319741848</c:v>
                  </c:pt>
                  <c:pt idx="6">
                    <c:v>0.17180295490350508</c:v>
                  </c:pt>
                  <c:pt idx="7">
                    <c:v>0.36487465304224376</c:v>
                  </c:pt>
                </c:numCache>
              </c:numRef>
            </c:minus>
            <c:spPr>
              <a:noFill/>
              <a:ln w="9525" cap="flat" cmpd="sng" algn="ctr">
                <a:solidFill>
                  <a:sysClr val="windowText" lastClr="000000"/>
                </a:solidFill>
                <a:round/>
              </a:ln>
              <a:effectLst/>
            </c:spPr>
          </c:errBars>
          <c:cat>
            <c:strRef>
              <c:f>Fig.3a!$K$4:$K$11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cat>
          <c:val>
            <c:numRef>
              <c:f>Fig.3a!$Q$24:$Q$31</c:f>
              <c:numCache>
                <c:formatCode>0.000_ </c:formatCode>
                <c:ptCount val="8"/>
                <c:pt idx="0">
                  <c:v>0.99999999999999989</c:v>
                </c:pt>
                <c:pt idx="1">
                  <c:v>1</c:v>
                </c:pt>
                <c:pt idx="2">
                  <c:v>6.5159669366383923</c:v>
                </c:pt>
                <c:pt idx="3">
                  <c:v>1.1790585100510051</c:v>
                </c:pt>
                <c:pt idx="4">
                  <c:v>8.1771653594450662</c:v>
                </c:pt>
                <c:pt idx="5">
                  <c:v>1.0445356457227106</c:v>
                </c:pt>
                <c:pt idx="6">
                  <c:v>3.0080876119521185</c:v>
                </c:pt>
                <c:pt idx="7">
                  <c:v>0.89246214850975436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142-4133-8741-FEEEB2E083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49"/>
        <c:axId val="573575816"/>
        <c:axId val="573577456"/>
      </c:barChart>
      <c:scatterChart>
        <c:scatterStyle val="lineMarker"/>
        <c:varyColors val="0"/>
        <c:ser>
          <c:idx val="0"/>
          <c:order val="0"/>
          <c:tx>
            <c:strRef>
              <c:f>Fig.3a!$N$23</c:f>
              <c:strCache>
                <c:ptCount val="1"/>
                <c:pt idx="0">
                  <c:v>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Fig.3a!$K$24:$K$31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xVal>
          <c:yVal>
            <c:numRef>
              <c:f>Fig.3a!$N$24:$N$31</c:f>
              <c:numCache>
                <c:formatCode>0.000_ </c:formatCode>
                <c:ptCount val="8"/>
                <c:pt idx="0">
                  <c:v>0.88791204902729715</c:v>
                </c:pt>
                <c:pt idx="1">
                  <c:v>1.471673495798326</c:v>
                </c:pt>
                <c:pt idx="2">
                  <c:v>5.1365760772597833</c:v>
                </c:pt>
                <c:pt idx="3">
                  <c:v>1.4383140213224772</c:v>
                </c:pt>
                <c:pt idx="4">
                  <c:v>9.3054959667502466</c:v>
                </c:pt>
                <c:pt idx="5">
                  <c:v>1.1874292817200072</c:v>
                </c:pt>
                <c:pt idx="6">
                  <c:v>2.8174849063477017</c:v>
                </c:pt>
                <c:pt idx="7">
                  <c:v>1.0419918331913338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2142-4133-8741-FEEEB2E0837B}"/>
            </c:ext>
          </c:extLst>
        </c:ser>
        <c:ser>
          <c:idx val="1"/>
          <c:order val="1"/>
          <c:tx>
            <c:strRef>
              <c:f>Fig.3a!$O$23</c:f>
              <c:strCache>
                <c:ptCount val="1"/>
                <c:pt idx="0">
                  <c:v>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Fig.3a!$K$24:$K$31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xVal>
          <c:yVal>
            <c:numRef>
              <c:f>Fig.3a!$O$24:$O$31</c:f>
              <c:numCache>
                <c:formatCode>0.000_ </c:formatCode>
                <c:ptCount val="8"/>
                <c:pt idx="0">
                  <c:v>0.92558628415798028</c:v>
                </c:pt>
                <c:pt idx="1">
                  <c:v>1.0734430753775017</c:v>
                </c:pt>
                <c:pt idx="2">
                  <c:v>8.292463468931567</c:v>
                </c:pt>
                <c:pt idx="3">
                  <c:v>1.4797753046972284</c:v>
                </c:pt>
                <c:pt idx="4">
                  <c:v>7.1805282077321566</c:v>
                </c:pt>
                <c:pt idx="5">
                  <c:v>1.2962400448271858</c:v>
                </c:pt>
                <c:pt idx="6">
                  <c:v>3.1510252091044304</c:v>
                </c:pt>
                <c:pt idx="7">
                  <c:v>1.1588192308263638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2142-4133-8741-FEEEB2E0837B}"/>
            </c:ext>
          </c:extLst>
        </c:ser>
        <c:ser>
          <c:idx val="2"/>
          <c:order val="2"/>
          <c:tx>
            <c:strRef>
              <c:f>Fig.3a!$P$23</c:f>
              <c:strCache>
                <c:ptCount val="1"/>
                <c:pt idx="0">
                  <c:v>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Fig.3a!$K$24:$K$31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xVal>
          <c:yVal>
            <c:numRef>
              <c:f>Fig.3a!$P$24:$P$31</c:f>
              <c:numCache>
                <c:formatCode>0.000_ </c:formatCode>
                <c:ptCount val="8"/>
                <c:pt idx="0">
                  <c:v>1.1865016668147221</c:v>
                </c:pt>
                <c:pt idx="1">
                  <c:v>0.45488342882417238</c:v>
                </c:pt>
                <c:pt idx="2">
                  <c:v>6.1188612637238267</c:v>
                </c:pt>
                <c:pt idx="3">
                  <c:v>0.61908620413330961</c:v>
                </c:pt>
                <c:pt idx="4">
                  <c:v>8.0454719038527962</c:v>
                </c:pt>
                <c:pt idx="5">
                  <c:v>0.64993761062093891</c:v>
                </c:pt>
                <c:pt idx="6">
                  <c:v>3.0557527204042243</c:v>
                </c:pt>
                <c:pt idx="7">
                  <c:v>0.47657538151156525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2142-4133-8741-FEEEB2E083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575816"/>
        <c:axId val="573577456"/>
      </c:scatterChart>
      <c:catAx>
        <c:axId val="57357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7456"/>
        <c:crosses val="autoZero"/>
        <c:auto val="1"/>
        <c:lblAlgn val="ctr"/>
        <c:lblOffset val="100"/>
        <c:tickMarkSkip val="1"/>
        <c:noMultiLvlLbl val="0"/>
      </c:catAx>
      <c:valAx>
        <c:axId val="57357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 " sourceLinked="0"/>
        <c:majorTickMark val="none"/>
        <c:minorTickMark val="none"/>
        <c:tickLblPos val="nextTo"/>
        <c:spPr>
          <a:noFill/>
          <a:ln w="190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5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Fig.3a!$K$34:$K$41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24-4F12-9FD9-67A719599947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624-4F12-9FD9-67A719599947}"/>
              </c:ext>
            </c:extLst>
          </c:dPt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624-4F12-9FD9-67A719599947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624-4F12-9FD9-67A719599947}"/>
              </c:ext>
            </c:extLst>
          </c:dPt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624-4F12-9FD9-67A719599947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624-4F12-9FD9-67A719599947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624-4F12-9FD9-67A719599947}"/>
              </c:ext>
            </c:extLst>
          </c:dPt>
          <c:dPt>
            <c:idx val="7"/>
            <c:invertIfNegative val="0"/>
            <c:bubble3D val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624-4F12-9FD9-67A719599947}"/>
              </c:ext>
            </c:extLst>
          </c:dPt>
          <c:errBars>
            <c:errBarType val="both"/>
            <c:errValType val="cust"/>
            <c:noEndCap val="0"/>
            <c:plus>
              <c:numRef>
                <c:f>Fig.3a!$R$34:$R$41</c:f>
                <c:numCache>
                  <c:formatCode>General</c:formatCode>
                  <c:ptCount val="8"/>
                  <c:pt idx="0">
                    <c:v>0.5831584820298209</c:v>
                  </c:pt>
                  <c:pt idx="1">
                    <c:v>0.71995292390953636</c:v>
                  </c:pt>
                  <c:pt idx="2">
                    <c:v>0.7344225822614856</c:v>
                  </c:pt>
                  <c:pt idx="3">
                    <c:v>0.65899291033782359</c:v>
                  </c:pt>
                  <c:pt idx="4">
                    <c:v>0.38282648215780241</c:v>
                  </c:pt>
                  <c:pt idx="5">
                    <c:v>0.25429552852718335</c:v>
                  </c:pt>
                  <c:pt idx="6">
                    <c:v>0.51468162330385936</c:v>
                  </c:pt>
                  <c:pt idx="7">
                    <c:v>0.76925324973374953</c:v>
                  </c:pt>
                </c:numCache>
              </c:numRef>
            </c:plus>
            <c:minus>
              <c:numRef>
                <c:f>Fig.3a!$R$34:$R$41</c:f>
                <c:numCache>
                  <c:formatCode>General</c:formatCode>
                  <c:ptCount val="8"/>
                  <c:pt idx="0">
                    <c:v>0.5831584820298209</c:v>
                  </c:pt>
                  <c:pt idx="1">
                    <c:v>0.71995292390953636</c:v>
                  </c:pt>
                  <c:pt idx="2">
                    <c:v>0.7344225822614856</c:v>
                  </c:pt>
                  <c:pt idx="3">
                    <c:v>0.65899291033782359</c:v>
                  </c:pt>
                  <c:pt idx="4">
                    <c:v>0.38282648215780241</c:v>
                  </c:pt>
                  <c:pt idx="5">
                    <c:v>0.25429552852718335</c:v>
                  </c:pt>
                  <c:pt idx="6">
                    <c:v>0.51468162330385936</c:v>
                  </c:pt>
                  <c:pt idx="7">
                    <c:v>0.76925324973374953</c:v>
                  </c:pt>
                </c:numCache>
              </c:numRef>
            </c:minus>
            <c:spPr>
              <a:noFill/>
              <a:ln w="9525" cap="flat" cmpd="sng" algn="ctr">
                <a:solidFill>
                  <a:sysClr val="windowText" lastClr="000000"/>
                </a:solidFill>
                <a:round/>
              </a:ln>
              <a:effectLst/>
            </c:spPr>
          </c:errBars>
          <c:cat>
            <c:strRef>
              <c:f>Fig.3a!$K$4:$K$11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cat>
          <c:val>
            <c:numRef>
              <c:f>Fig.3a!$Q$34:$Q$41</c:f>
              <c:numCache>
                <c:formatCode>0.000_ </c:formatCode>
                <c:ptCount val="8"/>
                <c:pt idx="0">
                  <c:v>0.99999999999999989</c:v>
                </c:pt>
                <c:pt idx="1">
                  <c:v>1</c:v>
                </c:pt>
                <c:pt idx="2">
                  <c:v>3.0765920154417956</c:v>
                </c:pt>
                <c:pt idx="3">
                  <c:v>12.044397597731352</c:v>
                </c:pt>
                <c:pt idx="4">
                  <c:v>1.7122147564154766</c:v>
                </c:pt>
                <c:pt idx="5">
                  <c:v>1.3892049792880983</c:v>
                </c:pt>
                <c:pt idx="6">
                  <c:v>0.98345115421177509</c:v>
                </c:pt>
                <c:pt idx="7">
                  <c:v>1.0509087195066635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624-4F12-9FD9-67A719599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49"/>
        <c:axId val="573575816"/>
        <c:axId val="573577456"/>
      </c:barChart>
      <c:scatterChart>
        <c:scatterStyle val="lineMarker"/>
        <c:varyColors val="0"/>
        <c:ser>
          <c:idx val="0"/>
          <c:order val="0"/>
          <c:tx>
            <c:strRef>
              <c:f>Fig.3a!$N$33</c:f>
              <c:strCache>
                <c:ptCount val="1"/>
                <c:pt idx="0">
                  <c:v>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Fig.3a!$K$34:$K$41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xVal>
          <c:yVal>
            <c:numRef>
              <c:f>Fig.3a!$N$34:$N$41</c:f>
              <c:numCache>
                <c:formatCode>0.000_ </c:formatCode>
                <c:ptCount val="8"/>
                <c:pt idx="0">
                  <c:v>1.6666625895921501</c:v>
                </c:pt>
                <c:pt idx="1">
                  <c:v>0.42467715964005559</c:v>
                </c:pt>
                <c:pt idx="2">
                  <c:v>3.7565169759561194</c:v>
                </c:pt>
                <c:pt idx="3">
                  <c:v>12.50064401998346</c:v>
                </c:pt>
                <c:pt idx="4">
                  <c:v>2.0440231863476162</c:v>
                </c:pt>
                <c:pt idx="5">
                  <c:v>1.1774568595514117</c:v>
                </c:pt>
                <c:pt idx="6">
                  <c:v>1.5508632546861929</c:v>
                </c:pt>
                <c:pt idx="7">
                  <c:v>0.40577180128541196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A624-4F12-9FD9-67A719599947}"/>
            </c:ext>
          </c:extLst>
        </c:ser>
        <c:ser>
          <c:idx val="1"/>
          <c:order val="1"/>
          <c:tx>
            <c:strRef>
              <c:f>Fig.3a!$O$33</c:f>
              <c:strCache>
                <c:ptCount val="1"/>
                <c:pt idx="0">
                  <c:v>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Fig.3a!$K$34:$K$41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xVal>
          <c:yVal>
            <c:numRef>
              <c:f>Fig.3a!$O$34:$O$41</c:f>
              <c:numCache>
                <c:formatCode>0.000_ </c:formatCode>
                <c:ptCount val="8"/>
                <c:pt idx="0">
                  <c:v>0.58454344178248385</c:v>
                </c:pt>
                <c:pt idx="1">
                  <c:v>0.76796445591520435</c:v>
                </c:pt>
                <c:pt idx="2">
                  <c:v>2.2977069162780395</c:v>
                </c:pt>
                <c:pt idx="3">
                  <c:v>11.288874104549887</c:v>
                </c:pt>
                <c:pt idx="4">
                  <c:v>1.2933609618672406</c:v>
                </c:pt>
                <c:pt idx="5">
                  <c:v>1.318902235433864</c:v>
                </c:pt>
                <c:pt idx="6">
                  <c:v>0.54667713037099719</c:v>
                </c:pt>
                <c:pt idx="7">
                  <c:v>0.84470564970624451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A624-4F12-9FD9-67A719599947}"/>
            </c:ext>
          </c:extLst>
        </c:ser>
        <c:ser>
          <c:idx val="2"/>
          <c:order val="2"/>
          <c:tx>
            <c:strRef>
              <c:f>Fig.3a!$P$33</c:f>
              <c:strCache>
                <c:ptCount val="1"/>
                <c:pt idx="0">
                  <c:v>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Fig.3a!$K$34:$K$41</c:f>
              <c:strCache>
                <c:ptCount val="8"/>
                <c:pt idx="0">
                  <c:v>P0-Hh</c:v>
                </c:pt>
                <c:pt idx="1">
                  <c:v>P0-hh</c:v>
                </c:pt>
                <c:pt idx="2">
                  <c:v>P1-Hh</c:v>
                </c:pt>
                <c:pt idx="3">
                  <c:v>P1-hh</c:v>
                </c:pt>
                <c:pt idx="4">
                  <c:v>P2-Hh</c:v>
                </c:pt>
                <c:pt idx="5">
                  <c:v>P2-hh</c:v>
                </c:pt>
                <c:pt idx="6">
                  <c:v>P3-Hh</c:v>
                </c:pt>
                <c:pt idx="7">
                  <c:v>P3-hh</c:v>
                </c:pt>
              </c:strCache>
            </c:strRef>
          </c:xVal>
          <c:yVal>
            <c:numRef>
              <c:f>Fig.3a!$P$34:$P$41</c:f>
              <c:numCache>
                <c:formatCode>0.000_ </c:formatCode>
                <c:ptCount val="8"/>
                <c:pt idx="0">
                  <c:v>0.74879396862536574</c:v>
                </c:pt>
                <c:pt idx="1">
                  <c:v>1.8073583844447398</c:v>
                </c:pt>
                <c:pt idx="2">
                  <c:v>3.1755521540912288</c:v>
                </c:pt>
                <c:pt idx="3">
                  <c:v>12.343674668660713</c:v>
                </c:pt>
                <c:pt idx="4">
                  <c:v>1.7992601210315733</c:v>
                </c:pt>
                <c:pt idx="5">
                  <c:v>1.671255842879019</c:v>
                </c:pt>
                <c:pt idx="6">
                  <c:v>0.85281307757813507</c:v>
                </c:pt>
                <c:pt idx="7">
                  <c:v>1.9022487075283341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A624-4F12-9FD9-67A719599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575816"/>
        <c:axId val="573577456"/>
      </c:scatterChart>
      <c:catAx>
        <c:axId val="57357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7456"/>
        <c:crosses val="autoZero"/>
        <c:auto val="1"/>
        <c:lblAlgn val="ctr"/>
        <c:lblOffset val="100"/>
        <c:tickMarkSkip val="1"/>
        <c:noMultiLvlLbl val="0"/>
      </c:catAx>
      <c:valAx>
        <c:axId val="57357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 " sourceLinked="0"/>
        <c:majorTickMark val="none"/>
        <c:minorTickMark val="none"/>
        <c:tickLblPos val="nextTo"/>
        <c:spPr>
          <a:noFill/>
          <a:ln w="190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5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Fig.3b!$K$4:$K$5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9CA-4F07-93FD-D9488EC3151E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9CA-4F07-93FD-D9488EC3151E}"/>
              </c:ext>
            </c:extLst>
          </c:dPt>
          <c:errBars>
            <c:errBarType val="both"/>
            <c:errValType val="cust"/>
            <c:noEndCap val="0"/>
            <c:plus>
              <c:numRef>
                <c:f>Fig.3b!$R$4:$R$5</c:f>
                <c:numCache>
                  <c:formatCode>General</c:formatCode>
                  <c:ptCount val="2"/>
                  <c:pt idx="0">
                    <c:v>0.34951055089870559</c:v>
                  </c:pt>
                  <c:pt idx="1">
                    <c:v>9.216071081491585E-2</c:v>
                  </c:pt>
                </c:numCache>
              </c:numRef>
            </c:plus>
            <c:minus>
              <c:numRef>
                <c:f>Fig.3b!$R$4:$R$5</c:f>
                <c:numCache>
                  <c:formatCode>General</c:formatCode>
                  <c:ptCount val="2"/>
                  <c:pt idx="0">
                    <c:v>0.34951055089870559</c:v>
                  </c:pt>
                  <c:pt idx="1">
                    <c:v>9.216071081491585E-2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Fig.3b!$K$4:$K$5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cat>
          <c:val>
            <c:numRef>
              <c:f>Fig.3b!$Q$4:$Q$5</c:f>
              <c:numCache>
                <c:formatCode>0.000_ </c:formatCode>
                <c:ptCount val="2"/>
                <c:pt idx="0">
                  <c:v>1</c:v>
                </c:pt>
                <c:pt idx="1">
                  <c:v>0.22581936617819218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9CA-4F07-93FD-D9488EC31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49"/>
        <c:axId val="573575816"/>
        <c:axId val="573577456"/>
      </c:barChart>
      <c:scatterChart>
        <c:scatterStyle val="lineMarker"/>
        <c:varyColors val="0"/>
        <c:ser>
          <c:idx val="0"/>
          <c:order val="0"/>
          <c:tx>
            <c:strRef>
              <c:f>Fig.3b!$N$3</c:f>
              <c:strCache>
                <c:ptCount val="1"/>
                <c:pt idx="0">
                  <c:v>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Fig.3b!$K$4:$K$5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xVal>
          <c:yVal>
            <c:numRef>
              <c:f>Fig.3b!$N$4:$N$5</c:f>
              <c:numCache>
                <c:formatCode>0.000_ </c:formatCode>
                <c:ptCount val="2"/>
                <c:pt idx="0">
                  <c:v>1.1293163356563887</c:v>
                </c:pt>
                <c:pt idx="1">
                  <c:v>0.17752850555913011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39CA-4F07-93FD-D9488EC3151E}"/>
            </c:ext>
          </c:extLst>
        </c:ser>
        <c:ser>
          <c:idx val="1"/>
          <c:order val="1"/>
          <c:tx>
            <c:strRef>
              <c:f>Fig.3b!$O$3</c:f>
              <c:strCache>
                <c:ptCount val="1"/>
                <c:pt idx="0">
                  <c:v>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Fig.3b!$K$4:$K$5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xVal>
          <c:yVal>
            <c:numRef>
              <c:f>Fig.3b!$O$4:$O$5</c:f>
              <c:numCache>
                <c:formatCode>0.000_ </c:formatCode>
                <c:ptCount val="2"/>
                <c:pt idx="0">
                  <c:v>0.60425938143057434</c:v>
                </c:pt>
                <c:pt idx="1">
                  <c:v>0.16783933634646561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39CA-4F07-93FD-D9488EC3151E}"/>
            </c:ext>
          </c:extLst>
        </c:ser>
        <c:ser>
          <c:idx val="2"/>
          <c:order val="2"/>
          <c:tx>
            <c:strRef>
              <c:f>Fig.3b!$P$3</c:f>
              <c:strCache>
                <c:ptCount val="1"/>
                <c:pt idx="0">
                  <c:v>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Fig.3b!$K$4:$K$5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xVal>
          <c:yVal>
            <c:numRef>
              <c:f>Fig.3b!$P$4:$P$5</c:f>
              <c:numCache>
                <c:formatCode>0.000_ </c:formatCode>
                <c:ptCount val="2"/>
                <c:pt idx="0">
                  <c:v>1.266424282913037</c:v>
                </c:pt>
                <c:pt idx="1">
                  <c:v>0.33209025662898078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39CA-4F07-93FD-D9488EC31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575816"/>
        <c:axId val="573577456"/>
      </c:scatterChart>
      <c:catAx>
        <c:axId val="57357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7456"/>
        <c:crosses val="autoZero"/>
        <c:auto val="1"/>
        <c:lblAlgn val="ctr"/>
        <c:lblOffset val="100"/>
        <c:tickMarkSkip val="1"/>
        <c:noMultiLvlLbl val="0"/>
      </c:catAx>
      <c:valAx>
        <c:axId val="573577456"/>
        <c:scaling>
          <c:orientation val="minMax"/>
          <c:max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 " sourceLinked="0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581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Fig.3b!$K$12:$K$13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899-4E5A-A97F-4DB9A1AD3CCA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899-4E5A-A97F-4DB9A1AD3CCA}"/>
              </c:ext>
            </c:extLst>
          </c:dPt>
          <c:errBars>
            <c:errBarType val="both"/>
            <c:errValType val="cust"/>
            <c:noEndCap val="0"/>
            <c:plus>
              <c:numRef>
                <c:f>Fig.3b!$R$12:$R$13</c:f>
                <c:numCache>
                  <c:formatCode>General</c:formatCode>
                  <c:ptCount val="2"/>
                  <c:pt idx="0">
                    <c:v>0.25326463384657738</c:v>
                  </c:pt>
                  <c:pt idx="1">
                    <c:v>2.8752328669076468E-2</c:v>
                  </c:pt>
                </c:numCache>
              </c:numRef>
            </c:plus>
            <c:minus>
              <c:numRef>
                <c:f>Fig.3b!$R$12:$R$13</c:f>
                <c:numCache>
                  <c:formatCode>General</c:formatCode>
                  <c:ptCount val="2"/>
                  <c:pt idx="0">
                    <c:v>0.25326463384657738</c:v>
                  </c:pt>
                  <c:pt idx="1">
                    <c:v>2.8752328669076468E-2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Fig.3b!$K$4:$K$5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cat>
          <c:val>
            <c:numRef>
              <c:f>Fig.3b!$Q$12:$Q$13</c:f>
              <c:numCache>
                <c:formatCode>0.000_ </c:formatCode>
                <c:ptCount val="2"/>
                <c:pt idx="0">
                  <c:v>1</c:v>
                </c:pt>
                <c:pt idx="1">
                  <c:v>0.12662413991671667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899-4E5A-A97F-4DB9A1AD3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49"/>
        <c:axId val="573575816"/>
        <c:axId val="573577456"/>
      </c:barChart>
      <c:scatterChart>
        <c:scatterStyle val="lineMarker"/>
        <c:varyColors val="0"/>
        <c:ser>
          <c:idx val="0"/>
          <c:order val="0"/>
          <c:tx>
            <c:strRef>
              <c:f>Fig.3b!$N$11</c:f>
              <c:strCache>
                <c:ptCount val="1"/>
                <c:pt idx="0">
                  <c:v>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Fig.3b!$K$12:$K$13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xVal>
          <c:yVal>
            <c:numRef>
              <c:f>Fig.3b!$N$12:$N$13</c:f>
              <c:numCache>
                <c:formatCode>0.000_ </c:formatCode>
                <c:ptCount val="2"/>
                <c:pt idx="0">
                  <c:v>0.75477634641737068</c:v>
                </c:pt>
                <c:pt idx="1">
                  <c:v>0.15066149346308644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8899-4E5A-A97F-4DB9A1AD3CCA}"/>
            </c:ext>
          </c:extLst>
        </c:ser>
        <c:ser>
          <c:idx val="1"/>
          <c:order val="1"/>
          <c:tx>
            <c:strRef>
              <c:f>Fig.3b!$O$11</c:f>
              <c:strCache>
                <c:ptCount val="1"/>
                <c:pt idx="0">
                  <c:v>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Fig.3b!$K$12:$K$13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xVal>
          <c:yVal>
            <c:numRef>
              <c:f>Fig.3b!$O$12:$O$13</c:f>
              <c:numCache>
                <c:formatCode>0.000_ </c:formatCode>
                <c:ptCount val="2"/>
                <c:pt idx="0">
                  <c:v>1.2606045604772986</c:v>
                </c:pt>
                <c:pt idx="1">
                  <c:v>0.13443853223935551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8899-4E5A-A97F-4DB9A1AD3CCA}"/>
            </c:ext>
          </c:extLst>
        </c:ser>
        <c:ser>
          <c:idx val="2"/>
          <c:order val="2"/>
          <c:tx>
            <c:strRef>
              <c:f>Fig.3b!$P$11</c:f>
              <c:strCache>
                <c:ptCount val="1"/>
                <c:pt idx="0">
                  <c:v>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Fig.3b!$K$12:$K$13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xVal>
          <c:yVal>
            <c:numRef>
              <c:f>Fig.3b!$P$12:$P$13</c:f>
              <c:numCache>
                <c:formatCode>0.000_ </c:formatCode>
                <c:ptCount val="2"/>
                <c:pt idx="0">
                  <c:v>0.9846190931053308</c:v>
                </c:pt>
                <c:pt idx="1">
                  <c:v>9.4772394047708028E-2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8899-4E5A-A97F-4DB9A1AD3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575816"/>
        <c:axId val="573577456"/>
      </c:scatterChart>
      <c:catAx>
        <c:axId val="57357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7456"/>
        <c:crosses val="autoZero"/>
        <c:auto val="1"/>
        <c:lblAlgn val="ctr"/>
        <c:lblOffset val="100"/>
        <c:tickMarkSkip val="1"/>
        <c:noMultiLvlLbl val="0"/>
      </c:catAx>
      <c:valAx>
        <c:axId val="573577456"/>
        <c:scaling>
          <c:orientation val="minMax"/>
          <c:max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 " sourceLinked="0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581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Fig.3b!$K$20:$K$21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CCB-4B8A-9E69-BDC7BE01DFCF}"/>
              </c:ext>
            </c:extLst>
          </c:dPt>
          <c:dPt>
            <c:idx val="1"/>
            <c:invertIfNegative val="0"/>
            <c:bubble3D val="0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CCB-4B8A-9E69-BDC7BE01DFCF}"/>
              </c:ext>
            </c:extLst>
          </c:dPt>
          <c:errBars>
            <c:errBarType val="both"/>
            <c:errValType val="cust"/>
            <c:noEndCap val="0"/>
            <c:plus>
              <c:numRef>
                <c:f>Fig.3b!$R$20:$R$21</c:f>
                <c:numCache>
                  <c:formatCode>General</c:formatCode>
                  <c:ptCount val="2"/>
                  <c:pt idx="0">
                    <c:v>0.1096813868254041</c:v>
                  </c:pt>
                  <c:pt idx="1">
                    <c:v>0.16336218543206418</c:v>
                  </c:pt>
                </c:numCache>
              </c:numRef>
            </c:plus>
            <c:minus>
              <c:numRef>
                <c:f>Fig.3b!$R$20:$R$21</c:f>
                <c:numCache>
                  <c:formatCode>General</c:formatCode>
                  <c:ptCount val="2"/>
                  <c:pt idx="0">
                    <c:v>0.1096813868254041</c:v>
                  </c:pt>
                  <c:pt idx="1">
                    <c:v>0.16336218543206418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Fig.3b!$K$4:$K$5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cat>
          <c:val>
            <c:numRef>
              <c:f>Fig.3b!$Q$20:$Q$21</c:f>
              <c:numCache>
                <c:formatCode>0.000_ </c:formatCode>
                <c:ptCount val="2"/>
                <c:pt idx="0">
                  <c:v>1</c:v>
                </c:pt>
                <c:pt idx="1">
                  <c:v>0.25915842854933896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CCB-4B8A-9E69-BDC7BE01D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49"/>
        <c:axId val="573575816"/>
        <c:axId val="573577456"/>
      </c:barChart>
      <c:scatterChart>
        <c:scatterStyle val="lineMarker"/>
        <c:varyColors val="0"/>
        <c:ser>
          <c:idx val="0"/>
          <c:order val="0"/>
          <c:tx>
            <c:strRef>
              <c:f>Fig.3b!$N$19</c:f>
              <c:strCache>
                <c:ptCount val="1"/>
                <c:pt idx="0">
                  <c:v>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Fig.3b!$K$20:$K$21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xVal>
          <c:yVal>
            <c:numRef>
              <c:f>Fig.3b!$N$20:$N$21</c:f>
              <c:numCache>
                <c:formatCode>0.000_ </c:formatCode>
                <c:ptCount val="2"/>
                <c:pt idx="0">
                  <c:v>0.88116916148571389</c:v>
                </c:pt>
                <c:pt idx="1">
                  <c:v>0.43459024012354097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6CCB-4B8A-9E69-BDC7BE01DFCF}"/>
            </c:ext>
          </c:extLst>
        </c:ser>
        <c:ser>
          <c:idx val="1"/>
          <c:order val="1"/>
          <c:tx>
            <c:strRef>
              <c:f>Fig.3b!$O$19</c:f>
              <c:strCache>
                <c:ptCount val="1"/>
                <c:pt idx="0">
                  <c:v>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Fig.3b!$K$20:$K$21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xVal>
          <c:yVal>
            <c:numRef>
              <c:f>Fig.3b!$O$20:$O$21</c:f>
              <c:numCache>
                <c:formatCode>0.000_ </c:formatCode>
                <c:ptCount val="2"/>
                <c:pt idx="0">
                  <c:v>1.0214755921695342</c:v>
                </c:pt>
                <c:pt idx="1">
                  <c:v>0.111401176633213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6CCB-4B8A-9E69-BDC7BE01DFCF}"/>
            </c:ext>
          </c:extLst>
        </c:ser>
        <c:ser>
          <c:idx val="2"/>
          <c:order val="2"/>
          <c:tx>
            <c:strRef>
              <c:f>Fig.3b!$P$19</c:f>
              <c:strCache>
                <c:ptCount val="1"/>
                <c:pt idx="0">
                  <c:v>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Fig.3b!$K$20:$K$21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xVal>
          <c:yVal>
            <c:numRef>
              <c:f>Fig.3b!$P$20:$P$21</c:f>
              <c:numCache>
                <c:formatCode>0.000_ </c:formatCode>
                <c:ptCount val="2"/>
                <c:pt idx="0">
                  <c:v>1.097355246344752</c:v>
                </c:pt>
                <c:pt idx="1">
                  <c:v>0.23148386889126299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6CCB-4B8A-9E69-BDC7BE01D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575816"/>
        <c:axId val="573577456"/>
      </c:scatterChart>
      <c:catAx>
        <c:axId val="57357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7456"/>
        <c:crosses val="autoZero"/>
        <c:auto val="1"/>
        <c:lblAlgn val="ctr"/>
        <c:lblOffset val="100"/>
        <c:tickMarkSkip val="1"/>
        <c:noMultiLvlLbl val="0"/>
      </c:catAx>
      <c:valAx>
        <c:axId val="573577456"/>
        <c:scaling>
          <c:orientation val="minMax"/>
          <c:max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 " sourceLinked="0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581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Fig.3b!$K$28:$K$29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31C-4EA2-BACB-B8B4A0A2FB50}"/>
              </c:ext>
            </c:extLst>
          </c:dPt>
          <c:dPt>
            <c:idx val="1"/>
            <c:invertIfNegative val="0"/>
            <c:bubble3D val="0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31C-4EA2-BACB-B8B4A0A2FB50}"/>
              </c:ext>
            </c:extLst>
          </c:dPt>
          <c:errBars>
            <c:errBarType val="both"/>
            <c:errValType val="cust"/>
            <c:noEndCap val="0"/>
            <c:plus>
              <c:numRef>
                <c:f>Fig.3b!$R$28:$R$29</c:f>
                <c:numCache>
                  <c:formatCode>General</c:formatCode>
                  <c:ptCount val="2"/>
                  <c:pt idx="0">
                    <c:v>0.6850674358331289</c:v>
                  </c:pt>
                  <c:pt idx="1">
                    <c:v>0.41571435807660223</c:v>
                  </c:pt>
                </c:numCache>
              </c:numRef>
            </c:plus>
            <c:minus>
              <c:numRef>
                <c:f>Fig.3b!$R$28:$R$29</c:f>
                <c:numCache>
                  <c:formatCode>General</c:formatCode>
                  <c:ptCount val="2"/>
                  <c:pt idx="0">
                    <c:v>0.6850674358331289</c:v>
                  </c:pt>
                  <c:pt idx="1">
                    <c:v>0.41571435807660223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Fig.3b!$K$4:$K$5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cat>
          <c:val>
            <c:numRef>
              <c:f>Fig.3b!$Q$28:$Q$29</c:f>
              <c:numCache>
                <c:formatCode>0.000_ </c:formatCode>
                <c:ptCount val="2"/>
                <c:pt idx="0">
                  <c:v>0.99999999999999989</c:v>
                </c:pt>
                <c:pt idx="1">
                  <c:v>7.1656454030064713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31C-4EA2-BACB-B8B4A0A2F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49"/>
        <c:axId val="573575816"/>
        <c:axId val="573577456"/>
      </c:barChart>
      <c:scatterChart>
        <c:scatterStyle val="lineMarker"/>
        <c:varyColors val="0"/>
        <c:ser>
          <c:idx val="0"/>
          <c:order val="0"/>
          <c:tx>
            <c:strRef>
              <c:f>Fig.3b!$N$27</c:f>
              <c:strCache>
                <c:ptCount val="1"/>
                <c:pt idx="0">
                  <c:v>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Fig.3b!$K$28:$K$29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xVal>
          <c:yVal>
            <c:numRef>
              <c:f>Fig.3b!$N$28:$N$29</c:f>
              <c:numCache>
                <c:formatCode>0.000_ </c:formatCode>
                <c:ptCount val="2"/>
                <c:pt idx="0">
                  <c:v>1.3290262854967774</c:v>
                </c:pt>
                <c:pt idx="1">
                  <c:v>6.9750011118756632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31C-4EA2-BACB-B8B4A0A2FB50}"/>
            </c:ext>
          </c:extLst>
        </c:ser>
        <c:ser>
          <c:idx val="1"/>
          <c:order val="1"/>
          <c:tx>
            <c:strRef>
              <c:f>Fig.3b!$O$27</c:f>
              <c:strCache>
                <c:ptCount val="1"/>
                <c:pt idx="0">
                  <c:v>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Fig.3b!$K$28:$K$29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xVal>
          <c:yVal>
            <c:numRef>
              <c:f>Fig.3b!$O$28:$O$29</c:f>
              <c:numCache>
                <c:formatCode>0.000_ </c:formatCode>
                <c:ptCount val="2"/>
                <c:pt idx="0">
                  <c:v>1.4584825789288329</c:v>
                </c:pt>
                <c:pt idx="1">
                  <c:v>7.6424901471233442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D31C-4EA2-BACB-B8B4A0A2FB50}"/>
            </c:ext>
          </c:extLst>
        </c:ser>
        <c:ser>
          <c:idx val="2"/>
          <c:order val="2"/>
          <c:tx>
            <c:strRef>
              <c:f>Fig.3b!$P$27</c:f>
              <c:strCache>
                <c:ptCount val="1"/>
                <c:pt idx="0">
                  <c:v>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Fig.3b!$K$28:$K$29</c:f>
              <c:strCache>
                <c:ptCount val="2"/>
                <c:pt idx="0">
                  <c:v>Untreated</c:v>
                </c:pt>
                <c:pt idx="1">
                  <c:v>dsx-H-knockdown</c:v>
                </c:pt>
              </c:strCache>
            </c:strRef>
          </c:xVal>
          <c:yVal>
            <c:numRef>
              <c:f>Fig.3b!$P$28:$P$29</c:f>
              <c:numCache>
                <c:formatCode>0.000_ </c:formatCode>
                <c:ptCount val="2"/>
                <c:pt idx="0">
                  <c:v>0.21249113557438937</c:v>
                </c:pt>
                <c:pt idx="1">
                  <c:v>6.8794449500204067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D31C-4EA2-BACB-B8B4A0A2F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575816"/>
        <c:axId val="573577456"/>
      </c:scatterChart>
      <c:catAx>
        <c:axId val="57357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7456"/>
        <c:crosses val="autoZero"/>
        <c:auto val="1"/>
        <c:lblAlgn val="ctr"/>
        <c:lblOffset val="100"/>
        <c:tickMarkSkip val="1"/>
        <c:noMultiLvlLbl val="0"/>
      </c:catAx>
      <c:valAx>
        <c:axId val="573577456"/>
        <c:scaling>
          <c:orientation val="minMax"/>
          <c:max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 " sourceLinked="0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5816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'Fig.3c d e'!$L$4:$L$5</c:f>
              <c:strCache>
                <c:ptCount val="2"/>
                <c:pt idx="0">
                  <c:v>Untreated</c:v>
                </c:pt>
                <c:pt idx="1">
                  <c:v>Wnt1-knockdown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52D-465C-9A7E-F422A17E857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52D-465C-9A7E-F422A17E857F}"/>
              </c:ext>
            </c:extLst>
          </c:dPt>
          <c:errBars>
            <c:errBarType val="both"/>
            <c:errValType val="cust"/>
            <c:noEndCap val="0"/>
            <c:plus>
              <c:numRef>
                <c:f>'Fig.3c d e'!$S$4:$S$5</c:f>
                <c:numCache>
                  <c:formatCode>General</c:formatCode>
                  <c:ptCount val="2"/>
                  <c:pt idx="0">
                    <c:v>9.626088487389016E-2</c:v>
                  </c:pt>
                  <c:pt idx="1">
                    <c:v>0.18351412741690015</c:v>
                  </c:pt>
                </c:numCache>
              </c:numRef>
            </c:plus>
            <c:minus>
              <c:numRef>
                <c:f>'Fig.3c d e'!$S$4:$S$5</c:f>
                <c:numCache>
                  <c:formatCode>General</c:formatCode>
                  <c:ptCount val="2"/>
                  <c:pt idx="0">
                    <c:v>9.626088487389016E-2</c:v>
                  </c:pt>
                  <c:pt idx="1">
                    <c:v>0.18351412741690015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'Fig.3c d e'!$L$4:$L$5</c:f>
              <c:strCache>
                <c:ptCount val="2"/>
                <c:pt idx="0">
                  <c:v>Untreated</c:v>
                </c:pt>
                <c:pt idx="1">
                  <c:v>Wnt1-knockdown</c:v>
                </c:pt>
              </c:strCache>
            </c:strRef>
          </c:cat>
          <c:val>
            <c:numRef>
              <c:f>'Fig.3c d e'!$R$4:$R$5</c:f>
              <c:numCache>
                <c:formatCode>0.000_ </c:formatCode>
                <c:ptCount val="2"/>
                <c:pt idx="0">
                  <c:v>0.99999999999999989</c:v>
                </c:pt>
                <c:pt idx="1">
                  <c:v>0.98532471203871086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2D-465C-9A7E-F422A17E85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49"/>
        <c:axId val="573575816"/>
        <c:axId val="573577456"/>
      </c:barChart>
      <c:scatterChart>
        <c:scatterStyle val="lineMarker"/>
        <c:varyColors val="0"/>
        <c:ser>
          <c:idx val="0"/>
          <c:order val="0"/>
          <c:tx>
            <c:strRef>
              <c:f>'Fig.3c d e'!$O$3</c:f>
              <c:strCache>
                <c:ptCount val="1"/>
                <c:pt idx="0">
                  <c:v>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'Fig.3c d e'!$L$4:$L$5</c:f>
              <c:strCache>
                <c:ptCount val="2"/>
                <c:pt idx="0">
                  <c:v>Untreated</c:v>
                </c:pt>
                <c:pt idx="1">
                  <c:v>Wnt1-knockdown</c:v>
                </c:pt>
              </c:strCache>
            </c:strRef>
          </c:xVal>
          <c:yVal>
            <c:numRef>
              <c:f>'Fig.3c d e'!$O$4:$O$5</c:f>
              <c:numCache>
                <c:formatCode>0.000_ </c:formatCode>
                <c:ptCount val="2"/>
                <c:pt idx="0">
                  <c:v>1.0213607630511161</c:v>
                </c:pt>
                <c:pt idx="1">
                  <c:v>1.197157519745597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52D-465C-9A7E-F422A17E857F}"/>
            </c:ext>
          </c:extLst>
        </c:ser>
        <c:ser>
          <c:idx val="1"/>
          <c:order val="1"/>
          <c:tx>
            <c:strRef>
              <c:f>'Fig.3c d e'!$P$3</c:f>
              <c:strCache>
                <c:ptCount val="1"/>
                <c:pt idx="0">
                  <c:v>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'Fig.3c d e'!$L$4:$L$5</c:f>
              <c:strCache>
                <c:ptCount val="2"/>
                <c:pt idx="0">
                  <c:v>Untreated</c:v>
                </c:pt>
                <c:pt idx="1">
                  <c:v>Wnt1-knockdown</c:v>
                </c:pt>
              </c:strCache>
            </c:strRef>
          </c:xVal>
          <c:yVal>
            <c:numRef>
              <c:f>'Fig.3c d e'!$P$4:$P$5</c:f>
              <c:numCache>
                <c:formatCode>0.000_ </c:formatCode>
                <c:ptCount val="2"/>
                <c:pt idx="0">
                  <c:v>1.083786259719433</c:v>
                </c:pt>
                <c:pt idx="1">
                  <c:v>0.88416027050088097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D52D-465C-9A7E-F422A17E857F}"/>
            </c:ext>
          </c:extLst>
        </c:ser>
        <c:ser>
          <c:idx val="2"/>
          <c:order val="2"/>
          <c:tx>
            <c:strRef>
              <c:f>'Fig.3c d e'!$Q$3</c:f>
              <c:strCache>
                <c:ptCount val="1"/>
                <c:pt idx="0">
                  <c:v>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'Fig.3c d e'!$L$4:$L$5</c:f>
              <c:strCache>
                <c:ptCount val="2"/>
                <c:pt idx="0">
                  <c:v>Untreated</c:v>
                </c:pt>
                <c:pt idx="1">
                  <c:v>Wnt1-knockdown</c:v>
                </c:pt>
              </c:strCache>
            </c:strRef>
          </c:xVal>
          <c:yVal>
            <c:numRef>
              <c:f>'Fig.3c d e'!$Q$4:$Q$5</c:f>
              <c:numCache>
                <c:formatCode>0.000_ </c:formatCode>
                <c:ptCount val="2"/>
                <c:pt idx="0">
                  <c:v>0.89485297722945045</c:v>
                </c:pt>
                <c:pt idx="1">
                  <c:v>0.87465634586965457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D52D-465C-9A7E-F422A17E85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575816"/>
        <c:axId val="573577456"/>
      </c:scatterChart>
      <c:catAx>
        <c:axId val="57357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7456"/>
        <c:crosses val="autoZero"/>
        <c:auto val="1"/>
        <c:lblAlgn val="ctr"/>
        <c:lblOffset val="100"/>
        <c:tickMarkSkip val="1"/>
        <c:noMultiLvlLbl val="0"/>
      </c:catAx>
      <c:valAx>
        <c:axId val="573577456"/>
        <c:scaling>
          <c:orientation val="minMax"/>
          <c:max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 " sourceLinked="0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581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'Fig.3c d e'!$L$12:$L$13</c:f>
              <c:strCache>
                <c:ptCount val="2"/>
                <c:pt idx="0">
                  <c:v>Untreated</c:v>
                </c:pt>
                <c:pt idx="1">
                  <c:v>Wnt6-knockdown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1F5-46D9-99E4-48CE398B2DA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1F5-46D9-99E4-48CE398B2DAC}"/>
              </c:ext>
            </c:extLst>
          </c:dPt>
          <c:errBars>
            <c:errBarType val="both"/>
            <c:errValType val="cust"/>
            <c:noEndCap val="0"/>
            <c:plus>
              <c:numRef>
                <c:f>'Fig.3c d e'!$S$12:$S$13</c:f>
                <c:numCache>
                  <c:formatCode>General</c:formatCode>
                  <c:ptCount val="2"/>
                  <c:pt idx="0">
                    <c:v>0.12348376329418354</c:v>
                  </c:pt>
                  <c:pt idx="1">
                    <c:v>3.1015327013237299E-2</c:v>
                  </c:pt>
                </c:numCache>
              </c:numRef>
            </c:plus>
            <c:minus>
              <c:numRef>
                <c:f>'Fig.3c d e'!$S$12:$S$13</c:f>
                <c:numCache>
                  <c:formatCode>General</c:formatCode>
                  <c:ptCount val="2"/>
                  <c:pt idx="0">
                    <c:v>0.12348376329418354</c:v>
                  </c:pt>
                  <c:pt idx="1">
                    <c:v>3.1015327013237299E-2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'Fig.3c d e'!$L$4:$L$5</c:f>
              <c:strCache>
                <c:ptCount val="2"/>
                <c:pt idx="0">
                  <c:v>Untreated</c:v>
                </c:pt>
                <c:pt idx="1">
                  <c:v>Wnt1-knockdown</c:v>
                </c:pt>
              </c:strCache>
            </c:strRef>
          </c:cat>
          <c:val>
            <c:numRef>
              <c:f>'Fig.3c d e'!$R$12:$R$13</c:f>
              <c:numCache>
                <c:formatCode>0.000_ </c:formatCode>
                <c:ptCount val="2"/>
                <c:pt idx="0">
                  <c:v>0.99999999999999989</c:v>
                </c:pt>
                <c:pt idx="1">
                  <c:v>0.93895231406474433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F5-46D9-99E4-48CE398B2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49"/>
        <c:axId val="573575816"/>
        <c:axId val="573577456"/>
      </c:barChart>
      <c:scatterChart>
        <c:scatterStyle val="lineMarker"/>
        <c:varyColors val="0"/>
        <c:ser>
          <c:idx val="0"/>
          <c:order val="0"/>
          <c:tx>
            <c:strRef>
              <c:f>'Fig.3c d e'!$O$11</c:f>
              <c:strCache>
                <c:ptCount val="1"/>
                <c:pt idx="0">
                  <c:v>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'Fig.3c d e'!$L$12:$L$13</c:f>
              <c:strCache>
                <c:ptCount val="2"/>
                <c:pt idx="0">
                  <c:v>Untreated</c:v>
                </c:pt>
                <c:pt idx="1">
                  <c:v>Wnt6-knockdown</c:v>
                </c:pt>
              </c:strCache>
            </c:strRef>
          </c:xVal>
          <c:yVal>
            <c:numRef>
              <c:f>'Fig.3c d e'!$O$12:$O$13</c:f>
              <c:numCache>
                <c:formatCode>0.000_ </c:formatCode>
                <c:ptCount val="2"/>
                <c:pt idx="0">
                  <c:v>0.8600245310880692</c:v>
                </c:pt>
                <c:pt idx="1">
                  <c:v>0.92244298623292631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81F5-46D9-99E4-48CE398B2DAC}"/>
            </c:ext>
          </c:extLst>
        </c:ser>
        <c:ser>
          <c:idx val="1"/>
          <c:order val="1"/>
          <c:tx>
            <c:strRef>
              <c:f>'Fig.3c d e'!$P$11</c:f>
              <c:strCache>
                <c:ptCount val="1"/>
                <c:pt idx="0">
                  <c:v>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'Fig.3c d e'!$L$12:$L$13</c:f>
              <c:strCache>
                <c:ptCount val="2"/>
                <c:pt idx="0">
                  <c:v>Untreated</c:v>
                </c:pt>
                <c:pt idx="1">
                  <c:v>Wnt6-knockdown</c:v>
                </c:pt>
              </c:strCache>
            </c:strRef>
          </c:xVal>
          <c:yVal>
            <c:numRef>
              <c:f>'Fig.3c d e'!$P$12:$P$13</c:f>
              <c:numCache>
                <c:formatCode>0.000_ </c:formatCode>
                <c:ptCount val="2"/>
                <c:pt idx="0">
                  <c:v>1.0935119958568613</c:v>
                </c:pt>
                <c:pt idx="1">
                  <c:v>0.97473027866651241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81F5-46D9-99E4-48CE398B2DAC}"/>
            </c:ext>
          </c:extLst>
        </c:ser>
        <c:ser>
          <c:idx val="2"/>
          <c:order val="2"/>
          <c:tx>
            <c:strRef>
              <c:f>'Fig.3c d e'!$Q$11</c:f>
              <c:strCache>
                <c:ptCount val="1"/>
                <c:pt idx="0">
                  <c:v>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'Fig.3c d e'!$L$12:$L$13</c:f>
              <c:strCache>
                <c:ptCount val="2"/>
                <c:pt idx="0">
                  <c:v>Untreated</c:v>
                </c:pt>
                <c:pt idx="1">
                  <c:v>Wnt6-knockdown</c:v>
                </c:pt>
              </c:strCache>
            </c:strRef>
          </c:xVal>
          <c:yVal>
            <c:numRef>
              <c:f>'Fig.3c d e'!$Q$12:$Q$13</c:f>
              <c:numCache>
                <c:formatCode>0.000_ </c:formatCode>
                <c:ptCount val="2"/>
                <c:pt idx="0">
                  <c:v>1.046463473055069</c:v>
                </c:pt>
                <c:pt idx="1">
                  <c:v>0.91968367729479394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81F5-46D9-99E4-48CE398B2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575816"/>
        <c:axId val="573577456"/>
      </c:scatterChart>
      <c:catAx>
        <c:axId val="57357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7456"/>
        <c:crosses val="autoZero"/>
        <c:auto val="1"/>
        <c:lblAlgn val="ctr"/>
        <c:lblOffset val="100"/>
        <c:tickMarkSkip val="1"/>
        <c:noMultiLvlLbl val="0"/>
      </c:catAx>
      <c:valAx>
        <c:axId val="573577456"/>
        <c:scaling>
          <c:orientation val="minMax"/>
          <c:max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 " sourceLinked="0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581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'Fig.3c d e'!$L$20:$L$21</c:f>
              <c:strCache>
                <c:ptCount val="2"/>
                <c:pt idx="0">
                  <c:v>Untreated</c:v>
                </c:pt>
                <c:pt idx="1">
                  <c:v>Abd-A-knockdown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C3-4640-A1DE-44D0918E83C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2C3-4640-A1DE-44D0918E83CB}"/>
              </c:ext>
            </c:extLst>
          </c:dPt>
          <c:errBars>
            <c:errBarType val="both"/>
            <c:errValType val="cust"/>
            <c:noEndCap val="0"/>
            <c:plus>
              <c:numRef>
                <c:f>'Fig.3c d e'!$S$20:$S$21</c:f>
                <c:numCache>
                  <c:formatCode>General</c:formatCode>
                  <c:ptCount val="2"/>
                  <c:pt idx="0">
                    <c:v>0.14665042130793957</c:v>
                  </c:pt>
                  <c:pt idx="1">
                    <c:v>0.15345493315378336</c:v>
                  </c:pt>
                </c:numCache>
              </c:numRef>
            </c:plus>
            <c:minus>
              <c:numRef>
                <c:f>'Fig.3c d e'!$S$20:$S$21</c:f>
                <c:numCache>
                  <c:formatCode>General</c:formatCode>
                  <c:ptCount val="2"/>
                  <c:pt idx="0">
                    <c:v>0.14665042130793957</c:v>
                  </c:pt>
                  <c:pt idx="1">
                    <c:v>0.15345493315378336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'Fig.3c d e'!$L$4:$L$5</c:f>
              <c:strCache>
                <c:ptCount val="2"/>
                <c:pt idx="0">
                  <c:v>Untreated</c:v>
                </c:pt>
                <c:pt idx="1">
                  <c:v>Wnt1-knockdown</c:v>
                </c:pt>
              </c:strCache>
            </c:strRef>
          </c:cat>
          <c:val>
            <c:numRef>
              <c:f>'Fig.3c d e'!$R$20:$R$21</c:f>
              <c:numCache>
                <c:formatCode>0.000_ </c:formatCode>
                <c:ptCount val="2"/>
                <c:pt idx="0">
                  <c:v>1</c:v>
                </c:pt>
                <c:pt idx="1">
                  <c:v>0.96163892229204551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C3-4640-A1DE-44D0918E8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49"/>
        <c:axId val="573575816"/>
        <c:axId val="573577456"/>
      </c:barChart>
      <c:scatterChart>
        <c:scatterStyle val="lineMarker"/>
        <c:varyColors val="0"/>
        <c:ser>
          <c:idx val="0"/>
          <c:order val="0"/>
          <c:tx>
            <c:strRef>
              <c:f>'Fig.3c d e'!$O$19</c:f>
              <c:strCache>
                <c:ptCount val="1"/>
                <c:pt idx="0">
                  <c:v>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'Fig.3c d e'!$L$20:$L$21</c:f>
              <c:strCache>
                <c:ptCount val="2"/>
                <c:pt idx="0">
                  <c:v>Untreated</c:v>
                </c:pt>
                <c:pt idx="1">
                  <c:v>Abd-A-knockdown</c:v>
                </c:pt>
              </c:strCache>
            </c:strRef>
          </c:xVal>
          <c:yVal>
            <c:numRef>
              <c:f>'Fig.3c d e'!$O$20:$O$21</c:f>
              <c:numCache>
                <c:formatCode>0.000_ </c:formatCode>
                <c:ptCount val="2"/>
                <c:pt idx="0">
                  <c:v>1.09225388625522</c:v>
                </c:pt>
                <c:pt idx="1">
                  <c:v>0.95416784519782261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2C3-4640-A1DE-44D0918E83CB}"/>
            </c:ext>
          </c:extLst>
        </c:ser>
        <c:ser>
          <c:idx val="1"/>
          <c:order val="1"/>
          <c:tx>
            <c:strRef>
              <c:f>'Fig.3c d e'!$P$19</c:f>
              <c:strCache>
                <c:ptCount val="1"/>
                <c:pt idx="0">
                  <c:v>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'Fig.3c d e'!$L$20:$L$21</c:f>
              <c:strCache>
                <c:ptCount val="2"/>
                <c:pt idx="0">
                  <c:v>Untreated</c:v>
                </c:pt>
                <c:pt idx="1">
                  <c:v>Abd-A-knockdown</c:v>
                </c:pt>
              </c:strCache>
            </c:strRef>
          </c:xVal>
          <c:yVal>
            <c:numRef>
              <c:f>'Fig.3c d e'!$P$20:$P$21</c:f>
              <c:numCache>
                <c:formatCode>0.000_ </c:formatCode>
                <c:ptCount val="2"/>
                <c:pt idx="0">
                  <c:v>0.83089638663407528</c:v>
                </c:pt>
                <c:pt idx="1">
                  <c:v>0.81205598913883803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D2C3-4640-A1DE-44D0918E83CB}"/>
            </c:ext>
          </c:extLst>
        </c:ser>
        <c:ser>
          <c:idx val="2"/>
          <c:order val="2"/>
          <c:tx>
            <c:strRef>
              <c:f>'Fig.3c d e'!$Q$19</c:f>
              <c:strCache>
                <c:ptCount val="1"/>
                <c:pt idx="0">
                  <c:v>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strRef>
              <c:f>'Fig.3c d e'!$L$20:$L$21</c:f>
              <c:strCache>
                <c:ptCount val="2"/>
                <c:pt idx="0">
                  <c:v>Untreated</c:v>
                </c:pt>
                <c:pt idx="1">
                  <c:v>Abd-A-knockdown</c:v>
                </c:pt>
              </c:strCache>
            </c:strRef>
          </c:xVal>
          <c:yVal>
            <c:numRef>
              <c:f>'Fig.3c d e'!$Q$20:$Q$21</c:f>
              <c:numCache>
                <c:formatCode>0.000_ </c:formatCode>
                <c:ptCount val="2"/>
                <c:pt idx="0">
                  <c:v>1.0768497271107045</c:v>
                </c:pt>
                <c:pt idx="1">
                  <c:v>1.1186929325394759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D2C3-4640-A1DE-44D0918E8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575816"/>
        <c:axId val="573577456"/>
      </c:scatterChart>
      <c:catAx>
        <c:axId val="57357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7456"/>
        <c:crosses val="autoZero"/>
        <c:auto val="1"/>
        <c:lblAlgn val="ctr"/>
        <c:lblOffset val="100"/>
        <c:tickMarkSkip val="1"/>
        <c:noMultiLvlLbl val="0"/>
      </c:catAx>
      <c:valAx>
        <c:axId val="573577456"/>
        <c:scaling>
          <c:orientation val="minMax"/>
          <c:max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 " sourceLinked="0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7357581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497794</xdr:colOff>
      <xdr:row>1</xdr:row>
      <xdr:rowOff>189178</xdr:rowOff>
    </xdr:from>
    <xdr:to>
      <xdr:col>25</xdr:col>
      <xdr:colOff>242157</xdr:colOff>
      <xdr:row>10</xdr:row>
      <xdr:rowOff>88032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D7A542B-6D3C-4685-BDBA-4FFF869E1F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498299</xdr:colOff>
      <xdr:row>12</xdr:row>
      <xdr:rowOff>10142</xdr:rowOff>
    </xdr:from>
    <xdr:to>
      <xdr:col>25</xdr:col>
      <xdr:colOff>242662</xdr:colOff>
      <xdr:row>20</xdr:row>
      <xdr:rowOff>128071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E300CDBF-3C5F-4D11-A154-0BA218059F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476250</xdr:colOff>
      <xdr:row>22</xdr:row>
      <xdr:rowOff>3970</xdr:rowOff>
    </xdr:from>
    <xdr:to>
      <xdr:col>25</xdr:col>
      <xdr:colOff>220613</xdr:colOff>
      <xdr:row>30</xdr:row>
      <xdr:rowOff>121899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307D70E3-446E-45FE-A566-65A62BB28E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448469</xdr:colOff>
      <xdr:row>32</xdr:row>
      <xdr:rowOff>0</xdr:rowOff>
    </xdr:from>
    <xdr:to>
      <xdr:col>25</xdr:col>
      <xdr:colOff>192832</xdr:colOff>
      <xdr:row>40</xdr:row>
      <xdr:rowOff>98879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5E3ACCF4-1E15-4701-9042-F11588ED7C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400781</xdr:colOff>
      <xdr:row>2</xdr:row>
      <xdr:rowOff>54429</xdr:rowOff>
    </xdr:from>
    <xdr:to>
      <xdr:col>25</xdr:col>
      <xdr:colOff>18143</xdr:colOff>
      <xdr:row>8</xdr:row>
      <xdr:rowOff>217715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1B704D4-2F72-4B40-91E7-49A7FFD61C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408214</xdr:colOff>
      <xdr:row>10</xdr:row>
      <xdr:rowOff>36286</xdr:rowOff>
    </xdr:from>
    <xdr:to>
      <xdr:col>25</xdr:col>
      <xdr:colOff>25576</xdr:colOff>
      <xdr:row>16</xdr:row>
      <xdr:rowOff>199572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F7BD4CCF-F112-4C4D-9CA1-94FC3C2778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408215</xdr:colOff>
      <xdr:row>18</xdr:row>
      <xdr:rowOff>18143</xdr:rowOff>
    </xdr:from>
    <xdr:to>
      <xdr:col>25</xdr:col>
      <xdr:colOff>25577</xdr:colOff>
      <xdr:row>24</xdr:row>
      <xdr:rowOff>208644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4242EE7D-88D5-432E-91DB-678ECCA20F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365125</xdr:colOff>
      <xdr:row>26</xdr:row>
      <xdr:rowOff>23813</xdr:rowOff>
    </xdr:from>
    <xdr:to>
      <xdr:col>24</xdr:col>
      <xdr:colOff>641300</xdr:colOff>
      <xdr:row>32</xdr:row>
      <xdr:rowOff>190501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2FAABB68-BA59-46C1-A7E1-C47837A3C0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353156</xdr:colOff>
      <xdr:row>1</xdr:row>
      <xdr:rowOff>178254</xdr:rowOff>
    </xdr:from>
    <xdr:to>
      <xdr:col>25</xdr:col>
      <xdr:colOff>656318</xdr:colOff>
      <xdr:row>8</xdr:row>
      <xdr:rowOff>122465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A310C4B-22F3-4C84-A8BC-309EA76E0B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370114</xdr:colOff>
      <xdr:row>9</xdr:row>
      <xdr:rowOff>188686</xdr:rowOff>
    </xdr:from>
    <xdr:to>
      <xdr:col>25</xdr:col>
      <xdr:colOff>673276</xdr:colOff>
      <xdr:row>16</xdr:row>
      <xdr:rowOff>151947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AA0078A2-D5B9-4857-BD02-69D3ACB5AA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360590</xdr:colOff>
      <xdr:row>17</xdr:row>
      <xdr:rowOff>180068</xdr:rowOff>
    </xdr:from>
    <xdr:to>
      <xdr:col>25</xdr:col>
      <xdr:colOff>663752</xdr:colOff>
      <xdr:row>24</xdr:row>
      <xdr:rowOff>180069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A681C5E0-80EE-4C17-91B2-E05D12C19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tabSelected="1" zoomScaleNormal="100" workbookViewId="0"/>
  </sheetViews>
  <sheetFormatPr defaultRowHeight="15" x14ac:dyDescent="0.4"/>
  <cols>
    <col min="1" max="1" width="11.375" style="17" customWidth="1"/>
    <col min="2" max="16384" width="9" style="17"/>
  </cols>
  <sheetData>
    <row r="1" spans="1:7" x14ac:dyDescent="0.4">
      <c r="A1" s="17" t="s">
        <v>135</v>
      </c>
    </row>
    <row r="3" spans="1:7" x14ac:dyDescent="0.4">
      <c r="A3" s="13" t="s">
        <v>9</v>
      </c>
      <c r="B3" s="13">
        <v>1</v>
      </c>
      <c r="C3" s="13">
        <v>2</v>
      </c>
      <c r="D3" s="13">
        <v>3</v>
      </c>
      <c r="E3" s="13" t="s">
        <v>12</v>
      </c>
      <c r="F3" s="13" t="s">
        <v>0</v>
      </c>
      <c r="G3" s="13" t="s">
        <v>11</v>
      </c>
    </row>
    <row r="4" spans="1:7" x14ac:dyDescent="0.4">
      <c r="A4" s="13">
        <v>0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/>
    </row>
    <row r="5" spans="1:7" x14ac:dyDescent="0.4">
      <c r="A5" s="13" t="s">
        <v>10</v>
      </c>
      <c r="B5" s="14">
        <v>4.5664735991979039E-2</v>
      </c>
      <c r="C5" s="14">
        <v>1.6015852345598016E-2</v>
      </c>
      <c r="D5" s="14">
        <v>2.0516137521290979E-2</v>
      </c>
      <c r="E5" s="14">
        <f>AVERAGE(B5:D5)</f>
        <v>2.7398908619622676E-2</v>
      </c>
      <c r="F5" s="14">
        <f>STDEV(B5:D5)</f>
        <v>1.5977905959892947E-2</v>
      </c>
      <c r="G5" s="13"/>
    </row>
    <row r="6" spans="1:7" x14ac:dyDescent="0.4">
      <c r="A6" s="13" t="s">
        <v>10</v>
      </c>
      <c r="B6" s="14">
        <v>4.5664735991979039E-2</v>
      </c>
      <c r="C6" s="14">
        <v>1.6015852345598016E-2</v>
      </c>
      <c r="D6" s="14">
        <v>2.0516137521290979E-2</v>
      </c>
      <c r="E6" s="14">
        <f>AVERAGE(B6:D6)</f>
        <v>2.7398908619622676E-2</v>
      </c>
      <c r="F6" s="14">
        <f>STDEV(B6:D6)</f>
        <v>1.5977905959892947E-2</v>
      </c>
      <c r="G6" s="13"/>
    </row>
    <row r="7" spans="1:7" x14ac:dyDescent="0.4">
      <c r="A7" s="13" t="s">
        <v>4</v>
      </c>
      <c r="B7" s="13">
        <v>0.14107170846982001</v>
      </c>
      <c r="C7" s="13">
        <v>0.21265698414296311</v>
      </c>
      <c r="D7" s="13">
        <v>0.31913171789503775</v>
      </c>
      <c r="E7" s="14">
        <f>AVERAGE(B7:D7)</f>
        <v>0.22428680350260696</v>
      </c>
      <c r="F7" s="14">
        <f>STDEV(B7:D7)</f>
        <v>8.9597886486683556E-2</v>
      </c>
      <c r="G7" s="14">
        <f>TTEST(B7:D7,B8:D8,2,2)</f>
        <v>3.6044945058288626E-2</v>
      </c>
    </row>
    <row r="8" spans="1:7" x14ac:dyDescent="0.4">
      <c r="A8" s="13" t="s">
        <v>5</v>
      </c>
      <c r="B8" s="13">
        <v>5.8317184821028434E-2</v>
      </c>
      <c r="C8" s="13">
        <v>7.8142951299053173E-2</v>
      </c>
      <c r="D8" s="13">
        <v>4.7231578650728134E-2</v>
      </c>
      <c r="E8" s="14">
        <f t="shared" ref="E8:E12" si="0">AVERAGE(B8:D8)</f>
        <v>6.1230571590269921E-2</v>
      </c>
      <c r="F8" s="14">
        <f t="shared" ref="F8:F12" si="1">STDEV(B8:D8)</f>
        <v>1.566027160049582E-2</v>
      </c>
      <c r="G8" s="14"/>
    </row>
    <row r="9" spans="1:7" x14ac:dyDescent="0.4">
      <c r="A9" s="13" t="s">
        <v>1</v>
      </c>
      <c r="B9" s="13">
        <v>0.84590008370288805</v>
      </c>
      <c r="C9" s="13">
        <v>1.0183259964945799</v>
      </c>
      <c r="D9" s="13">
        <v>0.63857365351548045</v>
      </c>
      <c r="E9" s="14">
        <f t="shared" si="0"/>
        <v>0.83426657790431624</v>
      </c>
      <c r="F9" s="14">
        <f t="shared" si="1"/>
        <v>0.19014327319787716</v>
      </c>
      <c r="G9" s="14">
        <f>TTEST(B9:D9,B10:D10,2,2)</f>
        <v>3.6642418876727352E-3</v>
      </c>
    </row>
    <row r="10" spans="1:7" x14ac:dyDescent="0.4">
      <c r="A10" s="13" t="s">
        <v>6</v>
      </c>
      <c r="B10" s="13">
        <v>0.1903165023801848</v>
      </c>
      <c r="C10" s="13">
        <v>8.9291298176231854E-2</v>
      </c>
      <c r="D10" s="13">
        <v>0.14580999611427944</v>
      </c>
      <c r="E10" s="14">
        <f t="shared" si="0"/>
        <v>0.14180593222356538</v>
      </c>
      <c r="F10" s="14">
        <f t="shared" si="1"/>
        <v>5.0631485923714352E-2</v>
      </c>
      <c r="G10" s="14"/>
    </row>
    <row r="11" spans="1:7" x14ac:dyDescent="0.4">
      <c r="A11" s="13" t="s">
        <v>7</v>
      </c>
      <c r="B11" s="13">
        <v>0.47133354252821791</v>
      </c>
      <c r="C11" s="13">
        <v>0.26998499805261383</v>
      </c>
      <c r="D11" s="13">
        <v>0.53652360046523617</v>
      </c>
      <c r="E11" s="14">
        <f t="shared" si="0"/>
        <v>0.42594738034868929</v>
      </c>
      <c r="F11" s="14">
        <f t="shared" si="1"/>
        <v>0.13894471717938184</v>
      </c>
      <c r="G11" s="14">
        <f t="shared" ref="G11" si="2">TTEST(B11:D11,B12:D12,2,2)</f>
        <v>1.8914097802300078E-2</v>
      </c>
    </row>
    <row r="12" spans="1:7" x14ac:dyDescent="0.4">
      <c r="A12" s="13" t="s">
        <v>8</v>
      </c>
      <c r="B12" s="13">
        <v>9.4440207629713072E-2</v>
      </c>
      <c r="C12" s="13">
        <v>0.10655798933048545</v>
      </c>
      <c r="D12" s="13">
        <v>0.14389472666631253</v>
      </c>
      <c r="E12" s="14">
        <f t="shared" si="0"/>
        <v>0.11496430787550367</v>
      </c>
      <c r="F12" s="14">
        <f t="shared" si="1"/>
        <v>2.5776675637009229E-2</v>
      </c>
      <c r="G12" s="14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243C7-8E9E-419C-A7C8-1FFD41AB72AE}">
  <dimension ref="A1:S42"/>
  <sheetViews>
    <sheetView zoomScaleNormal="100" workbookViewId="0"/>
  </sheetViews>
  <sheetFormatPr defaultRowHeight="19.5" x14ac:dyDescent="0.4"/>
  <cols>
    <col min="1" max="14" width="20.625" style="4" customWidth="1"/>
    <col min="15" max="16384" width="9" style="4"/>
  </cols>
  <sheetData>
    <row r="1" spans="1:19" x14ac:dyDescent="0.4">
      <c r="A1" s="3" t="s">
        <v>142</v>
      </c>
    </row>
    <row r="2" spans="1:19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4">
      <c r="A3" s="3"/>
      <c r="B3" s="3"/>
      <c r="C3" s="31" t="s">
        <v>113</v>
      </c>
      <c r="D3" s="31"/>
      <c r="E3" s="31"/>
      <c r="F3" s="3"/>
      <c r="G3" s="3"/>
      <c r="H3" s="3"/>
      <c r="I3" s="32" t="s">
        <v>131</v>
      </c>
      <c r="J3" s="32"/>
      <c r="K3" s="32"/>
      <c r="L3" s="32"/>
      <c r="M3" s="32"/>
      <c r="N3" s="32"/>
      <c r="O3" s="3"/>
      <c r="P3" s="3"/>
      <c r="Q3" s="3"/>
      <c r="R3" s="3"/>
      <c r="S3" s="3"/>
    </row>
    <row r="4" spans="1:19" x14ac:dyDescent="0.4">
      <c r="A4" s="3" t="s">
        <v>15</v>
      </c>
      <c r="B4" s="3" t="s">
        <v>133</v>
      </c>
      <c r="C4" s="2" t="s">
        <v>38</v>
      </c>
      <c r="D4" s="2" t="s">
        <v>39</v>
      </c>
      <c r="E4" s="2" t="s">
        <v>40</v>
      </c>
      <c r="F4" s="3"/>
      <c r="G4" s="3" t="s">
        <v>15</v>
      </c>
      <c r="H4" s="3" t="s">
        <v>133</v>
      </c>
      <c r="I4" s="3" t="s">
        <v>114</v>
      </c>
      <c r="J4" s="3" t="s">
        <v>115</v>
      </c>
      <c r="K4" s="2" t="s">
        <v>116</v>
      </c>
      <c r="L4" s="3" t="s">
        <v>117</v>
      </c>
      <c r="M4" s="2" t="s">
        <v>118</v>
      </c>
      <c r="N4" s="3" t="s">
        <v>119</v>
      </c>
      <c r="O4" s="3"/>
      <c r="P4" s="3"/>
      <c r="Q4" s="3"/>
      <c r="R4" s="3"/>
      <c r="S4" s="3"/>
    </row>
    <row r="5" spans="1:19" x14ac:dyDescent="0.4">
      <c r="A5" s="5" t="s">
        <v>41</v>
      </c>
      <c r="B5" s="3" t="s">
        <v>42</v>
      </c>
      <c r="C5" s="3">
        <v>0.21049509221542484</v>
      </c>
      <c r="D5" s="3">
        <v>-1.476491274058543</v>
      </c>
      <c r="E5" s="3">
        <v>-0.77387190871479483</v>
      </c>
      <c r="F5" s="3"/>
      <c r="G5" s="5" t="s">
        <v>41</v>
      </c>
      <c r="H5" s="3" t="s">
        <v>42</v>
      </c>
      <c r="I5" s="3">
        <v>1.9716731973681423</v>
      </c>
      <c r="J5" s="3">
        <v>2.2813938655758563</v>
      </c>
      <c r="K5" s="3">
        <v>3.1361498899691482</v>
      </c>
      <c r="L5" s="3">
        <v>1.1270122833521286</v>
      </c>
      <c r="M5" s="3">
        <v>5.4215740944676991</v>
      </c>
      <c r="N5" s="3">
        <v>3.17078459945964</v>
      </c>
      <c r="O5" s="3"/>
      <c r="P5" s="3"/>
      <c r="Q5" s="3"/>
      <c r="R5" s="3"/>
      <c r="S5" s="3"/>
    </row>
    <row r="6" spans="1:19" x14ac:dyDescent="0.4">
      <c r="A6" s="5" t="s">
        <v>44</v>
      </c>
      <c r="B6" s="3" t="s">
        <v>45</v>
      </c>
      <c r="C6" s="3">
        <v>0.82044367950367902</v>
      </c>
      <c r="D6" s="3">
        <v>-0.87372108408387894</v>
      </c>
      <c r="E6" s="3">
        <v>-1.0844655140648709</v>
      </c>
      <c r="F6" s="3"/>
      <c r="G6" s="5" t="s">
        <v>44</v>
      </c>
      <c r="H6" s="3" t="s">
        <v>45</v>
      </c>
      <c r="I6" s="3">
        <v>3.294578692128844</v>
      </c>
      <c r="J6" s="3">
        <v>5.8180579486109734</v>
      </c>
      <c r="K6" s="3">
        <v>3.4753841814964024</v>
      </c>
      <c r="L6" s="3">
        <v>1.8966472510323693</v>
      </c>
      <c r="M6" s="3">
        <v>7.5344252929977005</v>
      </c>
      <c r="N6" s="3">
        <v>3.5529858838748871</v>
      </c>
      <c r="O6" s="3"/>
      <c r="P6" s="3"/>
      <c r="Q6" s="3"/>
      <c r="R6" s="3"/>
      <c r="S6" s="3"/>
    </row>
    <row r="7" spans="1:19" x14ac:dyDescent="0.4">
      <c r="A7" s="9" t="s">
        <v>47</v>
      </c>
      <c r="B7" s="10" t="s">
        <v>48</v>
      </c>
      <c r="C7" s="10">
        <v>-1.6405057451968115</v>
      </c>
      <c r="D7" s="10">
        <v>-1.2643396828607085</v>
      </c>
      <c r="E7" s="10">
        <v>-0.82074125860373648</v>
      </c>
      <c r="F7" s="10"/>
      <c r="G7" s="9" t="s">
        <v>47</v>
      </c>
      <c r="H7" s="10" t="s">
        <v>48</v>
      </c>
      <c r="I7" s="3">
        <v>5.3271185333153763</v>
      </c>
      <c r="J7" s="3">
        <v>1.7086413920139201</v>
      </c>
      <c r="K7" s="3">
        <v>5.9984632734369514</v>
      </c>
      <c r="L7" s="3">
        <v>2.4970994264942199</v>
      </c>
      <c r="M7" s="3">
        <v>13.352083117619189</v>
      </c>
      <c r="N7" s="3">
        <v>7.5592949259285964</v>
      </c>
      <c r="O7" s="3"/>
      <c r="P7" s="3"/>
      <c r="Q7" s="3"/>
      <c r="R7" s="3"/>
      <c r="S7" s="3"/>
    </row>
    <row r="8" spans="1:19" x14ac:dyDescent="0.4">
      <c r="A8" s="9" t="s">
        <v>50</v>
      </c>
      <c r="B8" s="10" t="s">
        <v>51</v>
      </c>
      <c r="C8" s="10">
        <v>-2.0106700257370216</v>
      </c>
      <c r="D8" s="10">
        <v>-1.0808507333466739</v>
      </c>
      <c r="E8" s="10">
        <v>-0.63012193173283648</v>
      </c>
      <c r="F8" s="10"/>
      <c r="G8" s="9" t="s">
        <v>50</v>
      </c>
      <c r="H8" s="10" t="s">
        <v>51</v>
      </c>
      <c r="I8" s="3">
        <v>33.758250264973533</v>
      </c>
      <c r="J8" s="3">
        <v>8.3773746713184423</v>
      </c>
      <c r="K8" s="3">
        <v>70.865431776997596</v>
      </c>
      <c r="L8" s="3">
        <v>33.501630628575143</v>
      </c>
      <c r="M8" s="3">
        <v>48.443406278336937</v>
      </c>
      <c r="N8" s="3">
        <v>31.300341103410226</v>
      </c>
      <c r="O8" s="3"/>
      <c r="P8" s="3"/>
      <c r="Q8" s="3"/>
      <c r="R8" s="3"/>
      <c r="S8" s="3"/>
    </row>
    <row r="9" spans="1:19" x14ac:dyDescent="0.4">
      <c r="A9" s="5" t="s">
        <v>53</v>
      </c>
      <c r="B9" s="3" t="s">
        <v>54</v>
      </c>
      <c r="C9" s="3">
        <v>-1.5581793616781199</v>
      </c>
      <c r="D9" s="3">
        <v>-0.56238205917711448</v>
      </c>
      <c r="E9" s="3">
        <v>-0.71614903002113839</v>
      </c>
      <c r="F9" s="3"/>
      <c r="G9" s="5" t="s">
        <v>53</v>
      </c>
      <c r="H9" s="3" t="s">
        <v>54</v>
      </c>
      <c r="I9" s="3">
        <v>3.232853420284159</v>
      </c>
      <c r="J9" s="3">
        <v>1.0978102651598549</v>
      </c>
      <c r="K9" s="3">
        <v>1.8520528774791327</v>
      </c>
      <c r="L9" s="3">
        <v>1.2541789666505263</v>
      </c>
      <c r="M9" s="3">
        <v>8.6672454231103053</v>
      </c>
      <c r="N9" s="3">
        <v>5.2759267212923193</v>
      </c>
      <c r="O9" s="3"/>
      <c r="P9" s="3"/>
      <c r="Q9" s="3"/>
      <c r="R9" s="3"/>
      <c r="S9" s="3"/>
    </row>
    <row r="10" spans="1:19" x14ac:dyDescent="0.4">
      <c r="A10" s="5" t="s">
        <v>57</v>
      </c>
      <c r="B10" s="3" t="s">
        <v>58</v>
      </c>
      <c r="C10" s="3">
        <v>-2.7488629232872293</v>
      </c>
      <c r="D10" s="3">
        <v>-1.8088349547071525</v>
      </c>
      <c r="E10" s="3">
        <v>-0.697660723443154</v>
      </c>
      <c r="F10" s="3"/>
      <c r="G10" s="5" t="s">
        <v>57</v>
      </c>
      <c r="H10" s="3" t="s">
        <v>58</v>
      </c>
      <c r="I10" s="3">
        <v>1.3716639386589691</v>
      </c>
      <c r="J10" s="3">
        <v>0.2040598331493102</v>
      </c>
      <c r="K10" s="3">
        <v>4.1503961773991014</v>
      </c>
      <c r="L10" s="3">
        <v>1.1846115858064561</v>
      </c>
      <c r="M10" s="3">
        <v>4.7846823595854175</v>
      </c>
      <c r="N10" s="3">
        <v>2.9500970754062563</v>
      </c>
      <c r="O10" s="3"/>
      <c r="P10" s="3"/>
      <c r="Q10" s="3"/>
      <c r="R10" s="3"/>
      <c r="S10" s="3"/>
    </row>
    <row r="11" spans="1:19" x14ac:dyDescent="0.4">
      <c r="A11" s="5" t="s">
        <v>60</v>
      </c>
      <c r="B11" s="3" t="s">
        <v>61</v>
      </c>
      <c r="C11" s="3">
        <v>-2.0641272878935815</v>
      </c>
      <c r="D11" s="3">
        <v>-0.88347845461851071</v>
      </c>
      <c r="E11" s="3">
        <v>-0.23854017571823946</v>
      </c>
      <c r="F11" s="3"/>
      <c r="G11" s="5" t="s">
        <v>60</v>
      </c>
      <c r="H11" s="3" t="s">
        <v>61</v>
      </c>
      <c r="I11" s="3">
        <v>10.054075607335223</v>
      </c>
      <c r="J11" s="3">
        <v>2.404240553326539</v>
      </c>
      <c r="K11" s="3">
        <v>11.500516390134045</v>
      </c>
      <c r="L11" s="3">
        <v>6.2339573384001392</v>
      </c>
      <c r="M11" s="3">
        <v>3.3912450707662196</v>
      </c>
      <c r="N11" s="3">
        <v>2.8744279519745475</v>
      </c>
      <c r="O11" s="3"/>
      <c r="P11" s="3"/>
      <c r="Q11" s="3"/>
      <c r="R11" s="3"/>
      <c r="S11" s="3"/>
    </row>
    <row r="12" spans="1:19" x14ac:dyDescent="0.4">
      <c r="A12" s="5" t="s">
        <v>62</v>
      </c>
      <c r="B12" s="3" t="s">
        <v>63</v>
      </c>
      <c r="C12" s="3">
        <v>-1.7773380918977071</v>
      </c>
      <c r="D12" s="3">
        <v>-1.5227745033273674</v>
      </c>
      <c r="E12" s="3">
        <v>-0.26956707133886404</v>
      </c>
      <c r="F12" s="3"/>
      <c r="G12" s="5" t="s">
        <v>62</v>
      </c>
      <c r="H12" s="3" t="s">
        <v>63</v>
      </c>
      <c r="I12" s="3">
        <v>12.98169755875989</v>
      </c>
      <c r="J12" s="3">
        <v>3.7870357841055444</v>
      </c>
      <c r="K12" s="3">
        <v>15.934042249095778</v>
      </c>
      <c r="L12" s="3">
        <v>5.5453014790233901</v>
      </c>
      <c r="M12" s="3">
        <v>8.371746565026926E-2</v>
      </c>
      <c r="N12" s="3">
        <v>6.9449368057392866E-2</v>
      </c>
      <c r="O12" s="3"/>
      <c r="P12" s="3"/>
      <c r="Q12" s="3"/>
      <c r="R12" s="3"/>
      <c r="S12" s="3"/>
    </row>
    <row r="13" spans="1:19" x14ac:dyDescent="0.4">
      <c r="A13" s="5" t="s">
        <v>64</v>
      </c>
      <c r="B13" s="3" t="s">
        <v>65</v>
      </c>
      <c r="C13" s="3">
        <v>-1.6862509459875512</v>
      </c>
      <c r="D13" s="3">
        <v>-1.4162533262613433</v>
      </c>
      <c r="E13" s="3">
        <v>-0.73523064368767577</v>
      </c>
      <c r="F13" s="3"/>
      <c r="G13" s="5" t="s">
        <v>64</v>
      </c>
      <c r="H13" s="3" t="s">
        <v>65</v>
      </c>
      <c r="I13" s="3">
        <v>4.1513649822478813</v>
      </c>
      <c r="J13" s="3">
        <v>1.2899676010851764</v>
      </c>
      <c r="K13" s="3">
        <v>3.9577822089450398</v>
      </c>
      <c r="L13" s="3">
        <v>1.482918076778341</v>
      </c>
      <c r="M13" s="3">
        <v>0.48054072602207731</v>
      </c>
      <c r="N13" s="3">
        <v>0.28867137623855765</v>
      </c>
      <c r="O13" s="3"/>
      <c r="P13" s="3"/>
      <c r="Q13" s="3"/>
      <c r="R13" s="3"/>
      <c r="S13" s="3"/>
    </row>
    <row r="14" spans="1:19" x14ac:dyDescent="0.4">
      <c r="A14" s="5" t="s">
        <v>66</v>
      </c>
      <c r="B14" s="3" t="s">
        <v>67</v>
      </c>
      <c r="C14" s="3">
        <v>-0.92305109652206507</v>
      </c>
      <c r="D14" s="3">
        <v>-1.1200041256283484</v>
      </c>
      <c r="E14" s="3">
        <v>-0.29410925560165502</v>
      </c>
      <c r="F14" s="3"/>
      <c r="G14" s="5" t="s">
        <v>66</v>
      </c>
      <c r="H14" s="3" t="s">
        <v>67</v>
      </c>
      <c r="I14" s="3">
        <v>11.958721651194391</v>
      </c>
      <c r="J14" s="3">
        <v>6.3069398612104886</v>
      </c>
      <c r="K14" s="3">
        <v>10.785023737143728</v>
      </c>
      <c r="L14" s="3">
        <v>4.9621086373060255</v>
      </c>
      <c r="M14" s="3">
        <v>8.4339280159628132</v>
      </c>
      <c r="N14" s="3">
        <v>6.8785069754235213</v>
      </c>
      <c r="O14" s="3"/>
      <c r="P14" s="3"/>
      <c r="Q14" s="3"/>
      <c r="R14" s="3"/>
      <c r="S14" s="3"/>
    </row>
    <row r="15" spans="1:19" x14ac:dyDescent="0.4">
      <c r="A15" s="5" t="s">
        <v>68</v>
      </c>
      <c r="B15" s="3" t="s">
        <v>69</v>
      </c>
      <c r="C15" s="3">
        <v>-0.83536059671435947</v>
      </c>
      <c r="D15" s="3">
        <v>-1.1674557305299749</v>
      </c>
      <c r="E15" s="3">
        <v>-0.44349988901908916</v>
      </c>
      <c r="F15" s="3"/>
      <c r="G15" s="5" t="s">
        <v>68</v>
      </c>
      <c r="H15" s="3" t="s">
        <v>69</v>
      </c>
      <c r="I15" s="3">
        <v>14.491400222956948</v>
      </c>
      <c r="J15" s="3">
        <v>8.1216029558323601</v>
      </c>
      <c r="K15" s="3">
        <v>15.080369515633331</v>
      </c>
      <c r="L15" s="3">
        <v>6.7138678655206583</v>
      </c>
      <c r="M15" s="3">
        <v>13.641638646709202</v>
      </c>
      <c r="N15" s="3">
        <v>10.031358966111837</v>
      </c>
      <c r="O15" s="3"/>
      <c r="P15" s="3"/>
      <c r="Q15" s="3"/>
      <c r="R15" s="3"/>
      <c r="S15" s="3"/>
    </row>
    <row r="16" spans="1:19" x14ac:dyDescent="0.4">
      <c r="A16" s="5" t="s">
        <v>70</v>
      </c>
      <c r="B16" s="3" t="s">
        <v>71</v>
      </c>
      <c r="C16" s="3">
        <v>-0.88655569017259572</v>
      </c>
      <c r="D16" s="3">
        <v>-0.9999239728171031</v>
      </c>
      <c r="E16" s="3">
        <v>-0.81037880178553567</v>
      </c>
      <c r="F16" s="3"/>
      <c r="G16" s="5" t="s">
        <v>70</v>
      </c>
      <c r="H16" s="3" t="s">
        <v>71</v>
      </c>
      <c r="I16" s="3">
        <v>17.009990795157716</v>
      </c>
      <c r="J16" s="3">
        <v>9.2007710305528985</v>
      </c>
      <c r="K16" s="3">
        <v>22.023702196537467</v>
      </c>
      <c r="L16" s="3">
        <v>11.012431416391093</v>
      </c>
      <c r="M16" s="3">
        <v>19.046838716019472</v>
      </c>
      <c r="N16" s="3">
        <v>10.861119126222498</v>
      </c>
      <c r="O16" s="3"/>
      <c r="P16" s="3"/>
      <c r="Q16" s="3"/>
      <c r="R16" s="3"/>
      <c r="S16" s="3"/>
    </row>
    <row r="17" spans="1:19" x14ac:dyDescent="0.4">
      <c r="A17" s="5" t="s">
        <v>72</v>
      </c>
      <c r="B17" s="3" t="s">
        <v>73</v>
      </c>
      <c r="C17" s="3">
        <v>-0.69708927356317874</v>
      </c>
      <c r="D17" s="3">
        <v>-1.2686531533353895</v>
      </c>
      <c r="E17" s="3">
        <v>-0.41252502518090661</v>
      </c>
      <c r="F17" s="3"/>
      <c r="G17" s="5" t="s">
        <v>72</v>
      </c>
      <c r="H17" s="3" t="s">
        <v>73</v>
      </c>
      <c r="I17" s="3">
        <v>4.9996574234733435</v>
      </c>
      <c r="J17" s="3">
        <v>3.0838657703147168</v>
      </c>
      <c r="K17" s="3">
        <v>9.1782967344339017</v>
      </c>
      <c r="L17" s="3">
        <v>3.8094251182797159</v>
      </c>
      <c r="M17" s="3">
        <v>2.0177424469961953</v>
      </c>
      <c r="N17" s="3">
        <v>1.5159445769631821</v>
      </c>
      <c r="O17" s="3"/>
      <c r="P17" s="3"/>
      <c r="Q17" s="3"/>
      <c r="R17" s="3"/>
      <c r="S17" s="3"/>
    </row>
    <row r="18" spans="1:19" x14ac:dyDescent="0.4">
      <c r="A18" s="5" t="s">
        <v>74</v>
      </c>
      <c r="B18" s="3" t="s">
        <v>75</v>
      </c>
      <c r="C18" s="3">
        <v>-0.59063992038093949</v>
      </c>
      <c r="D18" s="3">
        <v>-1.107587940866813</v>
      </c>
      <c r="E18" s="3">
        <v>-0.45181882245661165</v>
      </c>
      <c r="F18" s="3"/>
      <c r="G18" s="5" t="s">
        <v>74</v>
      </c>
      <c r="H18" s="3" t="s">
        <v>75</v>
      </c>
      <c r="I18" s="3">
        <v>13.86344861842047</v>
      </c>
      <c r="J18" s="3">
        <v>9.2059994471454889</v>
      </c>
      <c r="K18" s="3">
        <v>14.455186374512413</v>
      </c>
      <c r="L18" s="3">
        <v>6.708207725954491</v>
      </c>
      <c r="M18" s="3">
        <v>9.3725313937676429</v>
      </c>
      <c r="N18" s="3">
        <v>6.8524501624939624</v>
      </c>
      <c r="O18" s="3"/>
      <c r="P18" s="3"/>
      <c r="Q18" s="3"/>
      <c r="R18" s="3"/>
      <c r="S18" s="3"/>
    </row>
    <row r="19" spans="1:19" x14ac:dyDescent="0.4">
      <c r="A19" s="5" t="s">
        <v>76</v>
      </c>
      <c r="B19" s="3" t="s">
        <v>77</v>
      </c>
      <c r="C19" s="3">
        <v>-0.5264705019507816</v>
      </c>
      <c r="D19" s="3">
        <v>0.91699008185385322</v>
      </c>
      <c r="E19" s="3">
        <v>-1.9655608844487642</v>
      </c>
      <c r="F19" s="3"/>
      <c r="G19" s="5" t="s">
        <v>76</v>
      </c>
      <c r="H19" s="3" t="s">
        <v>77</v>
      </c>
      <c r="I19" s="3">
        <v>0.1435510365078905</v>
      </c>
      <c r="J19" s="3">
        <v>9.9660467421267621E-2</v>
      </c>
      <c r="K19" s="3">
        <v>0.10606424612553716</v>
      </c>
      <c r="L19" s="3">
        <v>0.20026752462911074</v>
      </c>
      <c r="M19" s="3">
        <v>7.6734922350571928</v>
      </c>
      <c r="N19" s="3">
        <v>1.9647182237207552</v>
      </c>
      <c r="O19" s="3"/>
      <c r="P19" s="3"/>
      <c r="Q19" s="3"/>
      <c r="R19" s="3"/>
      <c r="S19" s="3"/>
    </row>
    <row r="20" spans="1:19" x14ac:dyDescent="0.4">
      <c r="A20" s="5" t="s">
        <v>79</v>
      </c>
      <c r="B20" s="3" t="s">
        <v>80</v>
      </c>
      <c r="C20" s="3">
        <v>-0.52647050195078215</v>
      </c>
      <c r="D20" s="3">
        <v>-2.0557025721504112</v>
      </c>
      <c r="E20" s="3">
        <v>-1.076921993396468</v>
      </c>
      <c r="F20" s="3"/>
      <c r="G20" s="5" t="s">
        <v>79</v>
      </c>
      <c r="H20" s="3" t="s">
        <v>80</v>
      </c>
      <c r="I20" s="3">
        <v>2.4153350394562292</v>
      </c>
      <c r="J20" s="3">
        <v>1.676849048721027</v>
      </c>
      <c r="K20" s="3">
        <v>2.1225883672290062</v>
      </c>
      <c r="L20" s="3">
        <v>0.51054925098307569</v>
      </c>
      <c r="M20" s="3">
        <v>0.25358552027971765</v>
      </c>
      <c r="N20" s="3">
        <v>0.12020945515208584</v>
      </c>
      <c r="O20" s="3"/>
      <c r="P20" s="3"/>
      <c r="Q20" s="3"/>
      <c r="R20" s="3"/>
      <c r="S20" s="3"/>
    </row>
    <row r="21" spans="1:19" x14ac:dyDescent="0.4">
      <c r="A21" s="5" t="s">
        <v>81</v>
      </c>
      <c r="B21" s="3" t="s">
        <v>82</v>
      </c>
      <c r="C21" s="3">
        <v>-0.3255348718789533</v>
      </c>
      <c r="D21" s="3">
        <v>-1.3503877066233063</v>
      </c>
      <c r="E21" s="3">
        <v>-0.90505134763918615</v>
      </c>
      <c r="F21" s="3"/>
      <c r="G21" s="5" t="s">
        <v>81</v>
      </c>
      <c r="H21" s="3" t="s">
        <v>82</v>
      </c>
      <c r="I21" s="3">
        <v>20.985804447183696</v>
      </c>
      <c r="J21" s="3">
        <v>16.746723912440984</v>
      </c>
      <c r="K21" s="3">
        <v>38.542114617165701</v>
      </c>
      <c r="L21" s="3">
        <v>15.115702408196691</v>
      </c>
      <c r="M21" s="3">
        <v>8.1576467461019</v>
      </c>
      <c r="N21" s="3">
        <v>4.3562951005813915</v>
      </c>
      <c r="O21" s="3"/>
      <c r="P21" s="3"/>
      <c r="Q21" s="3"/>
      <c r="R21" s="3"/>
      <c r="S21" s="3"/>
    </row>
    <row r="22" spans="1:19" x14ac:dyDescent="0.4">
      <c r="A22" s="5" t="s">
        <v>84</v>
      </c>
      <c r="B22" s="3" t="s">
        <v>85</v>
      </c>
      <c r="C22" s="3">
        <v>-1.0239701614215986</v>
      </c>
      <c r="D22" s="3">
        <v>-2.0386157987876929</v>
      </c>
      <c r="E22" s="3">
        <v>-1.8545295720600199</v>
      </c>
      <c r="F22" s="3"/>
      <c r="G22" s="5" t="s">
        <v>84</v>
      </c>
      <c r="H22" s="3" t="s">
        <v>85</v>
      </c>
      <c r="I22" s="3">
        <v>2.3998355632672048</v>
      </c>
      <c r="J22" s="3">
        <v>1.180146035046844</v>
      </c>
      <c r="K22" s="3">
        <v>3.1522571240656374</v>
      </c>
      <c r="L22" s="3">
        <v>0.76725041114647785</v>
      </c>
      <c r="M22" s="3">
        <v>0.19796718347887202</v>
      </c>
      <c r="N22" s="3">
        <v>5.4742443057003792E-2</v>
      </c>
      <c r="O22" s="3"/>
      <c r="P22" s="3"/>
      <c r="Q22" s="3"/>
      <c r="R22" s="3"/>
      <c r="S22" s="3"/>
    </row>
    <row r="23" spans="1:19" x14ac:dyDescent="0.4">
      <c r="A23" s="5" t="s">
        <v>43</v>
      </c>
      <c r="B23" s="3" t="s">
        <v>87</v>
      </c>
      <c r="C23" s="15">
        <v>-0.67847359539583174</v>
      </c>
      <c r="D23" s="15">
        <v>-4.3118286086420277</v>
      </c>
      <c r="E23" s="15" t="s">
        <v>120</v>
      </c>
      <c r="F23" s="3"/>
      <c r="G23" s="5" t="s">
        <v>43</v>
      </c>
      <c r="H23" s="3" t="s">
        <v>87</v>
      </c>
      <c r="I23" s="3">
        <v>1.2077325214784631</v>
      </c>
      <c r="J23" s="3">
        <v>0.75462268670846155</v>
      </c>
      <c r="K23" s="3">
        <v>3.3462987065805572</v>
      </c>
      <c r="L23" s="3">
        <v>0.16849032119476989</v>
      </c>
      <c r="M23" s="3">
        <v>0</v>
      </c>
      <c r="N23" s="3">
        <v>0</v>
      </c>
      <c r="O23" s="3"/>
      <c r="P23" s="3"/>
      <c r="Q23" s="3"/>
      <c r="R23" s="3"/>
      <c r="S23" s="3"/>
    </row>
    <row r="24" spans="1:19" x14ac:dyDescent="0.4">
      <c r="A24" s="5" t="s">
        <v>88</v>
      </c>
      <c r="B24" s="3" t="s">
        <v>89</v>
      </c>
      <c r="C24" s="15">
        <v>-0.53568903198016071</v>
      </c>
      <c r="D24" s="15">
        <v>-1.5684367453163888</v>
      </c>
      <c r="E24" s="15">
        <v>-3.269567071338864</v>
      </c>
      <c r="F24" s="3"/>
      <c r="G24" s="5" t="s">
        <v>88</v>
      </c>
      <c r="H24" s="3" t="s">
        <v>89</v>
      </c>
      <c r="I24" s="3">
        <v>4.3413048111428569</v>
      </c>
      <c r="J24" s="3">
        <v>2.9947585435918285</v>
      </c>
      <c r="K24" s="3">
        <v>3.4323580519258821</v>
      </c>
      <c r="L24" s="3">
        <v>1.1573003354939664</v>
      </c>
      <c r="M24" s="3">
        <v>0.21897956041583239</v>
      </c>
      <c r="N24" s="3">
        <v>2.2707316762156919E-2</v>
      </c>
      <c r="O24" s="3"/>
      <c r="P24" s="3"/>
      <c r="Q24" s="3"/>
      <c r="R24" s="3"/>
      <c r="S24" s="3"/>
    </row>
    <row r="25" spans="1:19" x14ac:dyDescent="0.4">
      <c r="A25" s="6" t="s">
        <v>130</v>
      </c>
      <c r="B25" s="3" t="s">
        <v>90</v>
      </c>
      <c r="C25" s="15">
        <v>-0.17985552821194919</v>
      </c>
      <c r="D25" s="15">
        <v>-1.4696437024213247</v>
      </c>
      <c r="E25" s="15">
        <v>-2.5914951662262262</v>
      </c>
      <c r="F25" s="3"/>
      <c r="G25" s="6" t="s">
        <v>130</v>
      </c>
      <c r="H25" s="3" t="s">
        <v>90</v>
      </c>
      <c r="I25" s="3">
        <v>10.819937131639564</v>
      </c>
      <c r="J25" s="3">
        <v>9.5517473918977203</v>
      </c>
      <c r="K25" s="3">
        <v>11.565543542582299</v>
      </c>
      <c r="L25" s="3">
        <v>4.1759876982065594</v>
      </c>
      <c r="M25" s="3">
        <v>1.3592254116077642</v>
      </c>
      <c r="N25" s="3">
        <v>0.22551410306197042</v>
      </c>
      <c r="O25" s="3"/>
      <c r="P25" s="3"/>
      <c r="Q25" s="3"/>
      <c r="R25" s="3"/>
      <c r="S25" s="3"/>
    </row>
    <row r="26" spans="1:19" x14ac:dyDescent="0.4">
      <c r="A26" s="5" t="s">
        <v>92</v>
      </c>
      <c r="B26" s="3" t="s">
        <v>93</v>
      </c>
      <c r="C26" s="15">
        <v>-8.1438262374100526E-2</v>
      </c>
      <c r="D26" s="15">
        <v>-1.291823932982054</v>
      </c>
      <c r="E26" s="15">
        <v>0.43087264680222853</v>
      </c>
      <c r="F26" s="3"/>
      <c r="G26" s="5" t="s">
        <v>92</v>
      </c>
      <c r="H26" s="3" t="s">
        <v>93</v>
      </c>
      <c r="I26" s="3">
        <v>1.2880365447547373</v>
      </c>
      <c r="J26" s="3">
        <v>1.217342614948034</v>
      </c>
      <c r="K26" s="3">
        <v>3.382861893976242</v>
      </c>
      <c r="L26" s="3">
        <v>1.3816769581642745</v>
      </c>
      <c r="M26" s="3">
        <v>8.5716450025872623E-2</v>
      </c>
      <c r="N26" s="3">
        <v>0.11554995143837477</v>
      </c>
      <c r="O26" s="3"/>
      <c r="P26" s="3"/>
      <c r="Q26" s="3"/>
      <c r="R26" s="3"/>
      <c r="S26" s="3"/>
    </row>
    <row r="27" spans="1:19" x14ac:dyDescent="0.4">
      <c r="A27" s="5" t="s">
        <v>94</v>
      </c>
      <c r="B27" s="3" t="s">
        <v>95</v>
      </c>
      <c r="C27" s="15">
        <v>-6.8420113711845143E-2</v>
      </c>
      <c r="D27" s="15">
        <v>-1.4293910567580481</v>
      </c>
      <c r="E27" s="15">
        <v>-0.52275369121631066</v>
      </c>
      <c r="F27" s="3"/>
      <c r="G27" s="5" t="s">
        <v>94</v>
      </c>
      <c r="H27" s="3" t="s">
        <v>95</v>
      </c>
      <c r="I27" s="3">
        <v>8.6752046617345684</v>
      </c>
      <c r="J27" s="3">
        <v>8.2733847743010021</v>
      </c>
      <c r="K27" s="3">
        <v>8.0290795754240332</v>
      </c>
      <c r="L27" s="3">
        <v>2.9810974878916698</v>
      </c>
      <c r="M27" s="3">
        <v>5.2791248927699197</v>
      </c>
      <c r="N27" s="3">
        <v>3.67449275314135</v>
      </c>
      <c r="O27" s="3"/>
      <c r="P27" s="3"/>
      <c r="Q27" s="3"/>
      <c r="R27" s="3"/>
      <c r="S27" s="3"/>
    </row>
    <row r="28" spans="1:19" x14ac:dyDescent="0.4">
      <c r="A28" s="5" t="s">
        <v>49</v>
      </c>
      <c r="B28" s="3" t="s">
        <v>97</v>
      </c>
      <c r="C28" s="15">
        <v>-3.1114330026719377</v>
      </c>
      <c r="D28" s="15">
        <v>-4.7268661079208716</v>
      </c>
      <c r="E28" s="15" t="s">
        <v>120</v>
      </c>
      <c r="F28" s="3"/>
      <c r="G28" s="5" t="s">
        <v>49</v>
      </c>
      <c r="H28" s="3" t="s">
        <v>97</v>
      </c>
      <c r="I28" s="3">
        <v>0.84735262895754249</v>
      </c>
      <c r="J28" s="3">
        <v>9.8045918170604596E-2</v>
      </c>
      <c r="K28" s="3">
        <v>1.7390992077954894</v>
      </c>
      <c r="L28" s="3">
        <v>6.5674363633796334E-2</v>
      </c>
      <c r="M28" s="3">
        <v>0</v>
      </c>
      <c r="N28" s="3">
        <v>0</v>
      </c>
      <c r="O28" s="3"/>
      <c r="P28" s="3"/>
      <c r="Q28" s="3"/>
      <c r="R28" s="3"/>
      <c r="S28" s="3"/>
    </row>
    <row r="29" spans="1:19" x14ac:dyDescent="0.4">
      <c r="A29" s="5" t="s">
        <v>52</v>
      </c>
      <c r="B29" s="3" t="s">
        <v>99</v>
      </c>
      <c r="C29" s="15">
        <v>-1.6395090487247732</v>
      </c>
      <c r="D29" s="15" t="s">
        <v>120</v>
      </c>
      <c r="E29" s="15">
        <v>2.800822256552534</v>
      </c>
      <c r="F29" s="3"/>
      <c r="G29" s="5" t="s">
        <v>121</v>
      </c>
      <c r="H29" s="3" t="s">
        <v>99</v>
      </c>
      <c r="I29" s="3">
        <v>413.95665441663118</v>
      </c>
      <c r="J29" s="3">
        <v>132.8658794513413</v>
      </c>
      <c r="K29" s="3">
        <v>0</v>
      </c>
      <c r="L29" s="3">
        <v>0.53292163389132274</v>
      </c>
      <c r="M29" s="3">
        <v>0.6302326065806787</v>
      </c>
      <c r="N29" s="3">
        <v>4.3916971171573831</v>
      </c>
      <c r="O29" s="3"/>
      <c r="P29" s="3"/>
      <c r="Q29" s="3"/>
      <c r="R29" s="3"/>
      <c r="S29" s="3"/>
    </row>
    <row r="30" spans="1:19" x14ac:dyDescent="0.4">
      <c r="A30" s="5" t="s">
        <v>56</v>
      </c>
      <c r="B30" s="3" t="s">
        <v>100</v>
      </c>
      <c r="C30" s="15">
        <v>-1.7828102552105674</v>
      </c>
      <c r="D30" s="15">
        <v>-2.2529349195884594</v>
      </c>
      <c r="E30" s="15" t="s">
        <v>120</v>
      </c>
      <c r="F30" s="3"/>
      <c r="G30" s="5" t="s">
        <v>122</v>
      </c>
      <c r="H30" s="3" t="s">
        <v>100</v>
      </c>
      <c r="I30" s="3">
        <v>2.9987688833304733</v>
      </c>
      <c r="J30" s="3">
        <v>0.8714924566499771</v>
      </c>
      <c r="K30" s="3">
        <v>5.5649462305620299</v>
      </c>
      <c r="L30" s="3">
        <v>1.1675083179403747</v>
      </c>
      <c r="M30" s="3">
        <v>0</v>
      </c>
      <c r="N30" s="3">
        <v>0</v>
      </c>
      <c r="O30" s="3"/>
      <c r="P30" s="3"/>
      <c r="Q30" s="3"/>
      <c r="R30" s="3"/>
      <c r="S30" s="3"/>
    </row>
    <row r="31" spans="1:19" x14ac:dyDescent="0.4">
      <c r="A31" s="5" t="s">
        <v>98</v>
      </c>
      <c r="B31" s="3" t="s">
        <v>101</v>
      </c>
      <c r="C31" s="15">
        <v>-1.045844661044361</v>
      </c>
      <c r="D31" s="15">
        <v>-1.6762400348509034</v>
      </c>
      <c r="E31" s="15" t="s">
        <v>120</v>
      </c>
      <c r="F31" s="3"/>
      <c r="G31" s="5" t="s">
        <v>98</v>
      </c>
      <c r="H31" s="3" t="s">
        <v>101</v>
      </c>
      <c r="I31" s="3">
        <v>7.3647346630912125</v>
      </c>
      <c r="J31" s="3">
        <v>3.5671920454816446</v>
      </c>
      <c r="K31" s="3">
        <v>7.3818993577576126</v>
      </c>
      <c r="L31" s="3">
        <v>2.3097745374869922</v>
      </c>
      <c r="M31" s="3">
        <v>5.6514561194640205E-2</v>
      </c>
      <c r="N31" s="3">
        <v>0</v>
      </c>
      <c r="O31" s="3"/>
      <c r="P31" s="3"/>
      <c r="Q31" s="3"/>
      <c r="R31" s="3"/>
      <c r="S31" s="3"/>
    </row>
    <row r="32" spans="1:19" x14ac:dyDescent="0.4">
      <c r="A32" s="5" t="s">
        <v>83</v>
      </c>
      <c r="B32" s="3" t="s">
        <v>102</v>
      </c>
      <c r="C32" s="15">
        <v>-0.71491559136389216</v>
      </c>
      <c r="D32" s="15">
        <v>-0.81843991340112787</v>
      </c>
      <c r="E32" s="15">
        <v>-1.1277059883144276</v>
      </c>
      <c r="F32" s="3"/>
      <c r="G32" s="5" t="s">
        <v>83</v>
      </c>
      <c r="H32" s="3" t="s">
        <v>102</v>
      </c>
      <c r="I32" s="3">
        <v>15.330237915656303</v>
      </c>
      <c r="J32" s="3">
        <v>9.3398060442357593</v>
      </c>
      <c r="K32" s="3">
        <v>24.117849152348434</v>
      </c>
      <c r="L32" s="3">
        <v>13.676142297959526</v>
      </c>
      <c r="M32" s="3">
        <v>58.946854295380696</v>
      </c>
      <c r="N32" s="3">
        <v>26.976605757998957</v>
      </c>
      <c r="O32" s="3"/>
      <c r="P32" s="3"/>
      <c r="Q32" s="3"/>
      <c r="R32" s="3"/>
      <c r="S32" s="3"/>
    </row>
    <row r="33" spans="1:19" x14ac:dyDescent="0.4">
      <c r="A33" s="5" t="s">
        <v>78</v>
      </c>
      <c r="B33" s="3" t="s">
        <v>123</v>
      </c>
      <c r="C33" s="15">
        <v>-0.35654550050846917</v>
      </c>
      <c r="D33" s="15">
        <v>-0.50681762705272304</v>
      </c>
      <c r="E33" s="15">
        <v>-1.8213627081248205</v>
      </c>
      <c r="F33" s="3"/>
      <c r="G33" s="5" t="s">
        <v>78</v>
      </c>
      <c r="H33" s="3" t="s">
        <v>123</v>
      </c>
      <c r="I33" s="3">
        <v>1.0504330748307631</v>
      </c>
      <c r="J33" s="3">
        <v>0.82042237730529266</v>
      </c>
      <c r="K33" s="3">
        <v>1.6418005854508531</v>
      </c>
      <c r="L33" s="3">
        <v>1.1554551646283044</v>
      </c>
      <c r="M33" s="3">
        <v>2.5795723907853016</v>
      </c>
      <c r="N33" s="3">
        <v>0.72989924076005064</v>
      </c>
      <c r="O33" s="3"/>
      <c r="P33" s="3"/>
      <c r="Q33" s="3"/>
      <c r="R33" s="3"/>
      <c r="S33" s="3"/>
    </row>
    <row r="34" spans="1:19" x14ac:dyDescent="0.4">
      <c r="A34" s="5" t="s">
        <v>46</v>
      </c>
      <c r="B34" s="3" t="s">
        <v>104</v>
      </c>
      <c r="C34" s="15">
        <v>-2.0289708424799651</v>
      </c>
      <c r="D34" s="15">
        <v>-5.013747255709033</v>
      </c>
      <c r="E34" s="15" t="s">
        <v>120</v>
      </c>
      <c r="F34" s="3"/>
      <c r="G34" s="5" t="s">
        <v>46</v>
      </c>
      <c r="H34" s="3" t="s">
        <v>104</v>
      </c>
      <c r="I34" s="3">
        <v>1.5726813555197781</v>
      </c>
      <c r="J34" s="3">
        <v>0.38535380736223473</v>
      </c>
      <c r="K34" s="3">
        <v>4.1695033643572277</v>
      </c>
      <c r="L34" s="3">
        <v>0.12906129364987132</v>
      </c>
      <c r="M34" s="3">
        <v>0</v>
      </c>
      <c r="N34" s="3">
        <v>0</v>
      </c>
      <c r="O34" s="3"/>
      <c r="P34" s="3"/>
      <c r="Q34" s="3"/>
      <c r="R34" s="3"/>
      <c r="S34" s="3"/>
    </row>
    <row r="35" spans="1:19" x14ac:dyDescent="0.4">
      <c r="A35" s="5" t="s">
        <v>96</v>
      </c>
      <c r="B35" s="3" t="s">
        <v>105</v>
      </c>
      <c r="C35" s="15">
        <v>-0.94713255042350397</v>
      </c>
      <c r="D35" s="15">
        <v>-1.4664575870315668</v>
      </c>
      <c r="E35" s="15">
        <v>0.12636160499227536</v>
      </c>
      <c r="F35" s="3"/>
      <c r="G35" s="5" t="s">
        <v>96</v>
      </c>
      <c r="H35" s="3" t="s">
        <v>105</v>
      </c>
      <c r="I35" s="3">
        <v>1.5726813555197781</v>
      </c>
      <c r="J35" s="3">
        <v>0.38535380736223473</v>
      </c>
      <c r="K35" s="3">
        <v>4.1695033643572277</v>
      </c>
      <c r="L35" s="3">
        <v>0.12906129364987132</v>
      </c>
      <c r="M35" s="3">
        <v>0</v>
      </c>
      <c r="N35" s="3">
        <v>0</v>
      </c>
      <c r="O35" s="3"/>
      <c r="P35" s="3"/>
      <c r="Q35" s="3"/>
      <c r="R35" s="3"/>
      <c r="S35" s="3"/>
    </row>
    <row r="36" spans="1:19" x14ac:dyDescent="0.4">
      <c r="A36" s="5" t="s">
        <v>107</v>
      </c>
      <c r="B36" s="3" t="s">
        <v>108</v>
      </c>
      <c r="C36" s="15">
        <v>-0.94150800122962541</v>
      </c>
      <c r="D36" s="15">
        <v>-2.5296930440414558</v>
      </c>
      <c r="E36" s="15">
        <v>0.36786284927642832</v>
      </c>
      <c r="F36" s="3"/>
      <c r="G36" s="5" t="s">
        <v>55</v>
      </c>
      <c r="H36" s="3" t="s">
        <v>108</v>
      </c>
      <c r="I36" s="3">
        <v>3.7747596149759297</v>
      </c>
      <c r="J36" s="3">
        <v>1.9654733089165848</v>
      </c>
      <c r="K36" s="3">
        <v>6.2019047097155156</v>
      </c>
      <c r="L36" s="3">
        <v>1.0740181065786409</v>
      </c>
      <c r="M36" s="3">
        <v>0.44249786811201486</v>
      </c>
      <c r="N36" s="3">
        <v>0.57101686402776797</v>
      </c>
      <c r="O36" s="3"/>
      <c r="P36" s="3"/>
      <c r="Q36" s="3"/>
      <c r="R36" s="3"/>
      <c r="S36" s="3"/>
    </row>
    <row r="37" spans="1:19" x14ac:dyDescent="0.4">
      <c r="A37" s="5" t="s">
        <v>59</v>
      </c>
      <c r="B37" s="3" t="s">
        <v>109</v>
      </c>
      <c r="C37" s="15">
        <v>-1.5722741915639065</v>
      </c>
      <c r="D37" s="15">
        <v>-2.6448888057542614</v>
      </c>
      <c r="E37" s="15" t="s">
        <v>120</v>
      </c>
      <c r="F37" s="3"/>
      <c r="G37" s="5" t="s">
        <v>124</v>
      </c>
      <c r="H37" s="3" t="s">
        <v>109</v>
      </c>
      <c r="I37" s="3">
        <v>8.703403642782396</v>
      </c>
      <c r="J37" s="3">
        <v>2.926762166916173</v>
      </c>
      <c r="K37" s="3">
        <v>8.3061975219129547</v>
      </c>
      <c r="L37" s="3">
        <v>1.3280407116571762</v>
      </c>
      <c r="M37" s="3">
        <v>0</v>
      </c>
      <c r="N37" s="3">
        <v>0</v>
      </c>
      <c r="O37" s="3"/>
      <c r="P37" s="3"/>
      <c r="Q37" s="3"/>
      <c r="R37" s="3"/>
      <c r="S37" s="3"/>
    </row>
    <row r="38" spans="1:19" x14ac:dyDescent="0.4">
      <c r="A38" s="5" t="s">
        <v>91</v>
      </c>
      <c r="B38" s="3" t="s">
        <v>110</v>
      </c>
      <c r="C38" s="15">
        <v>-1.402839152782404</v>
      </c>
      <c r="D38" s="15">
        <v>-1.2844173143532587</v>
      </c>
      <c r="E38" s="15">
        <v>-2.1440361892550048</v>
      </c>
      <c r="F38" s="3"/>
      <c r="G38" s="5" t="s">
        <v>91</v>
      </c>
      <c r="H38" s="3" t="s">
        <v>110</v>
      </c>
      <c r="I38" s="3">
        <v>2.6814268954452301</v>
      </c>
      <c r="J38" s="3">
        <v>1.0140731807999035</v>
      </c>
      <c r="K38" s="3">
        <v>6.6422385578507921</v>
      </c>
      <c r="L38" s="3">
        <v>2.7268819095730135</v>
      </c>
      <c r="M38" s="3">
        <v>0.76836578062575889</v>
      </c>
      <c r="N38" s="3">
        <v>0.17383963859945165</v>
      </c>
      <c r="O38" s="3"/>
      <c r="P38" s="3"/>
      <c r="Q38" s="3"/>
      <c r="R38" s="3"/>
      <c r="S38" s="3"/>
    </row>
    <row r="39" spans="1:19" x14ac:dyDescent="0.4">
      <c r="A39" s="5" t="s">
        <v>86</v>
      </c>
      <c r="B39" s="3" t="s">
        <v>111</v>
      </c>
      <c r="C39" s="15">
        <v>-1.0177807426264847</v>
      </c>
      <c r="D39" s="15">
        <v>-0.9483953163467489</v>
      </c>
      <c r="E39" s="15">
        <v>-1.1415793427091268</v>
      </c>
      <c r="F39" s="3"/>
      <c r="G39" s="5" t="s">
        <v>125</v>
      </c>
      <c r="H39" s="3" t="s">
        <v>111</v>
      </c>
      <c r="I39" s="3">
        <v>93.135825386714359</v>
      </c>
      <c r="J39" s="3">
        <v>45.997500751655153</v>
      </c>
      <c r="K39" s="3">
        <v>46.752653122074186</v>
      </c>
      <c r="L39" s="3">
        <v>24.227623904358527</v>
      </c>
      <c r="M39" s="3">
        <v>314.49080280571928</v>
      </c>
      <c r="N39" s="8">
        <v>142.54707970911812</v>
      </c>
      <c r="O39" s="1"/>
      <c r="P39" s="2"/>
      <c r="Q39" s="2"/>
      <c r="R39" s="2"/>
      <c r="S39" s="3"/>
    </row>
    <row r="40" spans="1:19" x14ac:dyDescent="0.4">
      <c r="A40" s="7" t="s">
        <v>106</v>
      </c>
      <c r="B40" s="3" t="s">
        <v>126</v>
      </c>
      <c r="C40" s="15" t="s">
        <v>120</v>
      </c>
      <c r="D40" s="15">
        <v>-2.4980474174249903</v>
      </c>
      <c r="E40" s="15" t="s">
        <v>120</v>
      </c>
      <c r="F40" s="3"/>
      <c r="G40" s="7" t="s">
        <v>127</v>
      </c>
      <c r="H40" s="3" t="s">
        <v>126</v>
      </c>
      <c r="I40" s="3">
        <v>0</v>
      </c>
      <c r="J40" s="3">
        <v>0</v>
      </c>
      <c r="K40" s="3">
        <v>5.2537618734427287</v>
      </c>
      <c r="L40" s="3">
        <v>0.93000049835936704</v>
      </c>
      <c r="M40" s="3">
        <v>0</v>
      </c>
      <c r="N40" s="3">
        <v>0</v>
      </c>
      <c r="O40" s="3"/>
      <c r="P40" s="3"/>
      <c r="Q40" s="3"/>
      <c r="R40" s="3"/>
      <c r="S40" s="3"/>
    </row>
    <row r="41" spans="1:19" x14ac:dyDescent="0.4">
      <c r="A41" s="7" t="s">
        <v>103</v>
      </c>
      <c r="B41" s="3" t="s">
        <v>128</v>
      </c>
      <c r="C41" s="15">
        <v>-0.77158299978731315</v>
      </c>
      <c r="D41" s="15">
        <v>-1.1984871355660827</v>
      </c>
      <c r="E41" s="15">
        <v>-0.48774724138839698</v>
      </c>
      <c r="F41" s="3"/>
      <c r="G41" s="7" t="s">
        <v>103</v>
      </c>
      <c r="H41" s="3" t="s">
        <v>128</v>
      </c>
      <c r="I41" s="3">
        <v>12.619724953285253</v>
      </c>
      <c r="J41" s="3">
        <v>7.3923115583407926</v>
      </c>
      <c r="K41" s="3">
        <v>17.677169300131251</v>
      </c>
      <c r="L41" s="3">
        <v>7.7025077524824139</v>
      </c>
      <c r="M41" s="3">
        <v>5.5629831065546727</v>
      </c>
      <c r="N41" s="3">
        <v>3.9671734712262685</v>
      </c>
      <c r="O41" s="3"/>
      <c r="P41" s="3"/>
      <c r="Q41" s="3"/>
      <c r="R41" s="3"/>
      <c r="S41" s="3"/>
    </row>
    <row r="42" spans="1:19" x14ac:dyDescent="0.4">
      <c r="A42" s="7" t="s">
        <v>112</v>
      </c>
      <c r="B42" s="3" t="s">
        <v>129</v>
      </c>
      <c r="C42" s="15">
        <v>-0.41733000902127876</v>
      </c>
      <c r="D42" s="15">
        <v>-1.1262168490759206</v>
      </c>
      <c r="E42" s="15">
        <v>-0.96822237980177273</v>
      </c>
      <c r="F42" s="3"/>
      <c r="G42" s="7" t="s">
        <v>132</v>
      </c>
      <c r="H42" s="3" t="s">
        <v>129</v>
      </c>
      <c r="I42" s="3">
        <v>7.8846402889285514</v>
      </c>
      <c r="J42" s="3">
        <v>5.9040908827038825</v>
      </c>
      <c r="K42" s="3">
        <v>10.861579660813645</v>
      </c>
      <c r="L42" s="3">
        <v>4.975857547378725</v>
      </c>
      <c r="M42" s="3">
        <v>10.066808298056502</v>
      </c>
      <c r="N42" s="3">
        <v>5.1455028091785389</v>
      </c>
      <c r="O42" s="3"/>
      <c r="P42" s="3"/>
      <c r="Q42" s="3"/>
      <c r="R42" s="3"/>
      <c r="S42" s="3"/>
    </row>
  </sheetData>
  <mergeCells count="2">
    <mergeCell ref="C3:E3"/>
    <mergeCell ref="I3:N3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3AF8F-CAC8-4020-8859-DD0F2D5BD8AF}">
  <dimension ref="A1:S41"/>
  <sheetViews>
    <sheetView zoomScaleNormal="100" workbookViewId="0"/>
  </sheetViews>
  <sheetFormatPr defaultRowHeight="15" x14ac:dyDescent="0.4"/>
  <cols>
    <col min="1" max="1" width="9" style="2"/>
    <col min="2" max="2" width="13.125" style="2" customWidth="1"/>
    <col min="3" max="3" width="23.375" style="2" customWidth="1"/>
    <col min="4" max="4" width="8.625" style="2" customWidth="1"/>
    <col min="5" max="9" width="9.125" style="2" bestFit="1" customWidth="1"/>
    <col min="10" max="10" width="8.5" style="2" customWidth="1"/>
    <col min="11" max="11" width="16.375" style="2" customWidth="1"/>
    <col min="12" max="12" width="13.75" style="2" customWidth="1"/>
    <col min="13" max="13" width="24.625" style="2" customWidth="1"/>
    <col min="14" max="18" width="9.125" style="2" bestFit="1" customWidth="1"/>
    <col min="19" max="19" width="10.75" style="2" bestFit="1" customWidth="1"/>
    <col min="20" max="16384" width="9" style="2"/>
  </cols>
  <sheetData>
    <row r="1" spans="1:19" x14ac:dyDescent="0.4">
      <c r="A1" s="29" t="s">
        <v>134</v>
      </c>
    </row>
    <row r="3" spans="1:19" ht="15" customHeight="1" x14ac:dyDescent="0.4">
      <c r="A3" s="11"/>
      <c r="B3" s="11" t="s">
        <v>15</v>
      </c>
      <c r="C3" s="11" t="s">
        <v>16</v>
      </c>
      <c r="D3" s="11">
        <v>1</v>
      </c>
      <c r="E3" s="11">
        <v>2</v>
      </c>
      <c r="F3" s="11">
        <v>3</v>
      </c>
      <c r="G3" s="11" t="s">
        <v>17</v>
      </c>
      <c r="H3" s="11" t="s">
        <v>13</v>
      </c>
      <c r="I3" s="11" t="s">
        <v>18</v>
      </c>
      <c r="K3" s="18" t="s">
        <v>37</v>
      </c>
      <c r="L3" s="11" t="s">
        <v>15</v>
      </c>
      <c r="M3" s="11" t="s">
        <v>16</v>
      </c>
      <c r="N3" s="11">
        <v>1</v>
      </c>
      <c r="O3" s="11">
        <v>2</v>
      </c>
      <c r="P3" s="11">
        <v>3</v>
      </c>
      <c r="Q3" s="11" t="s">
        <v>17</v>
      </c>
      <c r="R3" s="11" t="s">
        <v>13</v>
      </c>
      <c r="S3" s="11" t="s">
        <v>18</v>
      </c>
    </row>
    <row r="4" spans="1:19" ht="15" customHeight="1" x14ac:dyDescent="0.4">
      <c r="A4" s="28" t="s">
        <v>19</v>
      </c>
      <c r="B4" s="33" t="s">
        <v>14</v>
      </c>
      <c r="C4" s="28" t="s">
        <v>140</v>
      </c>
      <c r="D4" s="12">
        <f>0.105038727631686</f>
        <v>0.10503872763168599</v>
      </c>
      <c r="E4" s="12">
        <f>0.140223731142085</f>
        <v>0.140223731142085</v>
      </c>
      <c r="F4" s="12">
        <f>0.185413621618413</f>
        <v>0.18541362161841299</v>
      </c>
      <c r="G4" s="12">
        <f>AVERAGE(D4:F4)</f>
        <v>0.14355869346406133</v>
      </c>
      <c r="H4" s="12">
        <f>STDEV(D4:F4)</f>
        <v>4.0291095494056219E-2</v>
      </c>
      <c r="I4" s="12"/>
      <c r="K4" s="28" t="s">
        <v>19</v>
      </c>
      <c r="L4" s="33" t="s">
        <v>14</v>
      </c>
      <c r="M4" s="28" t="s">
        <v>140</v>
      </c>
      <c r="N4" s="12">
        <f>0.105038727631686/$G$4</f>
        <v>0.73167792975199741</v>
      </c>
      <c r="O4" s="12">
        <f>0.140223731142085/$G$4</f>
        <v>0.97676934610155663</v>
      </c>
      <c r="P4" s="12">
        <f>0.185413621618413/$G$4</f>
        <v>1.291552724146446</v>
      </c>
      <c r="Q4" s="12">
        <f>AVERAGE(N4:P4)</f>
        <v>1</v>
      </c>
      <c r="R4" s="12">
        <f>STDEV(N4:P4)</f>
        <v>0.28065939109527133</v>
      </c>
      <c r="S4" s="12"/>
    </row>
    <row r="5" spans="1:19" ht="15" customHeight="1" x14ac:dyDescent="0.4">
      <c r="A5" s="28" t="s">
        <v>23</v>
      </c>
      <c r="B5" s="33"/>
      <c r="C5" s="28" t="s">
        <v>141</v>
      </c>
      <c r="D5" s="12">
        <f>0.15790995771518</f>
        <v>0.15790995771517999</v>
      </c>
      <c r="E5" s="12">
        <f>0.192626619927434</f>
        <v>0.19262661992743399</v>
      </c>
      <c r="F5" s="12">
        <f>0.19186524157831</f>
        <v>0.19186524157831</v>
      </c>
      <c r="G5" s="12">
        <f t="shared" ref="G5" si="0">AVERAGE(D5:F5)</f>
        <v>0.18080060640697468</v>
      </c>
      <c r="H5" s="12">
        <f t="shared" ref="H5" si="1">STDEV(D5:F5)</f>
        <v>1.9827538233376314E-2</v>
      </c>
      <c r="I5" s="12"/>
      <c r="K5" s="28" t="s">
        <v>23</v>
      </c>
      <c r="L5" s="33"/>
      <c r="M5" s="28" t="s">
        <v>141</v>
      </c>
      <c r="N5" s="12">
        <f>0.15790995771518/$G$5</f>
        <v>0.87339285444503001</v>
      </c>
      <c r="O5" s="12">
        <f>0.192626619927434/$G$5</f>
        <v>1.0654091474330536</v>
      </c>
      <c r="P5" s="12">
        <f>0.19186524157831/$G$5</f>
        <v>1.0611979981219162</v>
      </c>
      <c r="Q5" s="12">
        <f t="shared" ref="Q5" si="2">AVERAGE(N5:P5)</f>
        <v>1</v>
      </c>
      <c r="R5" s="12">
        <f t="shared" ref="R5" si="3">STDEV(N5:P5)</f>
        <v>0.10966521975454742</v>
      </c>
      <c r="S5" s="12"/>
    </row>
    <row r="6" spans="1:19" ht="15" customHeight="1" x14ac:dyDescent="0.4">
      <c r="A6" s="28" t="s">
        <v>20</v>
      </c>
      <c r="B6" s="33"/>
      <c r="C6" s="28" t="s">
        <v>140</v>
      </c>
      <c r="D6" s="12">
        <f>0.601186242051774</f>
        <v>0.60118624205177396</v>
      </c>
      <c r="E6" s="12">
        <f>0.750961772739209</f>
        <v>0.75096177273920905</v>
      </c>
      <c r="F6" s="12">
        <f>0.893723338896047</f>
        <v>0.89372333889604705</v>
      </c>
      <c r="G6" s="12">
        <f>AVERAGE(D6:F6)</f>
        <v>0.74862378456234335</v>
      </c>
      <c r="H6" s="12">
        <f>STDEV(D6:F6)</f>
        <v>0.14628256184198868</v>
      </c>
      <c r="I6" s="12">
        <f>TTEST(D6:F6,D7:F7,2,2)</f>
        <v>3.6607368598172668E-3</v>
      </c>
      <c r="K6" s="28" t="s">
        <v>20</v>
      </c>
      <c r="L6" s="33"/>
      <c r="M6" s="28" t="s">
        <v>140</v>
      </c>
      <c r="N6" s="12">
        <f>0.601186242051774/$G$4</f>
        <v>4.1877383218333319</v>
      </c>
      <c r="O6" s="12">
        <f>0.750961772739209/$G$4</f>
        <v>5.2310435168957969</v>
      </c>
      <c r="P6" s="12">
        <f>0.893723338896047/$G$4</f>
        <v>6.2254908938676214</v>
      </c>
      <c r="Q6" s="12">
        <f>AVERAGE(N6:P6)</f>
        <v>5.2147575775322501</v>
      </c>
      <c r="R6" s="12">
        <f>STDEV(N6:P6)</f>
        <v>1.0189739005851932</v>
      </c>
      <c r="S6" s="12">
        <f>TTEST(N6:P6,N7:P7,2,2)</f>
        <v>2.6042663607238237E-3</v>
      </c>
    </row>
    <row r="7" spans="1:19" ht="15" customHeight="1" x14ac:dyDescent="0.4">
      <c r="A7" s="28" t="s">
        <v>24</v>
      </c>
      <c r="B7" s="33"/>
      <c r="C7" s="28" t="s">
        <v>141</v>
      </c>
      <c r="D7" s="12">
        <f>0.245940791322748</f>
        <v>0.24594079132274799</v>
      </c>
      <c r="E7" s="12">
        <f>0.231658463932766</f>
        <v>0.23165846393276601</v>
      </c>
      <c r="F7" s="12">
        <f>0.178351832605101</f>
        <v>0.17835183260510101</v>
      </c>
      <c r="G7" s="12">
        <f t="shared" ref="G7" si="4">AVERAGE(D7:F7)</f>
        <v>0.21865036262020499</v>
      </c>
      <c r="H7" s="12">
        <f t="shared" ref="H7:H11" si="5">STDEV(D7:F7)</f>
        <v>3.5622673397042386E-2</v>
      </c>
      <c r="I7" s="12"/>
      <c r="K7" s="28" t="s">
        <v>24</v>
      </c>
      <c r="L7" s="33"/>
      <c r="M7" s="28" t="s">
        <v>141</v>
      </c>
      <c r="N7" s="12">
        <f>0.245940791322748/$G$5</f>
        <v>1.3602874249721566</v>
      </c>
      <c r="O7" s="12">
        <f>0.231658463932766/$G$5</f>
        <v>1.2812925163055726</v>
      </c>
      <c r="P7" s="12">
        <f>0.178351832605101/$G$5</f>
        <v>0.98645594254058211</v>
      </c>
      <c r="Q7" s="12">
        <f t="shared" ref="Q7" si="6">AVERAGE(N7:P7)</f>
        <v>1.2093452946061038</v>
      </c>
      <c r="R7" s="12">
        <f t="shared" ref="R7:R11" si="7">STDEV(N7:P7)</f>
        <v>0.19702739999033547</v>
      </c>
      <c r="S7" s="12"/>
    </row>
    <row r="8" spans="1:19" ht="15" customHeight="1" x14ac:dyDescent="0.4">
      <c r="A8" s="28" t="s">
        <v>21</v>
      </c>
      <c r="B8" s="33"/>
      <c r="C8" s="28" t="s">
        <v>140</v>
      </c>
      <c r="D8" s="12">
        <f>1.7009757615653</f>
        <v>1.7009757615653001</v>
      </c>
      <c r="E8" s="12">
        <f>1.56159787691816</f>
        <v>1.56159787691816</v>
      </c>
      <c r="F8" s="12">
        <f>1.79441037068224</f>
        <v>1.7944103706822401</v>
      </c>
      <c r="G8" s="12">
        <f>AVERAGE(D8:F8)</f>
        <v>1.6856613363885666</v>
      </c>
      <c r="H8" s="12">
        <f t="shared" si="5"/>
        <v>0.11715934886739846</v>
      </c>
      <c r="I8" s="30">
        <f>TTEST(D8:F8,D9:F9,2,2)</f>
        <v>2.5203733652119927E-5</v>
      </c>
      <c r="K8" s="28" t="s">
        <v>21</v>
      </c>
      <c r="L8" s="33"/>
      <c r="M8" s="28" t="s">
        <v>140</v>
      </c>
      <c r="N8" s="12">
        <f>1.7009757615653/$G$4</f>
        <v>11.848643370323822</v>
      </c>
      <c r="O8" s="12">
        <f>1.56159787691816/$G$4</f>
        <v>10.87776601497904</v>
      </c>
      <c r="P8" s="12">
        <f>1.79441037068224/$G$4</f>
        <v>12.499489424034463</v>
      </c>
      <c r="Q8" s="12">
        <f>AVERAGE(N8:P8)</f>
        <v>11.741966269779107</v>
      </c>
      <c r="R8" s="12">
        <f t="shared" si="7"/>
        <v>0.81610765632057181</v>
      </c>
      <c r="S8" s="25">
        <f>TTEST(N8:P8,N9:P9,2,2)</f>
        <v>2.254832565991927E-5</v>
      </c>
    </row>
    <row r="9" spans="1:19" ht="15" customHeight="1" x14ac:dyDescent="0.4">
      <c r="A9" s="28" t="s">
        <v>25</v>
      </c>
      <c r="B9" s="33"/>
      <c r="C9" s="28" t="s">
        <v>141</v>
      </c>
      <c r="D9" s="12">
        <f>0.200480222492279</f>
        <v>0.20048022249227901</v>
      </c>
      <c r="E9" s="12">
        <f>0.181600623032293</f>
        <v>0.18160062303229299</v>
      </c>
      <c r="F9" s="12">
        <f>0.170402128748243</f>
        <v>0.17040212874824301</v>
      </c>
      <c r="G9" s="12">
        <f t="shared" ref="G9" si="8">AVERAGE(D9:F9)</f>
        <v>0.18416099142427167</v>
      </c>
      <c r="H9" s="12">
        <f t="shared" si="5"/>
        <v>1.5201629700322825E-2</v>
      </c>
      <c r="I9" s="12"/>
      <c r="K9" s="28" t="s">
        <v>25</v>
      </c>
      <c r="L9" s="33"/>
      <c r="M9" s="28" t="s">
        <v>141</v>
      </c>
      <c r="N9" s="12">
        <f>0.200480222492279/$G$5</f>
        <v>1.1088470690247927</v>
      </c>
      <c r="O9" s="12">
        <f>0.181600623032293/$G$5</f>
        <v>1.0044248558741973</v>
      </c>
      <c r="P9" s="12">
        <f>0.170402128748243/$G$5</f>
        <v>0.94248648903685017</v>
      </c>
      <c r="Q9" s="12">
        <f t="shared" ref="Q9" si="9">AVERAGE(N9:P9)</f>
        <v>1.0185861379786134</v>
      </c>
      <c r="R9" s="12">
        <f t="shared" si="7"/>
        <v>8.4079528284902949E-2</v>
      </c>
      <c r="S9" s="12"/>
    </row>
    <row r="10" spans="1:19" ht="15" customHeight="1" x14ac:dyDescent="0.4">
      <c r="A10" s="28" t="s">
        <v>22</v>
      </c>
      <c r="B10" s="33"/>
      <c r="C10" s="28" t="s">
        <v>140</v>
      </c>
      <c r="D10" s="12">
        <f>0.367094429679448</f>
        <v>0.367094429679448</v>
      </c>
      <c r="E10" s="12">
        <f>0.485795576837236</f>
        <v>0.48579557683723601</v>
      </c>
      <c r="F10" s="12">
        <f>0.642477966698803</f>
        <v>0.64247796669880297</v>
      </c>
      <c r="G10" s="12">
        <f>AVERAGE(D10:F10)</f>
        <v>0.49845599107182897</v>
      </c>
      <c r="H10" s="12">
        <f t="shared" si="5"/>
        <v>0.13812761375541882</v>
      </c>
      <c r="I10" s="12">
        <f>TTEST(D10:F10,D11:F11,2,2)</f>
        <v>1.8227384209077269E-2</v>
      </c>
      <c r="K10" s="28" t="s">
        <v>22</v>
      </c>
      <c r="L10" s="33"/>
      <c r="M10" s="28" t="s">
        <v>140</v>
      </c>
      <c r="N10" s="12">
        <f>0.367094429679448/$G$4</f>
        <v>2.5571034454374364</v>
      </c>
      <c r="O10" s="12">
        <f>0.485795576837236/$G$4</f>
        <v>3.3839509479713308</v>
      </c>
      <c r="P10" s="12">
        <f>0.642477966698803/$G$4</f>
        <v>4.4753678874880656</v>
      </c>
      <c r="Q10" s="12">
        <f>AVERAGE(N10:P10)</f>
        <v>3.4721407602989438</v>
      </c>
      <c r="R10" s="12">
        <f t="shared" si="7"/>
        <v>0.96216822835600857</v>
      </c>
      <c r="S10" s="12">
        <f>TTEST(N10:P10,N11:P11,2,2)</f>
        <v>1.2133561877937408E-2</v>
      </c>
    </row>
    <row r="11" spans="1:19" ht="15" customHeight="1" x14ac:dyDescent="0.4">
      <c r="A11" s="28" t="s">
        <v>26</v>
      </c>
      <c r="B11" s="33"/>
      <c r="C11" s="28" t="s">
        <v>141</v>
      </c>
      <c r="D11" s="12">
        <f>0.212599488278336</f>
        <v>0.212599488278336</v>
      </c>
      <c r="E11" s="12">
        <f>0.16914031224425</f>
        <v>0.16914031224425</v>
      </c>
      <c r="F11" s="12">
        <f>0.178901937950029</f>
        <v>0.17890193795002901</v>
      </c>
      <c r="G11" s="12">
        <f t="shared" ref="G11" si="10">AVERAGE(D11:F11)</f>
        <v>0.18688057949087167</v>
      </c>
      <c r="H11" s="12">
        <f t="shared" si="5"/>
        <v>2.2801733180141458E-2</v>
      </c>
      <c r="I11" s="12"/>
      <c r="K11" s="28" t="s">
        <v>26</v>
      </c>
      <c r="L11" s="33"/>
      <c r="M11" s="28" t="s">
        <v>141</v>
      </c>
      <c r="N11" s="12">
        <f>0.212599488278336/$G$5</f>
        <v>1.1758781815133039</v>
      </c>
      <c r="O11" s="12">
        <f>0.16914031224425/$G$5</f>
        <v>0.93550743886069809</v>
      </c>
      <c r="P11" s="12">
        <f>0.178901937950029/$G$5</f>
        <v>0.98949855039384194</v>
      </c>
      <c r="Q11" s="12">
        <f t="shared" ref="Q11" si="11">AVERAGE(N11:P11)</f>
        <v>1.0336280569226146</v>
      </c>
      <c r="R11" s="12">
        <f t="shared" si="7"/>
        <v>0.12611535787007092</v>
      </c>
      <c r="S11" s="12"/>
    </row>
    <row r="12" spans="1:19" ht="15" customHeight="1" x14ac:dyDescent="0.4">
      <c r="L12" s="27"/>
      <c r="M12" s="16"/>
    </row>
    <row r="13" spans="1:19" ht="15" customHeight="1" x14ac:dyDescent="0.4">
      <c r="A13" s="11"/>
      <c r="B13" s="11" t="s">
        <v>15</v>
      </c>
      <c r="C13" s="11" t="s">
        <v>16</v>
      </c>
      <c r="D13" s="11">
        <v>1</v>
      </c>
      <c r="E13" s="11">
        <v>2</v>
      </c>
      <c r="F13" s="11">
        <v>3</v>
      </c>
      <c r="G13" s="11" t="s">
        <v>17</v>
      </c>
      <c r="H13" s="11" t="s">
        <v>13</v>
      </c>
      <c r="I13" s="11" t="s">
        <v>18</v>
      </c>
      <c r="K13" s="18" t="s">
        <v>37</v>
      </c>
      <c r="L13" s="11" t="s">
        <v>15</v>
      </c>
      <c r="M13" s="11" t="s">
        <v>16</v>
      </c>
      <c r="N13" s="11">
        <v>1</v>
      </c>
      <c r="O13" s="11">
        <v>2</v>
      </c>
      <c r="P13" s="11">
        <v>3</v>
      </c>
      <c r="Q13" s="11" t="s">
        <v>17</v>
      </c>
      <c r="R13" s="11" t="s">
        <v>13</v>
      </c>
      <c r="S13" s="11" t="s">
        <v>18</v>
      </c>
    </row>
    <row r="14" spans="1:19" ht="15" customHeight="1" x14ac:dyDescent="0.4">
      <c r="A14" s="28" t="s">
        <v>19</v>
      </c>
      <c r="B14" s="33" t="s">
        <v>2</v>
      </c>
      <c r="C14" s="28" t="s">
        <v>140</v>
      </c>
      <c r="D14" s="12">
        <v>0.104566473599197</v>
      </c>
      <c r="E14" s="12">
        <v>0.16015852345598</v>
      </c>
      <c r="F14" s="12">
        <v>0.20516137521291</v>
      </c>
      <c r="G14" s="12">
        <f>AVERAGE(D14:F14)</f>
        <v>0.15662879075602901</v>
      </c>
      <c r="H14" s="12">
        <f>STDEV(D14:F14)</f>
        <v>5.039025518260426E-2</v>
      </c>
      <c r="I14" s="12"/>
      <c r="K14" s="28" t="s">
        <v>19</v>
      </c>
      <c r="L14" s="33" t="s">
        <v>2</v>
      </c>
      <c r="M14" s="28" t="s">
        <v>140</v>
      </c>
      <c r="N14" s="12">
        <f>0.104566473599197/$G$14</f>
        <v>0.66760697758353849</v>
      </c>
      <c r="O14" s="12">
        <f>0.16015852345598/$G$14</f>
        <v>1.0225356569690245</v>
      </c>
      <c r="P14" s="12">
        <f>0.20516137521291/$G$14</f>
        <v>1.3098573654474368</v>
      </c>
      <c r="Q14" s="12">
        <f>AVERAGE(N14:P14)</f>
        <v>1</v>
      </c>
      <c r="R14" s="12">
        <f>STDEV(N14:P14)</f>
        <v>0.32171770553406126</v>
      </c>
      <c r="S14" s="12"/>
    </row>
    <row r="15" spans="1:19" ht="15" customHeight="1" x14ac:dyDescent="0.4">
      <c r="A15" s="28" t="s">
        <v>23</v>
      </c>
      <c r="B15" s="33"/>
      <c r="C15" s="28" t="s">
        <v>141</v>
      </c>
      <c r="D15" s="12">
        <f>0.0822437558793538</f>
        <v>8.22437558793538E-2</v>
      </c>
      <c r="E15" s="12">
        <f>0.0963836282562913</f>
        <v>9.6383628256291307E-2</v>
      </c>
      <c r="F15" s="12">
        <f>0.0823550637214678</f>
        <v>8.2355063721467794E-2</v>
      </c>
      <c r="G15" s="12">
        <f t="shared" ref="G15" si="12">AVERAGE(D15:F15)</f>
        <v>8.69941492857043E-2</v>
      </c>
      <c r="H15" s="12">
        <f t="shared" ref="H15:H21" si="13">STDEV(D15:F15)</f>
        <v>8.1317177682978352E-3</v>
      </c>
      <c r="I15" s="12"/>
      <c r="K15" s="28" t="s">
        <v>23</v>
      </c>
      <c r="L15" s="33"/>
      <c r="M15" s="28" t="s">
        <v>141</v>
      </c>
      <c r="N15" s="12">
        <f>0.0822437558793538/$G$15</f>
        <v>0.94539410471445195</v>
      </c>
      <c r="O15" s="12">
        <f>0.0963836282562913/$G$15</f>
        <v>1.1079323040420832</v>
      </c>
      <c r="P15" s="12">
        <f>0.0823550637214678/$G$15</f>
        <v>0.94667359124346484</v>
      </c>
      <c r="Q15" s="12">
        <f t="shared" ref="Q15" si="14">AVERAGE(N15:P15)</f>
        <v>1</v>
      </c>
      <c r="R15" s="12">
        <f t="shared" ref="R15:R21" si="15">STDEV(N15:P15)</f>
        <v>9.3474306434008905E-2</v>
      </c>
      <c r="S15" s="12"/>
    </row>
    <row r="16" spans="1:19" ht="15" customHeight="1" x14ac:dyDescent="0.4">
      <c r="A16" s="28" t="s">
        <v>20</v>
      </c>
      <c r="B16" s="33"/>
      <c r="C16" s="28" t="s">
        <v>140</v>
      </c>
      <c r="D16" s="12">
        <f>0.701186242051774</f>
        <v>0.70118624205177404</v>
      </c>
      <c r="E16" s="12">
        <f>0.650961772739209</f>
        <v>0.65096177273920897</v>
      </c>
      <c r="F16" s="12">
        <f>0.593723338896047</f>
        <v>0.593723338896047</v>
      </c>
      <c r="G16" s="12">
        <f>AVERAGE(D16:F16)</f>
        <v>0.64862378456234338</v>
      </c>
      <c r="H16" s="12">
        <f t="shared" si="13"/>
        <v>5.3769587409619062E-2</v>
      </c>
      <c r="I16" s="12">
        <f>TTEST(D16:F16,D17:F17,2,2)</f>
        <v>3.3977743776539027E-4</v>
      </c>
      <c r="K16" s="28" t="s">
        <v>20</v>
      </c>
      <c r="L16" s="33"/>
      <c r="M16" s="28" t="s">
        <v>140</v>
      </c>
      <c r="N16" s="12">
        <f>0.701186242051774/$G$14</f>
        <v>4.4767391656874151</v>
      </c>
      <c r="O16" s="12">
        <f>0.650961772739209/$G$14</f>
        <v>4.1560799237298074</v>
      </c>
      <c r="P16" s="12">
        <f>0.593723338896047/$G$14</f>
        <v>3.7906398691467471</v>
      </c>
      <c r="Q16" s="12">
        <f>AVERAGE(N16:P16)</f>
        <v>4.1411529861879899</v>
      </c>
      <c r="R16" s="12">
        <f t="shared" si="15"/>
        <v>0.34329312733680362</v>
      </c>
      <c r="S16" s="12">
        <f>TTEST(N16:P16,N17:P17,2,2)</f>
        <v>3.5231645182427799E-3</v>
      </c>
    </row>
    <row r="17" spans="1:19" ht="15" customHeight="1" x14ac:dyDescent="0.4">
      <c r="A17" s="28" t="s">
        <v>24</v>
      </c>
      <c r="B17" s="33"/>
      <c r="C17" s="28" t="s">
        <v>141</v>
      </c>
      <c r="D17" s="12">
        <f>0.188478879807598</f>
        <v>0.188478879807598</v>
      </c>
      <c r="E17" s="12">
        <f>0.120076848522641</f>
        <v>0.120076848522641</v>
      </c>
      <c r="F17" s="12">
        <f>0.0722876046056248</f>
        <v>7.2287604605624806E-2</v>
      </c>
      <c r="G17" s="12">
        <f t="shared" ref="G17" si="16">AVERAGE(D17:F17)</f>
        <v>0.12694777764528795</v>
      </c>
      <c r="H17" s="12">
        <f t="shared" si="13"/>
        <v>5.8399574985795025E-2</v>
      </c>
      <c r="I17" s="12"/>
      <c r="K17" s="28" t="s">
        <v>24</v>
      </c>
      <c r="L17" s="33"/>
      <c r="M17" s="28" t="s">
        <v>141</v>
      </c>
      <c r="N17" s="12">
        <f>0.188478879807598/$G$15</f>
        <v>2.166569606751366</v>
      </c>
      <c r="O17" s="12">
        <f>0.120076848522641/$G$15</f>
        <v>1.3802864848794281</v>
      </c>
      <c r="P17" s="12">
        <f>0.0722876046056248/$G$15</f>
        <v>0.83094788786564744</v>
      </c>
      <c r="Q17" s="12">
        <f t="shared" ref="Q17" si="17">AVERAGE(N17:P17)</f>
        <v>1.4592679931654804</v>
      </c>
      <c r="R17" s="12">
        <f t="shared" si="15"/>
        <v>0.67130462755604881</v>
      </c>
      <c r="S17" s="12"/>
    </row>
    <row r="18" spans="1:19" ht="15" customHeight="1" x14ac:dyDescent="0.4">
      <c r="A18" s="28" t="s">
        <v>21</v>
      </c>
      <c r="B18" s="33"/>
      <c r="C18" s="28" t="s">
        <v>140</v>
      </c>
      <c r="D18" s="12">
        <f>1.0009757615653</f>
        <v>1.0009757615653001</v>
      </c>
      <c r="E18" s="12">
        <f>1.76159787691816</f>
        <v>1.7615978769181599</v>
      </c>
      <c r="F18" s="12">
        <f>1.79441037068224</f>
        <v>1.7944103706822401</v>
      </c>
      <c r="G18" s="12">
        <f>AVERAGE(D18:F18)</f>
        <v>1.5189946697219001</v>
      </c>
      <c r="H18" s="12">
        <f t="shared" si="13"/>
        <v>0.44891742764407289</v>
      </c>
      <c r="I18" s="30">
        <f>TTEST(D18:F18,D19:F19,2,2)</f>
        <v>5.6994845148920338E-3</v>
      </c>
      <c r="K18" s="28" t="s">
        <v>21</v>
      </c>
      <c r="L18" s="33"/>
      <c r="M18" s="28" t="s">
        <v>140</v>
      </c>
      <c r="N18" s="12">
        <f>1.0009757615653/$G$14</f>
        <v>6.3907520241566456</v>
      </c>
      <c r="O18" s="12">
        <f>1.76159787691816/$G$14</f>
        <v>11.246960845545262</v>
      </c>
      <c r="P18" s="12">
        <f>1.79441037068224/$G$14</f>
        <v>11.456452942149584</v>
      </c>
      <c r="Q18" s="12">
        <f>AVERAGE(N18:P18)</f>
        <v>9.6980552706171625</v>
      </c>
      <c r="R18" s="12">
        <f>STDEV(N18:P18)</f>
        <v>2.8661233064317289</v>
      </c>
      <c r="S18" s="30">
        <f>TTEST(N18:P18,N19:P19,2,2)</f>
        <v>7.3724927519050317E-3</v>
      </c>
    </row>
    <row r="19" spans="1:19" ht="15" customHeight="1" x14ac:dyDescent="0.4">
      <c r="A19" s="28" t="s">
        <v>25</v>
      </c>
      <c r="B19" s="33"/>
      <c r="C19" s="28" t="s">
        <v>141</v>
      </c>
      <c r="D19" s="12">
        <f>0.139302959162469</f>
        <v>0.13930295916246899</v>
      </c>
      <c r="E19" s="12">
        <f>0.111679522364015</f>
        <v>0.111679522364015</v>
      </c>
      <c r="F19" s="12">
        <f>0.105340605737716</f>
        <v>0.105340605737716</v>
      </c>
      <c r="G19" s="12">
        <f t="shared" ref="G19" si="18">AVERAGE(D19:F19)</f>
        <v>0.11877436242140001</v>
      </c>
      <c r="H19" s="12">
        <f t="shared" si="13"/>
        <v>1.8058597097140638E-2</v>
      </c>
      <c r="I19" s="12"/>
      <c r="K19" s="28" t="s">
        <v>25</v>
      </c>
      <c r="L19" s="33"/>
      <c r="M19" s="28" t="s">
        <v>141</v>
      </c>
      <c r="N19" s="12">
        <f>0.139302959162469/$G$15</f>
        <v>1.6012911248200523</v>
      </c>
      <c r="O19" s="12">
        <f>0.111679522364015/$G$15</f>
        <v>1.2837590031168595</v>
      </c>
      <c r="P19" s="12">
        <f>0.105340605737716/$G$15</f>
        <v>1.2108929922604181</v>
      </c>
      <c r="Q19" s="12">
        <f t="shared" ref="Q19" si="19">AVERAGE(N19:P19)</f>
        <v>1.3653143733991098</v>
      </c>
      <c r="R19" s="12">
        <f t="shared" si="15"/>
        <v>0.20758404151793422</v>
      </c>
      <c r="S19" s="12"/>
    </row>
    <row r="20" spans="1:19" ht="15" customHeight="1" x14ac:dyDescent="0.4">
      <c r="A20" s="28" t="s">
        <v>22</v>
      </c>
      <c r="B20" s="33"/>
      <c r="C20" s="28" t="s">
        <v>140</v>
      </c>
      <c r="D20" s="12">
        <f>0.267094429679448</f>
        <v>0.26709442967944802</v>
      </c>
      <c r="E20" s="12">
        <f>0.405795576837236</f>
        <v>0.40579557683723599</v>
      </c>
      <c r="F20" s="12">
        <f>0.342477966698803</f>
        <v>0.34247796669880298</v>
      </c>
      <c r="G20" s="12">
        <f>AVERAGE(D20:F20)</f>
        <v>0.338455991071829</v>
      </c>
      <c r="H20" s="12">
        <f t="shared" si="13"/>
        <v>6.9437988678241247E-2</v>
      </c>
      <c r="I20" s="12">
        <f>TTEST(D20:F20,D21:F21,2,2)</f>
        <v>4.9223276256553355E-3</v>
      </c>
      <c r="K20" s="28" t="s">
        <v>22</v>
      </c>
      <c r="L20" s="33"/>
      <c r="M20" s="28" t="s">
        <v>140</v>
      </c>
      <c r="N20" s="12">
        <f>0.267094429679448/$G$14</f>
        <v>1.705270329868565</v>
      </c>
      <c r="O20" s="12">
        <f>0.405795576837236/$G$14</f>
        <v>2.5908108903765892</v>
      </c>
      <c r="P20" s="12">
        <f>0.342477966698803/$G$14</f>
        <v>2.1865581994581045</v>
      </c>
      <c r="Q20" s="12">
        <f>AVERAGE(N20:P20)</f>
        <v>2.160879806567753</v>
      </c>
      <c r="R20" s="12">
        <f t="shared" si="15"/>
        <v>0.44332838390101836</v>
      </c>
      <c r="S20" s="12">
        <f>TTEST(N20:P20,N21:P21,2,2)</f>
        <v>2.8523423341544622E-2</v>
      </c>
    </row>
    <row r="21" spans="1:19" ht="15" customHeight="1" x14ac:dyDescent="0.4">
      <c r="A21" s="28" t="s">
        <v>26</v>
      </c>
      <c r="B21" s="33"/>
      <c r="C21" s="28" t="s">
        <v>141</v>
      </c>
      <c r="D21" s="12">
        <f>0.08144398247487</f>
        <v>8.1443982474870003E-2</v>
      </c>
      <c r="E21" s="12">
        <f>0.120194941395074</f>
        <v>0.120194941395074</v>
      </c>
      <c r="F21" s="12">
        <f>0.109907379868273</f>
        <v>0.10990737986827299</v>
      </c>
      <c r="G21" s="12">
        <f t="shared" ref="G21" si="20">AVERAGE(D21:F21)</f>
        <v>0.103848767912739</v>
      </c>
      <c r="H21" s="12">
        <f t="shared" si="13"/>
        <v>2.0073347713563856E-2</v>
      </c>
      <c r="I21" s="12"/>
      <c r="K21" s="28" t="s">
        <v>26</v>
      </c>
      <c r="L21" s="33"/>
      <c r="M21" s="28" t="s">
        <v>141</v>
      </c>
      <c r="N21" s="12">
        <f>0.08144398247487/$G$15</f>
        <v>0.93620068870831119</v>
      </c>
      <c r="O21" s="12">
        <f>0.120194941395074/$G$15</f>
        <v>1.3816439655077537</v>
      </c>
      <c r="P21" s="12">
        <f>0.109907379868273/$G$15</f>
        <v>1.263388179213266</v>
      </c>
      <c r="Q21" s="12">
        <f t="shared" ref="Q21" si="21">AVERAGE(N21:P21)</f>
        <v>1.1937442778097769</v>
      </c>
      <c r="R21" s="12">
        <f t="shared" si="15"/>
        <v>0.23074365205456965</v>
      </c>
      <c r="S21" s="12"/>
    </row>
    <row r="22" spans="1:19" ht="15" customHeight="1" x14ac:dyDescent="0.4"/>
    <row r="23" spans="1:19" ht="15" customHeight="1" x14ac:dyDescent="0.4">
      <c r="A23" s="11"/>
      <c r="B23" s="11" t="s">
        <v>15</v>
      </c>
      <c r="C23" s="11" t="s">
        <v>16</v>
      </c>
      <c r="D23" s="11">
        <v>1</v>
      </c>
      <c r="E23" s="11">
        <v>2</v>
      </c>
      <c r="F23" s="11">
        <v>3</v>
      </c>
      <c r="G23" s="11" t="s">
        <v>17</v>
      </c>
      <c r="H23" s="11" t="s">
        <v>13</v>
      </c>
      <c r="I23" s="11" t="s">
        <v>18</v>
      </c>
      <c r="K23" s="18" t="s">
        <v>37</v>
      </c>
      <c r="L23" s="11" t="s">
        <v>15</v>
      </c>
      <c r="M23" s="11" t="s">
        <v>16</v>
      </c>
      <c r="N23" s="11">
        <v>1</v>
      </c>
      <c r="O23" s="11">
        <v>2</v>
      </c>
      <c r="P23" s="11">
        <v>3</v>
      </c>
      <c r="Q23" s="11" t="s">
        <v>17</v>
      </c>
      <c r="R23" s="11" t="s">
        <v>13</v>
      </c>
      <c r="S23" s="11" t="s">
        <v>18</v>
      </c>
    </row>
    <row r="24" spans="1:19" ht="15" customHeight="1" x14ac:dyDescent="0.4">
      <c r="A24" s="28" t="s">
        <v>19</v>
      </c>
      <c r="B24" s="33" t="s">
        <v>3</v>
      </c>
      <c r="C24" s="28" t="s">
        <v>140</v>
      </c>
      <c r="D24" s="12">
        <f>0.205885218947495</f>
        <v>0.20588521894749501</v>
      </c>
      <c r="E24" s="12">
        <f>0.214620958210249</f>
        <v>0.21462095821024901</v>
      </c>
      <c r="F24" s="12">
        <f>0.27512089257188</f>
        <v>0.27512089257187999</v>
      </c>
      <c r="G24" s="12">
        <f>AVERAGE(D24:F24)</f>
        <v>0.2318756899098747</v>
      </c>
      <c r="H24" s="12">
        <f>STDEV(D24:F24)</f>
        <v>3.7705290743808538E-2</v>
      </c>
      <c r="I24" s="12"/>
      <c r="K24" s="28" t="s">
        <v>19</v>
      </c>
      <c r="L24" s="33" t="s">
        <v>3</v>
      </c>
      <c r="M24" s="28" t="s">
        <v>140</v>
      </c>
      <c r="N24" s="12">
        <f>0.205885218947495/$G$24</f>
        <v>0.88791204902729715</v>
      </c>
      <c r="O24" s="12">
        <f>0.214620958210249/$G$24</f>
        <v>0.92558628415798028</v>
      </c>
      <c r="P24" s="12">
        <f>0.27512089257188/$G$24</f>
        <v>1.1865016668147221</v>
      </c>
      <c r="Q24" s="12">
        <f>AVERAGE(N24:P24)</f>
        <v>0.99999999999999989</v>
      </c>
      <c r="R24" s="12">
        <f>STDEV(N24:P24)</f>
        <v>0.16260993448025582</v>
      </c>
      <c r="S24" s="12"/>
    </row>
    <row r="25" spans="1:19" ht="15" customHeight="1" x14ac:dyDescent="0.4">
      <c r="A25" s="28" t="s">
        <v>23</v>
      </c>
      <c r="B25" s="33"/>
      <c r="C25" s="28" t="s">
        <v>141</v>
      </c>
      <c r="D25" s="12">
        <f>0.248903259466026</f>
        <v>0.24890325946602601</v>
      </c>
      <c r="E25" s="12">
        <f>0.181550786282088</f>
        <v>0.18155078628208801</v>
      </c>
      <c r="F25" s="12">
        <f>0.0769341626622147</f>
        <v>7.69341626622147E-2</v>
      </c>
      <c r="G25" s="12">
        <f t="shared" ref="G25" si="22">AVERAGE(D25:F25)</f>
        <v>0.16912940280344291</v>
      </c>
      <c r="H25" s="12">
        <f t="shared" ref="H25:H31" si="23">STDEV(D25:F25)</f>
        <v>8.6654836215426093E-2</v>
      </c>
      <c r="I25" s="12"/>
      <c r="K25" s="28" t="s">
        <v>23</v>
      </c>
      <c r="L25" s="33"/>
      <c r="M25" s="28" t="s">
        <v>141</v>
      </c>
      <c r="N25" s="12">
        <f>0.248903259466026/$G$25</f>
        <v>1.471673495798326</v>
      </c>
      <c r="O25" s="12">
        <f>0.181550786282088/$G$25</f>
        <v>1.0734430753775017</v>
      </c>
      <c r="P25" s="12">
        <f>0.0769341626622147/$G$25</f>
        <v>0.45488342882417238</v>
      </c>
      <c r="Q25" s="12">
        <f t="shared" ref="Q25" si="24">AVERAGE(N25:P25)</f>
        <v>1</v>
      </c>
      <c r="R25" s="12">
        <f t="shared" ref="R25:R31" si="25">STDEV(N25:P25)</f>
        <v>0.51235819898290391</v>
      </c>
      <c r="S25" s="12"/>
    </row>
    <row r="26" spans="1:19" ht="15" customHeight="1" x14ac:dyDescent="0.4">
      <c r="A26" s="28" t="s">
        <v>20</v>
      </c>
      <c r="B26" s="33"/>
      <c r="C26" s="28" t="s">
        <v>140</v>
      </c>
      <c r="D26" s="12">
        <f>1.19104712168917</f>
        <v>1.19104712168917</v>
      </c>
      <c r="E26" s="12">
        <f>1.92282068791094</f>
        <v>1.92282068791094</v>
      </c>
      <c r="F26" s="12">
        <f>1.41881517698877</f>
        <v>1.41881517698877</v>
      </c>
      <c r="G26" s="12">
        <f>AVERAGE(D26:F26)</f>
        <v>1.5108943288629602</v>
      </c>
      <c r="H26" s="12">
        <f t="shared" si="23"/>
        <v>0.37447572112572819</v>
      </c>
      <c r="I26" s="12">
        <f>TTEST(D26:F26,D27:F27,2,2)</f>
        <v>4.0649272997321899E-3</v>
      </c>
      <c r="K26" s="28" t="s">
        <v>20</v>
      </c>
      <c r="L26" s="33"/>
      <c r="M26" s="28" t="s">
        <v>140</v>
      </c>
      <c r="N26" s="12">
        <f>1.19104712168917/$G$24</f>
        <v>5.1365760772597833</v>
      </c>
      <c r="O26" s="12">
        <f>1.92282068791094/$G$24</f>
        <v>8.292463468931567</v>
      </c>
      <c r="P26" s="12">
        <f>1.41881517698877/$G$24</f>
        <v>6.1188612637238267</v>
      </c>
      <c r="Q26" s="12">
        <f>AVERAGE(N26:P26)</f>
        <v>6.5159669366383923</v>
      </c>
      <c r="R26" s="12">
        <f t="shared" si="25"/>
        <v>1.614984827737999</v>
      </c>
      <c r="S26" s="12">
        <f>TTEST(N26:P26,N27:P27,2,2)</f>
        <v>5.3931616937005974E-3</v>
      </c>
    </row>
    <row r="27" spans="1:19" ht="15" customHeight="1" x14ac:dyDescent="0.4">
      <c r="A27" s="28" t="s">
        <v>24</v>
      </c>
      <c r="B27" s="33"/>
      <c r="C27" s="28" t="s">
        <v>141</v>
      </c>
      <c r="D27" s="12">
        <f>0.243261191470089</f>
        <v>0.24326119147008901</v>
      </c>
      <c r="E27" s="12">
        <f>0.250273513566725</f>
        <v>0.250273513566725</v>
      </c>
      <c r="F27" s="12">
        <f>0.104705679988917</f>
        <v>0.104705679988917</v>
      </c>
      <c r="G27" s="12">
        <f t="shared" ref="G27" si="26">AVERAGE(D27:F27)</f>
        <v>0.19941346167524365</v>
      </c>
      <c r="H27" s="12">
        <f t="shared" si="23"/>
        <v>8.20942513167362E-2</v>
      </c>
      <c r="I27" s="12"/>
      <c r="K27" s="28" t="s">
        <v>24</v>
      </c>
      <c r="L27" s="33"/>
      <c r="M27" s="28" t="s">
        <v>141</v>
      </c>
      <c r="N27" s="12">
        <f>0.243261191470089/$G$25</f>
        <v>1.4383140213224772</v>
      </c>
      <c r="O27" s="12">
        <f>0.250273513566725/$G$25</f>
        <v>1.4797753046972284</v>
      </c>
      <c r="P27" s="12">
        <f>0.104705679988917/$G$25</f>
        <v>0.61908620413330961</v>
      </c>
      <c r="Q27" s="12">
        <f t="shared" ref="Q27" si="27">AVERAGE(N27:P27)</f>
        <v>1.1790585100510051</v>
      </c>
      <c r="R27" s="12">
        <f t="shared" si="25"/>
        <v>0.48539313659224337</v>
      </c>
      <c r="S27" s="12"/>
    </row>
    <row r="28" spans="1:19" ht="15" customHeight="1" x14ac:dyDescent="0.4">
      <c r="A28" s="28" t="s">
        <v>21</v>
      </c>
      <c r="B28" s="33"/>
      <c r="C28" s="28" t="s">
        <v>140</v>
      </c>
      <c r="D28" s="12">
        <f>2.15771829724377</f>
        <v>2.1577182972437701</v>
      </c>
      <c r="E28" s="12">
        <f>1.66498993208521</f>
        <v>1.66498993208521</v>
      </c>
      <c r="F28" s="12">
        <f>1.86554934835638</f>
        <v>1.8655493483563801</v>
      </c>
      <c r="G28" s="12">
        <f>AVERAGE(D28:F28)</f>
        <v>1.8960858592284533</v>
      </c>
      <c r="H28" s="12">
        <f t="shared" si="23"/>
        <v>0.24777947721741816</v>
      </c>
      <c r="I28" s="30">
        <f>TTEST(D28:F28,D29:F29,2,2)</f>
        <v>3.054381268940737E-4</v>
      </c>
      <c r="K28" s="28" t="s">
        <v>21</v>
      </c>
      <c r="L28" s="33"/>
      <c r="M28" s="28" t="s">
        <v>140</v>
      </c>
      <c r="N28" s="12">
        <f>2.15771829724377/$G$24</f>
        <v>9.3054959667502466</v>
      </c>
      <c r="O28" s="12">
        <f>1.66498993208521/$G$24</f>
        <v>7.1805282077321566</v>
      </c>
      <c r="P28" s="12">
        <f>1.86554934835638/$G$24</f>
        <v>8.0454719038527962</v>
      </c>
      <c r="Q28" s="12">
        <f>AVERAGE(N28:P28)</f>
        <v>8.1771653594450662</v>
      </c>
      <c r="R28" s="12">
        <f t="shared" si="25"/>
        <v>1.0685875579010702</v>
      </c>
      <c r="S28" s="30">
        <f>TTEST(N28:P28,N29:P29,2,2)</f>
        <v>3.883337552079805E-4</v>
      </c>
    </row>
    <row r="29" spans="1:19" ht="15" customHeight="1" x14ac:dyDescent="0.4">
      <c r="A29" s="28" t="s">
        <v>25</v>
      </c>
      <c r="B29" s="33"/>
      <c r="C29" s="28" t="s">
        <v>141</v>
      </c>
      <c r="D29" s="12">
        <f>0.200829205288626</f>
        <v>0.20082920528862599</v>
      </c>
      <c r="E29" s="12">
        <f>0.21923230467153</f>
        <v>0.21923230467152999</v>
      </c>
      <c r="F29" s="12">
        <f>0.109923559943816</f>
        <v>0.109923559943816</v>
      </c>
      <c r="G29" s="12">
        <f t="shared" ref="G29" si="28">AVERAGE(D29:F29)</f>
        <v>0.17666168996799067</v>
      </c>
      <c r="H29" s="12">
        <f t="shared" si="23"/>
        <v>5.8524798300096652E-2</v>
      </c>
      <c r="I29" s="12"/>
      <c r="K29" s="28" t="s">
        <v>25</v>
      </c>
      <c r="L29" s="33"/>
      <c r="M29" s="28" t="s">
        <v>141</v>
      </c>
      <c r="N29" s="12">
        <f>0.200829205288626/$G$25</f>
        <v>1.1874292817200072</v>
      </c>
      <c r="O29" s="12">
        <f>0.21923230467153/$G$25</f>
        <v>1.2962400448271858</v>
      </c>
      <c r="P29" s="12">
        <f>0.109923559943816/$G$25</f>
        <v>0.64993761062093891</v>
      </c>
      <c r="Q29" s="12">
        <f t="shared" ref="Q29" si="29">AVERAGE(N29:P29)</f>
        <v>1.0445356457227106</v>
      </c>
      <c r="R29" s="12">
        <f t="shared" si="25"/>
        <v>0.34603562319741848</v>
      </c>
      <c r="S29" s="12"/>
    </row>
    <row r="30" spans="1:19" ht="15" customHeight="1" x14ac:dyDescent="0.4">
      <c r="A30" s="28" t="s">
        <v>22</v>
      </c>
      <c r="B30" s="33"/>
      <c r="C30" s="28" t="s">
        <v>140</v>
      </c>
      <c r="D30" s="12">
        <f>0.653306256470032</f>
        <v>0.65330625647003204</v>
      </c>
      <c r="E30" s="12">
        <f>0.730646144284497</f>
        <v>0.73064614428449703</v>
      </c>
      <c r="F30" s="12">
        <f>0.708554770237706</f>
        <v>0.70855477023770597</v>
      </c>
      <c r="G30" s="12">
        <f>AVERAGE(D30:F30)</f>
        <v>0.69750239033074501</v>
      </c>
      <c r="H30" s="12">
        <f t="shared" si="23"/>
        <v>3.9836928696805343E-2</v>
      </c>
      <c r="I30" s="12">
        <f>TTEST(D30:F30,D31:F31,2,2)</f>
        <v>2.0899833935065295E-4</v>
      </c>
      <c r="K30" s="28" t="s">
        <v>22</v>
      </c>
      <c r="L30" s="33"/>
      <c r="M30" s="28" t="s">
        <v>140</v>
      </c>
      <c r="N30" s="12">
        <f>0.653306256470032/$G$24</f>
        <v>2.8174849063477017</v>
      </c>
      <c r="O30" s="12">
        <f>0.730646144284497/$G$24</f>
        <v>3.1510252091044304</v>
      </c>
      <c r="P30" s="12">
        <f>0.708554770237706/$G$24</f>
        <v>3.0557527204042243</v>
      </c>
      <c r="Q30" s="12">
        <f>AVERAGE(N30:P30)</f>
        <v>3.0080876119521185</v>
      </c>
      <c r="R30" s="12">
        <f t="shared" si="25"/>
        <v>0.17180295490350508</v>
      </c>
      <c r="S30" s="12">
        <f>TTEST(N30:P30,N31:P31,2,2)</f>
        <v>8.1353989221549599E-4</v>
      </c>
    </row>
    <row r="31" spans="1:19" ht="15" customHeight="1" x14ac:dyDescent="0.4">
      <c r="A31" s="28" t="s">
        <v>26</v>
      </c>
      <c r="B31" s="33"/>
      <c r="C31" s="28" t="s">
        <v>141</v>
      </c>
      <c r="D31" s="12">
        <f>0.176231456473715</f>
        <v>0.17623145647371499</v>
      </c>
      <c r="E31" s="12">
        <f>0.195990404466808</f>
        <v>0.19599040446680799</v>
      </c>
      <c r="F31" s="12">
        <f>0.080602909665874</f>
        <v>8.0602909665873995E-2</v>
      </c>
      <c r="G31" s="12">
        <f t="shared" ref="G31" si="30">AVERAGE(D31:F31)</f>
        <v>0.15094159020213235</v>
      </c>
      <c r="H31" s="12">
        <f t="shared" si="23"/>
        <v>6.1711032167148072E-2</v>
      </c>
      <c r="I31" s="12"/>
      <c r="K31" s="28" t="s">
        <v>26</v>
      </c>
      <c r="L31" s="33"/>
      <c r="M31" s="28" t="s">
        <v>141</v>
      </c>
      <c r="N31" s="12">
        <f>0.176231456473715/$G$25</f>
        <v>1.0419918331913338</v>
      </c>
      <c r="O31" s="12">
        <f>0.195990404466808/$G$25</f>
        <v>1.1588192308263638</v>
      </c>
      <c r="P31" s="12">
        <f>0.080602909665874/$G$25</f>
        <v>0.47657538151156525</v>
      </c>
      <c r="Q31" s="12">
        <f t="shared" ref="Q31" si="31">AVERAGE(N31:P31)</f>
        <v>0.89246214850975436</v>
      </c>
      <c r="R31" s="12">
        <f t="shared" si="25"/>
        <v>0.36487465304224376</v>
      </c>
      <c r="S31" s="12"/>
    </row>
    <row r="32" spans="1:19" ht="15" customHeight="1" x14ac:dyDescent="0.4"/>
    <row r="33" spans="1:19" ht="15" customHeight="1" x14ac:dyDescent="0.4">
      <c r="A33" s="11"/>
      <c r="B33" s="11" t="s">
        <v>15</v>
      </c>
      <c r="C33" s="11" t="s">
        <v>16</v>
      </c>
      <c r="D33" s="11">
        <v>1</v>
      </c>
      <c r="E33" s="11">
        <v>2</v>
      </c>
      <c r="F33" s="11">
        <v>3</v>
      </c>
      <c r="G33" s="11" t="s">
        <v>17</v>
      </c>
      <c r="H33" s="11" t="s">
        <v>13</v>
      </c>
      <c r="I33" s="11" t="s">
        <v>18</v>
      </c>
      <c r="K33" s="18" t="s">
        <v>37</v>
      </c>
      <c r="L33" s="11" t="s">
        <v>15</v>
      </c>
      <c r="M33" s="11" t="s">
        <v>16</v>
      </c>
      <c r="N33" s="11">
        <v>1</v>
      </c>
      <c r="O33" s="11">
        <v>2</v>
      </c>
      <c r="P33" s="11">
        <v>3</v>
      </c>
      <c r="Q33" s="11" t="s">
        <v>17</v>
      </c>
      <c r="R33" s="11" t="s">
        <v>13</v>
      </c>
      <c r="S33" s="11" t="s">
        <v>18</v>
      </c>
    </row>
    <row r="34" spans="1:19" ht="15" customHeight="1" x14ac:dyDescent="0.4">
      <c r="A34" s="28" t="s">
        <v>19</v>
      </c>
      <c r="B34" s="33" t="s">
        <v>29</v>
      </c>
      <c r="C34" s="28" t="s">
        <v>140</v>
      </c>
      <c r="D34" s="12">
        <f>0.045664735991979</f>
        <v>4.5664735991978997E-2</v>
      </c>
      <c r="E34" s="12">
        <f>0.016015852345598</f>
        <v>1.6015852345597999E-2</v>
      </c>
      <c r="F34" s="12">
        <f>0.020516137521291</f>
        <v>2.0516137521291E-2</v>
      </c>
      <c r="G34" s="12">
        <f>AVERAGE(D34:F34)</f>
        <v>2.7398908619622669E-2</v>
      </c>
      <c r="H34" s="12">
        <f>STDEV(D34:F34)</f>
        <v>1.5977905959892919E-2</v>
      </c>
      <c r="I34" s="12"/>
      <c r="K34" s="28" t="s">
        <v>19</v>
      </c>
      <c r="L34" s="33" t="s">
        <v>29</v>
      </c>
      <c r="M34" s="28" t="s">
        <v>140</v>
      </c>
      <c r="N34" s="12">
        <f>0.045664735991979/$G$34</f>
        <v>1.6666625895921501</v>
      </c>
      <c r="O34" s="12">
        <f>0.016015852345598/$G$34</f>
        <v>0.58454344178248385</v>
      </c>
      <c r="P34" s="12">
        <f>0.020516137521291/$G$34</f>
        <v>0.74879396862536574</v>
      </c>
      <c r="Q34" s="12">
        <f>AVERAGE(N34:P34)</f>
        <v>0.99999999999999989</v>
      </c>
      <c r="R34" s="12">
        <f>STDEV(N34:P34)</f>
        <v>0.5831584820298209</v>
      </c>
      <c r="S34" s="12"/>
    </row>
    <row r="35" spans="1:19" ht="15" customHeight="1" x14ac:dyDescent="0.4">
      <c r="A35" s="28" t="s">
        <v>23</v>
      </c>
      <c r="B35" s="33"/>
      <c r="C35" s="28" t="s">
        <v>141</v>
      </c>
      <c r="D35" s="12">
        <f>0.0226473763233516</f>
        <v>2.2647376323351599E-2</v>
      </c>
      <c r="E35" s="12">
        <f>0.0409543570716421</f>
        <v>4.0954357071642099E-2</v>
      </c>
      <c r="F35" s="12">
        <f>0.0963836282562913</f>
        <v>9.6383628256291307E-2</v>
      </c>
      <c r="G35" s="12">
        <f t="shared" ref="G35" si="32">AVERAGE(D35:F35)</f>
        <v>5.3328453883761673E-2</v>
      </c>
      <c r="H35" s="12">
        <f t="shared" ref="H35:H41" si="33">STDEV(D35:F35)</f>
        <v>3.839397630118907E-2</v>
      </c>
      <c r="I35" s="12"/>
      <c r="K35" s="28" t="s">
        <v>23</v>
      </c>
      <c r="L35" s="33"/>
      <c r="M35" s="28" t="s">
        <v>141</v>
      </c>
      <c r="N35" s="12">
        <f>0.0226473763233516/$G$35</f>
        <v>0.42467715964005559</v>
      </c>
      <c r="O35" s="12">
        <f>0.0409543570716421/$G$35</f>
        <v>0.76796445591520435</v>
      </c>
      <c r="P35" s="12">
        <f>0.0963836282562913/$G$35</f>
        <v>1.8073583844447398</v>
      </c>
      <c r="Q35" s="12">
        <f t="shared" ref="Q35" si="34">AVERAGE(N35:P35)</f>
        <v>1</v>
      </c>
      <c r="R35" s="12">
        <f t="shared" ref="R35:R41" si="35">STDEV(N35:P35)</f>
        <v>0.71995292390953636</v>
      </c>
      <c r="S35" s="12"/>
    </row>
    <row r="36" spans="1:19" ht="15" customHeight="1" x14ac:dyDescent="0.4">
      <c r="A36" s="28" t="s">
        <v>20</v>
      </c>
      <c r="B36" s="33"/>
      <c r="C36" s="28" t="s">
        <v>140</v>
      </c>
      <c r="D36" s="12">
        <f>0.102924465352283</f>
        <v>0.102924465352283</v>
      </c>
      <c r="E36" s="12">
        <f>0.062954661833777</f>
        <v>6.2954661833777001E-2</v>
      </c>
      <c r="F36" s="12">
        <f>0.0870066632867915</f>
        <v>8.7006663286791505E-2</v>
      </c>
      <c r="G36" s="12">
        <f>AVERAGE(D36:F36)</f>
        <v>8.4295263490950512E-2</v>
      </c>
      <c r="H36" s="12">
        <f t="shared" si="33"/>
        <v>2.0122377219569634E-2</v>
      </c>
      <c r="I36" s="12">
        <f>TTEST(D36:F36,D37:F37,2,2)</f>
        <v>1.8277714971103529E-5</v>
      </c>
      <c r="K36" s="28" t="s">
        <v>20</v>
      </c>
      <c r="L36" s="33"/>
      <c r="M36" s="28" t="s">
        <v>140</v>
      </c>
      <c r="N36" s="12">
        <f>0.102924465352283/$G$34</f>
        <v>3.7565169759561194</v>
      </c>
      <c r="O36" s="12">
        <f>0.062954661833777/$G$34</f>
        <v>2.2977069162780395</v>
      </c>
      <c r="P36" s="12">
        <f>0.0870066632867915/$G$34</f>
        <v>3.1755521540912288</v>
      </c>
      <c r="Q36" s="12">
        <f>AVERAGE(N36:P36)</f>
        <v>3.0765920154417956</v>
      </c>
      <c r="R36" s="12">
        <f t="shared" si="35"/>
        <v>0.7344225822614856</v>
      </c>
      <c r="S36" s="25">
        <f>TTEST(N36:P36,N37:P37,2,2)</f>
        <v>9.5142221377378321E-5</v>
      </c>
    </row>
    <row r="37" spans="1:19" ht="15" customHeight="1" x14ac:dyDescent="0.4">
      <c r="A37" s="28" t="s">
        <v>24</v>
      </c>
      <c r="B37" s="33"/>
      <c r="C37" s="28" t="s">
        <v>141</v>
      </c>
      <c r="D37" s="12">
        <f>0.666640018137009</f>
        <v>0.66664001813700902</v>
      </c>
      <c r="E37" s="12">
        <f>0.60201820208408</f>
        <v>0.60201820208407997</v>
      </c>
      <c r="F37" s="12">
        <f>0.65826908532383</f>
        <v>0.65826908532382999</v>
      </c>
      <c r="G37" s="12">
        <f t="shared" ref="G37" si="36">AVERAGE(D37:F37)</f>
        <v>0.64230910184830636</v>
      </c>
      <c r="H37" s="12">
        <f t="shared" si="33"/>
        <v>3.5143073028676516E-2</v>
      </c>
      <c r="I37" s="12"/>
      <c r="K37" s="28" t="s">
        <v>24</v>
      </c>
      <c r="L37" s="33"/>
      <c r="M37" s="28" t="s">
        <v>141</v>
      </c>
      <c r="N37" s="12">
        <f>0.666640018137009/$G$35</f>
        <v>12.50064401998346</v>
      </c>
      <c r="O37" s="12">
        <f>0.60201820208408/$G$35</f>
        <v>11.288874104549887</v>
      </c>
      <c r="P37" s="12">
        <f>0.65826908532383/$G$35</f>
        <v>12.343674668660713</v>
      </c>
      <c r="Q37" s="12">
        <f t="shared" ref="Q37" si="37">AVERAGE(N37:P37)</f>
        <v>12.044397597731352</v>
      </c>
      <c r="R37" s="12">
        <f t="shared" si="35"/>
        <v>0.65899291033782359</v>
      </c>
      <c r="S37" s="12"/>
    </row>
    <row r="38" spans="1:19" ht="15" customHeight="1" x14ac:dyDescent="0.4">
      <c r="A38" s="28" t="s">
        <v>21</v>
      </c>
      <c r="B38" s="33"/>
      <c r="C38" s="28" t="s">
        <v>140</v>
      </c>
      <c r="D38" s="12">
        <f>0.0560040044991283</f>
        <v>5.6004004499128297E-2</v>
      </c>
      <c r="E38" s="12">
        <f>0.0354366788063878</f>
        <v>3.5436678806387803E-2</v>
      </c>
      <c r="F38" s="12">
        <f>0.0492977636390753</f>
        <v>4.9297763639075301E-2</v>
      </c>
      <c r="G38" s="12">
        <f>AVERAGE(D38:F38)</f>
        <v>4.6912815648197138E-2</v>
      </c>
      <c r="H38" s="12">
        <f t="shared" si="33"/>
        <v>1.048902780181322E-2</v>
      </c>
      <c r="I38" s="30">
        <f>TTEST(D38:F38,D39:F39,2,2)</f>
        <v>5.1635605472795845E-2</v>
      </c>
      <c r="K38" s="28" t="s">
        <v>21</v>
      </c>
      <c r="L38" s="33"/>
      <c r="M38" s="28" t="s">
        <v>140</v>
      </c>
      <c r="N38" s="12">
        <f>0.0560040044991283/$G$34</f>
        <v>2.0440231863476162</v>
      </c>
      <c r="O38" s="12">
        <f>0.0354366788063878/$G$34</f>
        <v>1.2933609618672406</v>
      </c>
      <c r="P38" s="12">
        <f>0.0492977636390753/$G$34</f>
        <v>1.7992601210315733</v>
      </c>
      <c r="Q38" s="12">
        <f>AVERAGE(N38:P38)</f>
        <v>1.7122147564154766</v>
      </c>
      <c r="R38" s="12">
        <f t="shared" si="35"/>
        <v>0.38282648215780241</v>
      </c>
      <c r="S38" s="30">
        <f>TTEST(N38:P38,N39:P39,2,2)</f>
        <v>0.29038483378880869</v>
      </c>
    </row>
    <row r="39" spans="1:19" ht="15" customHeight="1" x14ac:dyDescent="0.4">
      <c r="A39" s="28" t="s">
        <v>25</v>
      </c>
      <c r="B39" s="33"/>
      <c r="C39" s="28" t="s">
        <v>141</v>
      </c>
      <c r="D39" s="12">
        <f>0.0627919538347063</f>
        <v>6.2791953834706302E-2</v>
      </c>
      <c r="E39" s="12">
        <f>0.070335017039525</f>
        <v>7.0335017039524994E-2</v>
      </c>
      <c r="F39" s="12">
        <f>0.089125490144941</f>
        <v>8.9125490144941005E-2</v>
      </c>
      <c r="G39" s="12">
        <f>AVERAGE(D39:F39)</f>
        <v>7.4084153673057443E-2</v>
      </c>
      <c r="H39" s="12">
        <f t="shared" si="33"/>
        <v>1.3561187365908762E-2</v>
      </c>
      <c r="I39" s="12"/>
      <c r="K39" s="28" t="s">
        <v>25</v>
      </c>
      <c r="L39" s="33"/>
      <c r="M39" s="28" t="s">
        <v>141</v>
      </c>
      <c r="N39" s="12">
        <f>0.0627919538347063/$G$35</f>
        <v>1.1774568595514117</v>
      </c>
      <c r="O39" s="12">
        <f>0.070335017039525/$G$35</f>
        <v>1.318902235433864</v>
      </c>
      <c r="P39" s="12">
        <f>0.089125490144941/$G$35</f>
        <v>1.671255842879019</v>
      </c>
      <c r="Q39" s="12">
        <f>AVERAGE(N39:P39)</f>
        <v>1.3892049792880983</v>
      </c>
      <c r="R39" s="12">
        <f t="shared" si="35"/>
        <v>0.25429552852718335</v>
      </c>
      <c r="S39" s="12"/>
    </row>
    <row r="40" spans="1:19" ht="15" customHeight="1" x14ac:dyDescent="0.4">
      <c r="A40" s="28" t="s">
        <v>22</v>
      </c>
      <c r="B40" s="33"/>
      <c r="C40" s="28" t="s">
        <v>140</v>
      </c>
      <c r="D40" s="12">
        <f>0.0424919605966776</f>
        <v>4.2491960596677598E-2</v>
      </c>
      <c r="E40" s="12">
        <f>0.0149783567394725</f>
        <v>1.4978356739472501E-2</v>
      </c>
      <c r="F40" s="12">
        <f>0.0233661475821825</f>
        <v>2.33661475821825E-2</v>
      </c>
      <c r="G40" s="12">
        <f>AVERAGE(D40:F40)</f>
        <v>2.6945488306110866E-2</v>
      </c>
      <c r="H40" s="12">
        <f t="shared" si="33"/>
        <v>1.4101714765101501E-2</v>
      </c>
      <c r="I40" s="12">
        <f>TTEST(D40:F40,D41:F41,2,2)</f>
        <v>0.30990745319566998</v>
      </c>
      <c r="K40" s="28" t="s">
        <v>22</v>
      </c>
      <c r="L40" s="33"/>
      <c r="M40" s="28" t="s">
        <v>140</v>
      </c>
      <c r="N40" s="12">
        <f>0.0424919605966776/$G$34</f>
        <v>1.5508632546861929</v>
      </c>
      <c r="O40" s="12">
        <f>0.0149783567394725/$G$34</f>
        <v>0.54667713037099719</v>
      </c>
      <c r="P40" s="12">
        <f>0.0233661475821825/$G$34</f>
        <v>0.85281307757813507</v>
      </c>
      <c r="Q40" s="12">
        <f>AVERAGE(N40:P40)</f>
        <v>0.98345115421177509</v>
      </c>
      <c r="R40" s="12">
        <f t="shared" si="35"/>
        <v>0.51468162330385936</v>
      </c>
      <c r="S40" s="12">
        <f>TTEST(N40:P40,N41:P41,2,2)</f>
        <v>0.90563451339864343</v>
      </c>
    </row>
    <row r="41" spans="1:19" ht="15" customHeight="1" x14ac:dyDescent="0.4">
      <c r="A41" s="28" t="s">
        <v>26</v>
      </c>
      <c r="B41" s="33"/>
      <c r="C41" s="28" t="s">
        <v>141</v>
      </c>
      <c r="D41" s="12">
        <f>0.02163918279218</f>
        <v>2.1639182792179999E-2</v>
      </c>
      <c r="E41" s="12">
        <f>0.0450468462857124</f>
        <v>4.50468462857124E-2</v>
      </c>
      <c r="F41" s="12">
        <f>0.10144398247487</f>
        <v>0.10144398247487001</v>
      </c>
      <c r="G41" s="12">
        <f t="shared" ref="G41" si="38">AVERAGE(D41:F41)</f>
        <v>5.6043337184254138E-2</v>
      </c>
      <c r="H41" s="12">
        <f t="shared" si="33"/>
        <v>4.1023086453360051E-2</v>
      </c>
      <c r="I41" s="12"/>
      <c r="K41" s="28" t="s">
        <v>26</v>
      </c>
      <c r="L41" s="33"/>
      <c r="M41" s="28" t="s">
        <v>141</v>
      </c>
      <c r="N41" s="12">
        <f>0.02163918279218/$G$35</f>
        <v>0.40577180128541196</v>
      </c>
      <c r="O41" s="12">
        <f>0.0450468462857124/$G$35</f>
        <v>0.84470564970624451</v>
      </c>
      <c r="P41" s="12">
        <f>0.10144398247487/$G$35</f>
        <v>1.9022487075283341</v>
      </c>
      <c r="Q41" s="12">
        <f t="shared" ref="Q41" si="39">AVERAGE(N41:P41)</f>
        <v>1.0509087195066635</v>
      </c>
      <c r="R41" s="12">
        <f t="shared" si="35"/>
        <v>0.76925324973374953</v>
      </c>
      <c r="S41" s="12"/>
    </row>
  </sheetData>
  <mergeCells count="8">
    <mergeCell ref="B4:B11"/>
    <mergeCell ref="L4:L11"/>
    <mergeCell ref="L14:L21"/>
    <mergeCell ref="L24:L31"/>
    <mergeCell ref="L34:L41"/>
    <mergeCell ref="B14:B21"/>
    <mergeCell ref="B24:B31"/>
    <mergeCell ref="B34:B41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6D499-A099-41F3-81AF-C40E389BF900}">
  <dimension ref="A1:S35"/>
  <sheetViews>
    <sheetView zoomScaleNormal="100" workbookViewId="0"/>
  </sheetViews>
  <sheetFormatPr defaultRowHeight="15" x14ac:dyDescent="0.4"/>
  <cols>
    <col min="1" max="1" width="19.5" style="17" customWidth="1"/>
    <col min="2" max="2" width="15" style="17" customWidth="1"/>
    <col min="3" max="3" width="21.625" style="17" customWidth="1"/>
    <col min="4" max="9" width="12.625" style="17" customWidth="1"/>
    <col min="10" max="10" width="6.75" style="17" customWidth="1"/>
    <col min="11" max="11" width="17.375" style="17" customWidth="1"/>
    <col min="12" max="19" width="12.625" style="17" customWidth="1"/>
    <col min="20" max="16384" width="9" style="17"/>
  </cols>
  <sheetData>
    <row r="1" spans="1:19" ht="15" customHeight="1" x14ac:dyDescent="0.4">
      <c r="A1" s="17" t="s">
        <v>136</v>
      </c>
    </row>
    <row r="2" spans="1:19" ht="15" customHeight="1" x14ac:dyDescent="0.4"/>
    <row r="3" spans="1:19" ht="15" customHeight="1" x14ac:dyDescent="0.4">
      <c r="A3" s="11"/>
      <c r="B3" s="11" t="s">
        <v>15</v>
      </c>
      <c r="C3" s="11" t="s">
        <v>16</v>
      </c>
      <c r="D3" s="11">
        <v>1</v>
      </c>
      <c r="E3" s="11">
        <v>2</v>
      </c>
      <c r="F3" s="11">
        <v>3</v>
      </c>
      <c r="G3" s="11" t="s">
        <v>17</v>
      </c>
      <c r="H3" s="11" t="s">
        <v>13</v>
      </c>
      <c r="I3" s="11" t="s">
        <v>18</v>
      </c>
      <c r="K3" s="18" t="s">
        <v>37</v>
      </c>
      <c r="L3" s="11" t="s">
        <v>15</v>
      </c>
      <c r="M3" s="11" t="s">
        <v>16</v>
      </c>
      <c r="N3" s="11">
        <v>1</v>
      </c>
      <c r="O3" s="11">
        <v>2</v>
      </c>
      <c r="P3" s="11">
        <v>3</v>
      </c>
      <c r="Q3" s="11" t="s">
        <v>17</v>
      </c>
      <c r="R3" s="11" t="s">
        <v>13</v>
      </c>
      <c r="S3" s="11" t="s">
        <v>18</v>
      </c>
    </row>
    <row r="4" spans="1:19" ht="15" customHeight="1" x14ac:dyDescent="0.2">
      <c r="A4" s="19" t="s">
        <v>139</v>
      </c>
      <c r="B4" s="33" t="s">
        <v>14</v>
      </c>
      <c r="C4" s="19" t="s">
        <v>27</v>
      </c>
      <c r="D4" s="12">
        <f>0.675346493721008</f>
        <v>0.67534649372100797</v>
      </c>
      <c r="E4" s="12">
        <f>0.361355309989361</f>
        <v>0.361355309989361</v>
      </c>
      <c r="F4" s="12">
        <f>0.757338906756673</f>
        <v>0.75733890675667304</v>
      </c>
      <c r="G4" s="12">
        <f>AVERAGE(D4:F4)</f>
        <v>0.59801357015568068</v>
      </c>
      <c r="H4" s="12">
        <f>STDEV(D4:F4)</f>
        <v>0.20901205235001372</v>
      </c>
      <c r="I4" s="34">
        <f>TTEST(D4:F4,D5:F5,2,2)</f>
        <v>2.065830802421207E-2</v>
      </c>
      <c r="K4" s="19" t="s">
        <v>139</v>
      </c>
      <c r="L4" s="33" t="s">
        <v>14</v>
      </c>
      <c r="M4" s="19" t="s">
        <v>27</v>
      </c>
      <c r="N4" s="12">
        <f>0.675346493721008/$G$4</f>
        <v>1.1293163356563887</v>
      </c>
      <c r="O4" s="12">
        <f>0.361355309989361/$G$4</f>
        <v>0.60425938143057434</v>
      </c>
      <c r="P4" s="12">
        <f>0.757338906756673/$G$4</f>
        <v>1.266424282913037</v>
      </c>
      <c r="Q4" s="12">
        <f>AVERAGE(N4:P4)</f>
        <v>1</v>
      </c>
      <c r="R4" s="12">
        <f>STDEV(N4:P4)</f>
        <v>0.34951055089870559</v>
      </c>
      <c r="S4" s="34">
        <f>TTEST(N4:P4,N5:P5,2,2)</f>
        <v>2.0658308024212087E-2</v>
      </c>
    </row>
    <row r="5" spans="1:19" ht="15" customHeight="1" x14ac:dyDescent="0.2">
      <c r="A5" s="19" t="s">
        <v>28</v>
      </c>
      <c r="B5" s="33"/>
      <c r="C5" s="19" t="s">
        <v>28</v>
      </c>
      <c r="D5" s="12">
        <f>0.106164455413818</f>
        <v>0.106164455413818</v>
      </c>
      <c r="E5" s="12">
        <f>0.10037020074111</f>
        <v>0.10037020074111</v>
      </c>
      <c r="F5" s="12">
        <f>0.198594479980613</f>
        <v>0.198594479980613</v>
      </c>
      <c r="G5" s="12">
        <f t="shared" ref="G5" si="0">AVERAGE(D5:F5)</f>
        <v>0.13504304537851367</v>
      </c>
      <c r="H5" s="12">
        <f t="shared" ref="H5" si="1">STDEV(D5:F5)</f>
        <v>5.511335570251303E-2</v>
      </c>
      <c r="I5" s="35"/>
      <c r="K5" s="19" t="s">
        <v>28</v>
      </c>
      <c r="L5" s="33"/>
      <c r="M5" s="19" t="s">
        <v>28</v>
      </c>
      <c r="N5" s="12">
        <f>0.106164455413818/$G$4</f>
        <v>0.17752850555913011</v>
      </c>
      <c r="O5" s="12">
        <f>0.10037020074111/$G$4</f>
        <v>0.16783933634646561</v>
      </c>
      <c r="P5" s="12">
        <f>0.198594479980613/$G$4</f>
        <v>0.33209025662898078</v>
      </c>
      <c r="Q5" s="12">
        <f t="shared" ref="Q5" si="2">AVERAGE(N5:P5)</f>
        <v>0.22581936617819218</v>
      </c>
      <c r="R5" s="12">
        <f t="shared" ref="R5" si="3">STDEV(N5:P5)</f>
        <v>9.216071081491585E-2</v>
      </c>
      <c r="S5" s="35"/>
    </row>
    <row r="6" spans="1:19" ht="15" customHeight="1" x14ac:dyDescent="0.2">
      <c r="A6" s="20"/>
      <c r="B6" s="21"/>
      <c r="C6" s="22"/>
      <c r="D6" s="14"/>
      <c r="E6" s="14"/>
      <c r="F6" s="14"/>
      <c r="G6" s="14"/>
      <c r="H6" s="14"/>
      <c r="I6" s="14"/>
      <c r="K6" s="20"/>
      <c r="L6" s="21"/>
      <c r="M6" s="22"/>
      <c r="N6" s="14"/>
      <c r="O6" s="14"/>
      <c r="P6" s="14"/>
      <c r="Q6" s="14"/>
      <c r="R6" s="14"/>
      <c r="S6" s="14"/>
    </row>
    <row r="7" spans="1:19" ht="15" customHeight="1" x14ac:dyDescent="0.2">
      <c r="A7" s="20"/>
      <c r="B7" s="21"/>
      <c r="C7" s="22"/>
      <c r="D7" s="14"/>
      <c r="E7" s="14"/>
      <c r="F7" s="14"/>
      <c r="G7" s="14"/>
      <c r="H7" s="14"/>
      <c r="I7" s="14"/>
      <c r="K7" s="20"/>
      <c r="L7" s="21"/>
      <c r="M7" s="22"/>
      <c r="N7" s="14"/>
      <c r="O7" s="14"/>
      <c r="P7" s="14"/>
      <c r="Q7" s="14"/>
      <c r="R7" s="14"/>
      <c r="S7" s="14"/>
    </row>
    <row r="8" spans="1:19" ht="15" customHeight="1" x14ac:dyDescent="0.2">
      <c r="A8" s="20"/>
      <c r="B8" s="21"/>
      <c r="C8" s="22"/>
      <c r="D8" s="14"/>
      <c r="E8" s="14"/>
      <c r="F8" s="14"/>
      <c r="G8" s="14"/>
      <c r="H8" s="14"/>
      <c r="I8" s="14"/>
      <c r="K8" s="20"/>
      <c r="L8" s="21"/>
      <c r="M8" s="22"/>
      <c r="N8" s="14"/>
      <c r="O8" s="14"/>
      <c r="P8" s="14"/>
      <c r="Q8" s="14"/>
      <c r="R8" s="14"/>
      <c r="S8" s="14"/>
    </row>
    <row r="9" spans="1:19" ht="15" customHeight="1" x14ac:dyDescent="0.2">
      <c r="B9" s="23"/>
      <c r="C9" s="24"/>
      <c r="L9" s="23"/>
      <c r="M9" s="24"/>
    </row>
    <row r="10" spans="1:19" ht="15" customHeight="1" x14ac:dyDescent="0.4"/>
    <row r="11" spans="1:19" ht="15" customHeight="1" x14ac:dyDescent="0.4">
      <c r="A11" s="11"/>
      <c r="B11" s="11" t="s">
        <v>15</v>
      </c>
      <c r="C11" s="11" t="s">
        <v>16</v>
      </c>
      <c r="D11" s="11">
        <v>1</v>
      </c>
      <c r="E11" s="11">
        <v>2</v>
      </c>
      <c r="F11" s="11">
        <v>3</v>
      </c>
      <c r="G11" s="11" t="s">
        <v>17</v>
      </c>
      <c r="H11" s="11" t="s">
        <v>13</v>
      </c>
      <c r="I11" s="11" t="s">
        <v>18</v>
      </c>
      <c r="K11" s="18" t="s">
        <v>37</v>
      </c>
      <c r="L11" s="11" t="s">
        <v>15</v>
      </c>
      <c r="M11" s="11" t="s">
        <v>16</v>
      </c>
      <c r="N11" s="11">
        <v>1</v>
      </c>
      <c r="O11" s="11">
        <v>2</v>
      </c>
      <c r="P11" s="11">
        <v>3</v>
      </c>
      <c r="Q11" s="11" t="s">
        <v>17</v>
      </c>
      <c r="R11" s="11" t="s">
        <v>13</v>
      </c>
      <c r="S11" s="11" t="s">
        <v>18</v>
      </c>
    </row>
    <row r="12" spans="1:19" ht="15" customHeight="1" x14ac:dyDescent="0.2">
      <c r="A12" s="19" t="s">
        <v>139</v>
      </c>
      <c r="B12" s="33" t="s">
        <v>2</v>
      </c>
      <c r="C12" s="19" t="s">
        <v>27</v>
      </c>
      <c r="D12" s="12">
        <f>1.00548413145344</f>
        <v>1.00548413145344</v>
      </c>
      <c r="E12" s="12">
        <f>1.67932909876439</f>
        <v>1.6793290987643901</v>
      </c>
      <c r="F12" s="12">
        <f>1.31167183277897</f>
        <v>1.31167183277897</v>
      </c>
      <c r="G12" s="12">
        <f>AVERAGE(D12:F12)</f>
        <v>1.3321616876655999</v>
      </c>
      <c r="H12" s="12">
        <f>STDEV(D12:F12)</f>
        <v>0.3373894420510678</v>
      </c>
      <c r="I12" s="36">
        <f>TTEST(D12:F12,D13:F13,2,2)</f>
        <v>4.0410138148589446E-3</v>
      </c>
      <c r="K12" s="19" t="s">
        <v>139</v>
      </c>
      <c r="L12" s="33" t="s">
        <v>2</v>
      </c>
      <c r="M12" s="19" t="s">
        <v>27</v>
      </c>
      <c r="N12" s="12">
        <f>1.00548413145344/$G$12</f>
        <v>0.75477634641737068</v>
      </c>
      <c r="O12" s="12">
        <f>1.67932909876439/$G$12</f>
        <v>1.2606045604772986</v>
      </c>
      <c r="P12" s="12">
        <f>1.31167183277897/$G$12</f>
        <v>0.9846190931053308</v>
      </c>
      <c r="Q12" s="12">
        <f>AVERAGE(N12:P12)</f>
        <v>1</v>
      </c>
      <c r="R12" s="12">
        <f>STDEV(N12:P12)</f>
        <v>0.25326463384657738</v>
      </c>
      <c r="S12" s="36">
        <f>TTEST(N12:P12,N13:P13,2,2)</f>
        <v>4.0410138148589412E-3</v>
      </c>
    </row>
    <row r="13" spans="1:19" ht="15" customHeight="1" x14ac:dyDescent="0.2">
      <c r="A13" s="19" t="s">
        <v>28</v>
      </c>
      <c r="B13" s="33"/>
      <c r="C13" s="19" t="s">
        <v>28</v>
      </c>
      <c r="D13" s="12">
        <f>0.200705469398005</f>
        <v>0.20070546939800499</v>
      </c>
      <c r="E13" s="12">
        <f>0.179093861995266</f>
        <v>0.179093861995266</v>
      </c>
      <c r="F13" s="12">
        <f>0.126252152398704</f>
        <v>0.12625215239870399</v>
      </c>
      <c r="G13" s="12">
        <f t="shared" ref="G13" si="4">AVERAGE(D13:F13)</f>
        <v>0.16868382793065831</v>
      </c>
      <c r="H13" s="12">
        <f t="shared" ref="H13" si="5">STDEV(D13:F13)</f>
        <v>3.8302750684113082E-2</v>
      </c>
      <c r="I13" s="37"/>
      <c r="K13" s="19" t="s">
        <v>28</v>
      </c>
      <c r="L13" s="33"/>
      <c r="M13" s="19" t="s">
        <v>28</v>
      </c>
      <c r="N13" s="12">
        <f>0.200705469398005/$G$12</f>
        <v>0.15066149346308644</v>
      </c>
      <c r="O13" s="12">
        <f>0.179093861995266/$G$12</f>
        <v>0.13443853223935551</v>
      </c>
      <c r="P13" s="12">
        <f>0.126252152398704/$G$12</f>
        <v>9.4772394047708028E-2</v>
      </c>
      <c r="Q13" s="12">
        <f t="shared" ref="Q13" si="6">AVERAGE(N13:P13)</f>
        <v>0.12662413991671667</v>
      </c>
      <c r="R13" s="12">
        <f t="shared" ref="R13" si="7">STDEV(N13:P13)</f>
        <v>2.8752328669076468E-2</v>
      </c>
      <c r="S13" s="37"/>
    </row>
    <row r="14" spans="1:19" ht="15" customHeight="1" x14ac:dyDescent="0.2">
      <c r="A14" s="20"/>
      <c r="B14" s="21"/>
      <c r="C14" s="22"/>
      <c r="D14" s="14"/>
      <c r="E14" s="14"/>
      <c r="F14" s="14"/>
      <c r="G14" s="14"/>
      <c r="H14" s="14"/>
      <c r="I14" s="14"/>
      <c r="J14" s="2"/>
      <c r="K14" s="20"/>
      <c r="L14" s="21"/>
      <c r="M14" s="22"/>
      <c r="N14" s="14"/>
      <c r="O14" s="14"/>
      <c r="P14" s="14"/>
      <c r="Q14" s="14"/>
      <c r="R14" s="14"/>
      <c r="S14" s="14"/>
    </row>
    <row r="15" spans="1:19" ht="15" customHeight="1" x14ac:dyDescent="0.2">
      <c r="A15" s="20"/>
      <c r="B15" s="21"/>
      <c r="C15" s="22"/>
      <c r="D15" s="14"/>
      <c r="E15" s="14"/>
      <c r="F15" s="14"/>
      <c r="G15" s="14"/>
      <c r="H15" s="14"/>
      <c r="I15" s="14"/>
      <c r="K15" s="20"/>
      <c r="L15" s="21"/>
      <c r="M15" s="22"/>
      <c r="N15" s="14"/>
      <c r="O15" s="14"/>
      <c r="P15" s="14"/>
      <c r="Q15" s="14"/>
      <c r="R15" s="14"/>
      <c r="S15" s="14"/>
    </row>
    <row r="16" spans="1:19" ht="15" customHeight="1" x14ac:dyDescent="0.2">
      <c r="A16" s="20"/>
      <c r="B16" s="21"/>
      <c r="C16" s="22"/>
      <c r="D16" s="14"/>
      <c r="E16" s="14"/>
      <c r="F16" s="14"/>
      <c r="G16" s="14"/>
      <c r="H16" s="14"/>
      <c r="I16" s="14"/>
      <c r="K16" s="20"/>
      <c r="L16" s="21"/>
      <c r="M16" s="22"/>
      <c r="N16" s="14"/>
      <c r="O16" s="14"/>
      <c r="P16" s="14"/>
      <c r="Q16" s="14"/>
      <c r="R16" s="14"/>
      <c r="S16" s="14"/>
    </row>
    <row r="17" spans="1:19" ht="15" customHeight="1" x14ac:dyDescent="0.2">
      <c r="B17" s="23"/>
      <c r="C17" s="24"/>
      <c r="L17" s="23"/>
      <c r="M17" s="24"/>
    </row>
    <row r="18" spans="1:19" ht="15" customHeight="1" x14ac:dyDescent="0.4"/>
    <row r="19" spans="1:19" ht="15" customHeight="1" x14ac:dyDescent="0.4">
      <c r="A19" s="11"/>
      <c r="B19" s="11" t="s">
        <v>15</v>
      </c>
      <c r="C19" s="11" t="s">
        <v>16</v>
      </c>
      <c r="D19" s="11">
        <v>1</v>
      </c>
      <c r="E19" s="11">
        <v>2</v>
      </c>
      <c r="F19" s="11">
        <v>3</v>
      </c>
      <c r="G19" s="11" t="s">
        <v>17</v>
      </c>
      <c r="H19" s="11" t="s">
        <v>13</v>
      </c>
      <c r="I19" s="11" t="s">
        <v>18</v>
      </c>
      <c r="K19" s="18" t="s">
        <v>37</v>
      </c>
      <c r="L19" s="11" t="s">
        <v>15</v>
      </c>
      <c r="M19" s="11" t="s">
        <v>16</v>
      </c>
      <c r="N19" s="11">
        <v>1</v>
      </c>
      <c r="O19" s="11">
        <v>2</v>
      </c>
      <c r="P19" s="11">
        <v>3</v>
      </c>
      <c r="Q19" s="11" t="s">
        <v>17</v>
      </c>
      <c r="R19" s="11" t="s">
        <v>13</v>
      </c>
      <c r="S19" s="11" t="s">
        <v>18</v>
      </c>
    </row>
    <row r="20" spans="1:19" ht="15" customHeight="1" x14ac:dyDescent="0.2">
      <c r="A20" s="19" t="s">
        <v>139</v>
      </c>
      <c r="B20" s="33" t="s">
        <v>3</v>
      </c>
      <c r="C20" s="19" t="s">
        <v>27</v>
      </c>
      <c r="D20" s="12">
        <f>1.46141838258548</f>
        <v>1.4614183825854801</v>
      </c>
      <c r="E20" s="12">
        <f>1.69411649091529</f>
        <v>1.6941164909152899</v>
      </c>
      <c r="F20" s="12">
        <f>1.81996283951982</f>
        <v>1.81996283951982</v>
      </c>
      <c r="G20" s="12">
        <f>AVERAGE(D20:F20)</f>
        <v>1.6584992376735299</v>
      </c>
      <c r="H20" s="12">
        <f>STDEV(D20:F20)</f>
        <v>0.18190649643690829</v>
      </c>
      <c r="I20" s="34">
        <f>TTEST(D20:F20,D21:F21,2,2)</f>
        <v>2.8551335406509087E-3</v>
      </c>
      <c r="K20" s="19" t="s">
        <v>139</v>
      </c>
      <c r="L20" s="33" t="s">
        <v>3</v>
      </c>
      <c r="M20" s="19" t="s">
        <v>27</v>
      </c>
      <c r="N20" s="12">
        <f>1.46141838258548/$G$20</f>
        <v>0.88116916148571389</v>
      </c>
      <c r="O20" s="12">
        <f>1.69411649091529/$G$20</f>
        <v>1.0214755921695342</v>
      </c>
      <c r="P20" s="12">
        <f>1.81996283951982/$G$20</f>
        <v>1.097355246344752</v>
      </c>
      <c r="Q20" s="12">
        <f>AVERAGE(N20:P20)</f>
        <v>1</v>
      </c>
      <c r="R20" s="12">
        <f>STDEV(N20:P20)</f>
        <v>0.1096813868254041</v>
      </c>
      <c r="S20" s="34">
        <f>TTEST(N20:P20,N21:P21,2,2)</f>
        <v>2.8551335406509035E-3</v>
      </c>
    </row>
    <row r="21" spans="1:19" ht="15" customHeight="1" x14ac:dyDescent="0.2">
      <c r="A21" s="19" t="s">
        <v>28</v>
      </c>
      <c r="B21" s="33"/>
      <c r="C21" s="19" t="s">
        <v>28</v>
      </c>
      <c r="D21" s="12">
        <f>0.720767581945249</f>
        <v>0.72076758194524904</v>
      </c>
      <c r="E21" s="12">
        <f>0.184758766522118</f>
        <v>0.18475876652211801</v>
      </c>
      <c r="F21" s="12">
        <f>0.383915820089879</f>
        <v>0.38391582008987901</v>
      </c>
      <c r="G21" s="12">
        <f t="shared" ref="G21" si="8">AVERAGE(D21:F21)</f>
        <v>0.42981405618574869</v>
      </c>
      <c r="H21" s="12">
        <f t="shared" ref="H21" si="9">STDEV(D21:F21)</f>
        <v>0.2709360600037603</v>
      </c>
      <c r="I21" s="35"/>
      <c r="K21" s="19" t="s">
        <v>28</v>
      </c>
      <c r="L21" s="33"/>
      <c r="M21" s="19" t="s">
        <v>28</v>
      </c>
      <c r="N21" s="12">
        <f>0.720767581945249/$G$20</f>
        <v>0.43459024012354097</v>
      </c>
      <c r="O21" s="12">
        <f>0.184758766522118/$G$20</f>
        <v>0.111401176633213</v>
      </c>
      <c r="P21" s="12">
        <f>0.383915820089879/$G$20</f>
        <v>0.23148386889126299</v>
      </c>
      <c r="Q21" s="12">
        <f t="shared" ref="Q21" si="10">AVERAGE(N21:P21)</f>
        <v>0.25915842854933896</v>
      </c>
      <c r="R21" s="12">
        <f t="shared" ref="R21" si="11">STDEV(N21:P21)</f>
        <v>0.16336218543206418</v>
      </c>
      <c r="S21" s="35"/>
    </row>
    <row r="22" spans="1:19" ht="15" customHeight="1" x14ac:dyDescent="0.2">
      <c r="A22" s="20"/>
      <c r="B22" s="21"/>
      <c r="C22" s="22"/>
      <c r="D22" s="14"/>
      <c r="E22" s="14"/>
      <c r="F22" s="14"/>
      <c r="G22" s="14"/>
      <c r="H22" s="14"/>
      <c r="I22" s="14"/>
      <c r="K22" s="20"/>
      <c r="L22" s="21"/>
      <c r="M22" s="22"/>
      <c r="N22" s="14"/>
      <c r="O22" s="14"/>
      <c r="P22" s="14"/>
      <c r="Q22" s="14"/>
      <c r="R22" s="14"/>
      <c r="S22" s="14"/>
    </row>
    <row r="23" spans="1:19" ht="15" customHeight="1" x14ac:dyDescent="0.2">
      <c r="A23" s="20"/>
      <c r="B23" s="21"/>
      <c r="C23" s="22"/>
      <c r="D23" s="14"/>
      <c r="E23" s="14"/>
      <c r="F23" s="14"/>
      <c r="G23" s="14"/>
      <c r="H23" s="14"/>
      <c r="I23" s="14"/>
      <c r="K23" s="20"/>
      <c r="L23" s="21"/>
      <c r="M23" s="22"/>
      <c r="N23" s="14"/>
      <c r="O23" s="14"/>
      <c r="P23" s="14"/>
      <c r="Q23" s="14"/>
      <c r="R23" s="14"/>
      <c r="S23" s="14"/>
    </row>
    <row r="24" spans="1:19" ht="15" customHeight="1" x14ac:dyDescent="0.2">
      <c r="A24" s="20"/>
      <c r="B24" s="21"/>
      <c r="C24" s="22"/>
      <c r="D24" s="14"/>
      <c r="E24" s="14"/>
      <c r="F24" s="14"/>
      <c r="G24" s="14"/>
      <c r="H24" s="14"/>
      <c r="I24" s="14"/>
      <c r="K24" s="20"/>
      <c r="L24" s="21"/>
      <c r="M24" s="22"/>
      <c r="N24" s="14"/>
      <c r="O24" s="14"/>
      <c r="P24" s="14"/>
      <c r="Q24" s="14"/>
      <c r="R24" s="14"/>
      <c r="S24" s="14"/>
    </row>
    <row r="25" spans="1:19" ht="15" customHeight="1" x14ac:dyDescent="0.2">
      <c r="B25" s="23"/>
      <c r="C25" s="24"/>
      <c r="L25" s="23"/>
      <c r="M25" s="24"/>
    </row>
    <row r="26" spans="1:19" ht="15" customHeight="1" x14ac:dyDescent="0.4"/>
    <row r="27" spans="1:19" ht="15" customHeight="1" x14ac:dyDescent="0.4">
      <c r="A27" s="11"/>
      <c r="B27" s="11" t="s">
        <v>15</v>
      </c>
      <c r="C27" s="11" t="s">
        <v>16</v>
      </c>
      <c r="D27" s="11">
        <v>1</v>
      </c>
      <c r="E27" s="11">
        <v>2</v>
      </c>
      <c r="F27" s="11">
        <v>3</v>
      </c>
      <c r="G27" s="11" t="s">
        <v>17</v>
      </c>
      <c r="H27" s="11" t="s">
        <v>13</v>
      </c>
      <c r="I27" s="11" t="s">
        <v>18</v>
      </c>
      <c r="K27" s="18" t="s">
        <v>37</v>
      </c>
      <c r="L27" s="11" t="s">
        <v>15</v>
      </c>
      <c r="M27" s="11" t="s">
        <v>16</v>
      </c>
      <c r="N27" s="11">
        <v>1</v>
      </c>
      <c r="O27" s="11">
        <v>2</v>
      </c>
      <c r="P27" s="11">
        <v>3</v>
      </c>
      <c r="Q27" s="11" t="s">
        <v>17</v>
      </c>
      <c r="R27" s="11" t="s">
        <v>13</v>
      </c>
      <c r="S27" s="11" t="s">
        <v>18</v>
      </c>
    </row>
    <row r="28" spans="1:19" ht="15" customHeight="1" x14ac:dyDescent="0.2">
      <c r="A28" s="19" t="s">
        <v>139</v>
      </c>
      <c r="B28" s="33" t="s">
        <v>138</v>
      </c>
      <c r="C28" s="19" t="s">
        <v>27</v>
      </c>
      <c r="D28" s="12">
        <f>0.197323395326811</f>
        <v>0.19732339532681101</v>
      </c>
      <c r="E28" s="12">
        <f>0.216544050061182</f>
        <v>0.21654405006118199</v>
      </c>
      <c r="F28" s="12">
        <f>0.0315490166040737</f>
        <v>3.15490166040737E-2</v>
      </c>
      <c r="G28" s="12">
        <f>AVERAGE(D28:F28)</f>
        <v>0.14847215399735558</v>
      </c>
      <c r="H28" s="12">
        <f>STDEV(D28:F28)</f>
        <v>0.10171343783158969</v>
      </c>
      <c r="I28" s="36">
        <f>TTEST(D28:F28,D29:F29,2,2)</f>
        <v>1.8328195532475172E-4</v>
      </c>
      <c r="K28" s="19" t="s">
        <v>139</v>
      </c>
      <c r="L28" s="33" t="s">
        <v>29</v>
      </c>
      <c r="M28" s="19" t="s">
        <v>27</v>
      </c>
      <c r="N28" s="12">
        <f>0.197323395326811/$G$28</f>
        <v>1.3290262854967774</v>
      </c>
      <c r="O28" s="12">
        <f>0.216544050061182/$G$28</f>
        <v>1.4584825789288329</v>
      </c>
      <c r="P28" s="12">
        <f>0.0315490166040737/$G$28</f>
        <v>0.21249113557438937</v>
      </c>
      <c r="Q28" s="12">
        <f>AVERAGE(N28:P28)</f>
        <v>0.99999999999999989</v>
      </c>
      <c r="R28" s="12">
        <f>STDEV(N28:P28)</f>
        <v>0.6850674358331289</v>
      </c>
      <c r="S28" s="36">
        <f>TTEST(N28:P28,N29:P29,2,2)</f>
        <v>1.8328195532475188E-4</v>
      </c>
    </row>
    <row r="29" spans="1:19" ht="15" customHeight="1" x14ac:dyDescent="0.2">
      <c r="A29" s="19" t="s">
        <v>28</v>
      </c>
      <c r="B29" s="33"/>
      <c r="C29" s="19" t="s">
        <v>28</v>
      </c>
      <c r="D29" s="12">
        <f>1.03559343921413</f>
        <v>1.0355934392141299</v>
      </c>
      <c r="E29" s="12">
        <f>1.13469697404697</f>
        <v>1.1346969740469699</v>
      </c>
      <c r="F29" s="12">
        <f>1.02140601003576</f>
        <v>1.02140601003576</v>
      </c>
      <c r="G29" s="12">
        <f t="shared" ref="G29" si="12">AVERAGE(D29:F29)</f>
        <v>1.06389880776562</v>
      </c>
      <c r="H29" s="12">
        <f t="shared" ref="H29" si="13">STDEV(D29:F29)</f>
        <v>6.1722006191261086E-2</v>
      </c>
      <c r="I29" s="37"/>
      <c r="K29" s="19" t="s">
        <v>28</v>
      </c>
      <c r="L29" s="33"/>
      <c r="M29" s="19" t="s">
        <v>28</v>
      </c>
      <c r="N29" s="12">
        <f>1.03559343921413/$G$28</f>
        <v>6.9750011118756632</v>
      </c>
      <c r="O29" s="12">
        <f>1.13469697404697/$G$28</f>
        <v>7.6424901471233442</v>
      </c>
      <c r="P29" s="12">
        <f>1.02140601003576/$G$28</f>
        <v>6.8794449500204067</v>
      </c>
      <c r="Q29" s="12">
        <f>AVERAGE(N29:P29)</f>
        <v>7.1656454030064713</v>
      </c>
      <c r="R29" s="12">
        <f>STDEV(N29:P29)</f>
        <v>0.41571435807660223</v>
      </c>
      <c r="S29" s="37"/>
    </row>
    <row r="30" spans="1:19" ht="15" customHeight="1" x14ac:dyDescent="0.2">
      <c r="A30" s="20"/>
      <c r="B30" s="21"/>
      <c r="C30" s="22"/>
      <c r="D30" s="14"/>
      <c r="E30" s="14"/>
      <c r="F30" s="14"/>
      <c r="G30" s="14"/>
      <c r="H30" s="14"/>
      <c r="I30" s="14"/>
      <c r="K30" s="20"/>
      <c r="L30" s="21"/>
      <c r="M30" s="22"/>
      <c r="N30" s="14"/>
      <c r="O30" s="14"/>
      <c r="P30" s="14"/>
      <c r="Q30" s="14"/>
      <c r="R30" s="14"/>
      <c r="S30" s="14"/>
    </row>
    <row r="31" spans="1:19" ht="18" customHeight="1" x14ac:dyDescent="0.2">
      <c r="A31" s="20"/>
      <c r="B31" s="21"/>
      <c r="C31" s="22"/>
      <c r="D31" s="14"/>
      <c r="E31" s="14"/>
      <c r="F31" s="14"/>
      <c r="G31" s="14"/>
      <c r="H31" s="14"/>
      <c r="I31" s="14"/>
      <c r="K31" s="20"/>
      <c r="L31" s="21"/>
      <c r="M31" s="22"/>
      <c r="N31" s="14"/>
      <c r="O31" s="14"/>
      <c r="P31" s="14"/>
      <c r="Q31" s="14"/>
      <c r="R31" s="14"/>
      <c r="S31" s="14"/>
    </row>
    <row r="32" spans="1:19" x14ac:dyDescent="0.2">
      <c r="A32" s="20"/>
      <c r="B32" s="21"/>
      <c r="C32" s="22"/>
      <c r="D32" s="14"/>
      <c r="E32" s="14"/>
      <c r="F32" s="14"/>
      <c r="G32" s="14"/>
      <c r="H32" s="14"/>
      <c r="I32" s="14"/>
      <c r="K32" s="20"/>
      <c r="L32" s="21"/>
      <c r="M32" s="22"/>
      <c r="N32" s="14"/>
      <c r="O32" s="14"/>
      <c r="P32" s="14"/>
      <c r="Q32" s="14"/>
      <c r="R32" s="14"/>
      <c r="S32" s="14"/>
    </row>
    <row r="33" spans="2:13" x14ac:dyDescent="0.2">
      <c r="B33" s="23"/>
      <c r="C33" s="24"/>
      <c r="L33" s="23"/>
      <c r="M33" s="24"/>
    </row>
    <row r="35" spans="2:13" ht="18" customHeight="1" x14ac:dyDescent="0.4"/>
  </sheetData>
  <mergeCells count="16">
    <mergeCell ref="B4:B5"/>
    <mergeCell ref="B12:B13"/>
    <mergeCell ref="B20:B21"/>
    <mergeCell ref="B28:B29"/>
    <mergeCell ref="L4:L5"/>
    <mergeCell ref="L12:L13"/>
    <mergeCell ref="L20:L21"/>
    <mergeCell ref="I4:I5"/>
    <mergeCell ref="I12:I13"/>
    <mergeCell ref="I20:I21"/>
    <mergeCell ref="I28:I29"/>
    <mergeCell ref="S4:S5"/>
    <mergeCell ref="S12:S13"/>
    <mergeCell ref="S20:S21"/>
    <mergeCell ref="S28:S29"/>
    <mergeCell ref="L28:L29"/>
  </mergeCells>
  <phoneticPr fontId="1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7E27F-EDA7-41D4-8AB1-0BD54D6CDE98}">
  <dimension ref="A1:T26"/>
  <sheetViews>
    <sheetView zoomScaleNormal="100" workbookViewId="0"/>
  </sheetViews>
  <sheetFormatPr defaultRowHeight="15" x14ac:dyDescent="0.4"/>
  <cols>
    <col min="1" max="1" width="9" style="2"/>
    <col min="2" max="2" width="20.625" style="2" customWidth="1"/>
    <col min="3" max="10" width="12.625" style="2" customWidth="1"/>
    <col min="11" max="11" width="9" style="2"/>
    <col min="12" max="12" width="23" style="2" customWidth="1"/>
    <col min="13" max="20" width="12.625" style="2" customWidth="1"/>
    <col min="21" max="16384" width="9" style="2"/>
  </cols>
  <sheetData>
    <row r="1" spans="1:20" x14ac:dyDescent="0.4">
      <c r="A1" s="29" t="s">
        <v>137</v>
      </c>
    </row>
    <row r="3" spans="1:20" ht="15" customHeight="1" x14ac:dyDescent="0.4">
      <c r="B3" s="11"/>
      <c r="C3" s="11" t="s">
        <v>15</v>
      </c>
      <c r="D3" s="11" t="s">
        <v>16</v>
      </c>
      <c r="E3" s="11">
        <v>1</v>
      </c>
      <c r="F3" s="11">
        <v>2</v>
      </c>
      <c r="G3" s="11">
        <v>3</v>
      </c>
      <c r="H3" s="11" t="s">
        <v>17</v>
      </c>
      <c r="I3" s="11" t="s">
        <v>13</v>
      </c>
      <c r="J3" s="11" t="s">
        <v>18</v>
      </c>
      <c r="L3" s="18" t="s">
        <v>37</v>
      </c>
      <c r="M3" s="11" t="s">
        <v>15</v>
      </c>
      <c r="N3" s="11" t="s">
        <v>16</v>
      </c>
      <c r="O3" s="11">
        <v>1</v>
      </c>
      <c r="P3" s="11">
        <v>2</v>
      </c>
      <c r="Q3" s="11">
        <v>3</v>
      </c>
      <c r="R3" s="11" t="s">
        <v>17</v>
      </c>
      <c r="S3" s="11" t="s">
        <v>13</v>
      </c>
      <c r="T3" s="11" t="s">
        <v>18</v>
      </c>
    </row>
    <row r="4" spans="1:20" ht="15" customHeight="1" x14ac:dyDescent="0.4">
      <c r="A4" s="2" t="s">
        <v>30</v>
      </c>
      <c r="B4" s="28" t="s">
        <v>27</v>
      </c>
      <c r="C4" s="33" t="s">
        <v>33</v>
      </c>
      <c r="D4" s="28" t="s">
        <v>139</v>
      </c>
      <c r="E4" s="12">
        <f>0.28313015425543</f>
        <v>0.28313015425542998</v>
      </c>
      <c r="F4" s="12">
        <f>0.300435049000332</f>
        <v>0.30043504900033202</v>
      </c>
      <c r="G4" s="12">
        <f>0.248061087369405</f>
        <v>0.24806108736940499</v>
      </c>
      <c r="H4" s="12">
        <f>AVERAGE(E4:G4)</f>
        <v>0.27720876354172236</v>
      </c>
      <c r="I4" s="12">
        <f>STDEV(E4:G4)</f>
        <v>2.6684360873323189E-2</v>
      </c>
      <c r="J4" s="12">
        <f>TTEST(E4:G4,E5:G5,2,2)</f>
        <v>0.90829324778328646</v>
      </c>
      <c r="L4" s="28" t="s">
        <v>139</v>
      </c>
      <c r="M4" s="33" t="s">
        <v>33</v>
      </c>
      <c r="N4" s="28" t="s">
        <v>27</v>
      </c>
      <c r="O4" s="12">
        <f>0.28313015425543/$H$4</f>
        <v>1.0213607630511161</v>
      </c>
      <c r="P4" s="12">
        <f>0.300435049000332/$H$4</f>
        <v>1.083786259719433</v>
      </c>
      <c r="Q4" s="12">
        <f>0.248061087369405/$H$4</f>
        <v>0.89485297722945045</v>
      </c>
      <c r="R4" s="12">
        <f>AVERAGE(O4:Q4)</f>
        <v>0.99999999999999989</v>
      </c>
      <c r="S4" s="12">
        <f>STDEV(O4:Q4)</f>
        <v>9.626088487389016E-2</v>
      </c>
      <c r="T4" s="12">
        <f>TTEST(O4:Q4,O5:Q5,2,2)</f>
        <v>0.90829324778328646</v>
      </c>
    </row>
    <row r="5" spans="1:20" ht="15" customHeight="1" x14ac:dyDescent="0.4">
      <c r="B5" s="28" t="s">
        <v>34</v>
      </c>
      <c r="C5" s="33"/>
      <c r="D5" s="28" t="s">
        <v>28</v>
      </c>
      <c r="E5" s="12">
        <f>0.331862555813352</f>
        <v>0.331862555813352</v>
      </c>
      <c r="F5" s="12">
        <f>0.245096975358264</f>
        <v>0.245096975358264</v>
      </c>
      <c r="G5" s="12">
        <f>0.242462404162448</f>
        <v>0.24246240416244799</v>
      </c>
      <c r="H5" s="12">
        <f t="shared" ref="H5" si="0">AVERAGE(E5:G5)</f>
        <v>0.27314064511135466</v>
      </c>
      <c r="I5" s="12">
        <f t="shared" ref="I5" si="1">STDEV(E5:G5)</f>
        <v>5.0871724353676519E-2</v>
      </c>
      <c r="J5" s="12"/>
      <c r="L5" s="28" t="s">
        <v>34</v>
      </c>
      <c r="M5" s="33"/>
      <c r="N5" s="28" t="s">
        <v>28</v>
      </c>
      <c r="O5" s="12">
        <f>0.331862555813352/$H$4</f>
        <v>1.197157519745597</v>
      </c>
      <c r="P5" s="12">
        <f>0.245096975358264/$H$4</f>
        <v>0.88416027050088097</v>
      </c>
      <c r="Q5" s="12">
        <f>0.242462404162448/$H$4</f>
        <v>0.87465634586965457</v>
      </c>
      <c r="R5" s="12">
        <f>AVERAGE(O5:Q5)</f>
        <v>0.98532471203871086</v>
      </c>
      <c r="S5" s="12">
        <f t="shared" ref="S5" si="2">STDEV(O5:Q5)</f>
        <v>0.18351412741690015</v>
      </c>
      <c r="T5" s="12"/>
    </row>
    <row r="6" spans="1:20" ht="15" customHeight="1" x14ac:dyDescent="0.4">
      <c r="B6" s="26"/>
      <c r="C6" s="21"/>
      <c r="D6" s="26"/>
      <c r="E6" s="14"/>
      <c r="F6" s="14"/>
      <c r="G6" s="14"/>
      <c r="H6" s="14"/>
      <c r="I6" s="14"/>
      <c r="J6" s="14"/>
      <c r="L6" s="26"/>
      <c r="M6" s="21"/>
      <c r="N6" s="26"/>
      <c r="O6" s="14"/>
      <c r="P6" s="14"/>
      <c r="Q6" s="14"/>
      <c r="R6" s="14"/>
      <c r="S6" s="14"/>
      <c r="T6" s="14"/>
    </row>
    <row r="7" spans="1:20" ht="15" customHeight="1" x14ac:dyDescent="0.4">
      <c r="B7" s="26"/>
      <c r="C7" s="21"/>
      <c r="D7" s="26"/>
      <c r="E7" s="14"/>
      <c r="F7" s="14"/>
      <c r="G7" s="14"/>
      <c r="H7" s="14"/>
      <c r="I7" s="14"/>
      <c r="J7" s="14"/>
      <c r="L7" s="26"/>
      <c r="M7" s="21"/>
      <c r="N7" s="26"/>
      <c r="O7" s="14"/>
      <c r="P7" s="14"/>
      <c r="Q7" s="14"/>
      <c r="R7" s="14"/>
      <c r="S7" s="14"/>
      <c r="T7" s="14"/>
    </row>
    <row r="8" spans="1:20" ht="15" customHeight="1" x14ac:dyDescent="0.4">
      <c r="B8" s="26"/>
      <c r="C8" s="21"/>
      <c r="D8" s="26"/>
      <c r="E8" s="14"/>
      <c r="F8" s="14"/>
      <c r="G8" s="14"/>
      <c r="H8" s="14"/>
      <c r="I8" s="14"/>
      <c r="J8" s="14"/>
      <c r="L8" s="26"/>
      <c r="M8" s="21"/>
      <c r="N8" s="26"/>
      <c r="O8" s="14"/>
      <c r="P8" s="14"/>
      <c r="Q8" s="14"/>
      <c r="R8" s="14"/>
      <c r="S8" s="14"/>
      <c r="T8" s="14"/>
    </row>
    <row r="9" spans="1:20" ht="15" customHeight="1" x14ac:dyDescent="0.4">
      <c r="C9" s="27"/>
      <c r="D9" s="16"/>
      <c r="M9" s="27"/>
      <c r="N9" s="16"/>
    </row>
    <row r="10" spans="1:20" ht="15" customHeight="1" x14ac:dyDescent="0.4"/>
    <row r="11" spans="1:20" ht="15" customHeight="1" x14ac:dyDescent="0.4">
      <c r="B11" s="11"/>
      <c r="C11" s="11" t="s">
        <v>15</v>
      </c>
      <c r="D11" s="11" t="s">
        <v>16</v>
      </c>
      <c r="E11" s="11">
        <v>1</v>
      </c>
      <c r="F11" s="11">
        <v>2</v>
      </c>
      <c r="G11" s="11">
        <v>3</v>
      </c>
      <c r="H11" s="11" t="s">
        <v>17</v>
      </c>
      <c r="I11" s="11" t="s">
        <v>13</v>
      </c>
      <c r="J11" s="11" t="s">
        <v>18</v>
      </c>
      <c r="L11" s="18" t="s">
        <v>37</v>
      </c>
      <c r="M11" s="11" t="s">
        <v>15</v>
      </c>
      <c r="N11" s="11" t="s">
        <v>16</v>
      </c>
      <c r="O11" s="11">
        <v>1</v>
      </c>
      <c r="P11" s="11">
        <v>2</v>
      </c>
      <c r="Q11" s="11">
        <v>3</v>
      </c>
      <c r="R11" s="11" t="s">
        <v>17</v>
      </c>
      <c r="S11" s="11" t="s">
        <v>13</v>
      </c>
      <c r="T11" s="11" t="s">
        <v>18</v>
      </c>
    </row>
    <row r="12" spans="1:20" ht="15" customHeight="1" x14ac:dyDescent="0.4">
      <c r="A12" s="2" t="s">
        <v>31</v>
      </c>
      <c r="B12" s="28" t="s">
        <v>27</v>
      </c>
      <c r="C12" s="33" t="s">
        <v>33</v>
      </c>
      <c r="D12" s="28" t="s">
        <v>139</v>
      </c>
      <c r="E12" s="12">
        <f>0.247693056107038</f>
        <v>0.24769305610703801</v>
      </c>
      <c r="F12" s="12">
        <f>0.314939072494615</f>
        <v>0.314939072494615</v>
      </c>
      <c r="G12" s="12">
        <f>0.301388770175501</f>
        <v>0.30138877017550098</v>
      </c>
      <c r="H12" s="12">
        <f>AVERAGE(E12:G12)</f>
        <v>0.28800696625905137</v>
      </c>
      <c r="I12" s="12">
        <f>STDEV(E12:G12)</f>
        <v>3.5564184048608345E-2</v>
      </c>
      <c r="J12" s="25">
        <f>TTEST(E12:G12,E13:G13,2,2)</f>
        <v>0.45295444264947216</v>
      </c>
      <c r="L12" s="28" t="s">
        <v>139</v>
      </c>
      <c r="M12" s="33" t="s">
        <v>33</v>
      </c>
      <c r="N12" s="28" t="s">
        <v>27</v>
      </c>
      <c r="O12" s="12">
        <f>0.247693056107038/$H$12</f>
        <v>0.8600245310880692</v>
      </c>
      <c r="P12" s="12">
        <f>0.314939072494615/$H$12</f>
        <v>1.0935119958568613</v>
      </c>
      <c r="Q12" s="12">
        <f>0.301388770175501/$H$12</f>
        <v>1.046463473055069</v>
      </c>
      <c r="R12" s="12">
        <f>AVERAGE(O12:Q12)</f>
        <v>0.99999999999999989</v>
      </c>
      <c r="S12" s="12">
        <f>STDEV(O12:Q12)</f>
        <v>0.12348376329418354</v>
      </c>
      <c r="T12" s="25">
        <f>TTEST(O12:Q12,O13:Q13,2,2)</f>
        <v>0.4529544426494726</v>
      </c>
    </row>
    <row r="13" spans="1:20" ht="15" customHeight="1" x14ac:dyDescent="0.4">
      <c r="B13" s="28" t="s">
        <v>35</v>
      </c>
      <c r="C13" s="33"/>
      <c r="D13" s="28" t="s">
        <v>28</v>
      </c>
      <c r="E13" s="12">
        <f>0.265670006011885</f>
        <v>0.26567000601188501</v>
      </c>
      <c r="F13" s="12">
        <f>0.280729110479582</f>
        <v>0.28072911047958199</v>
      </c>
      <c r="G13" s="12">
        <f>0.264875305815642</f>
        <v>0.264875305815642</v>
      </c>
      <c r="H13" s="12">
        <f t="shared" ref="H13" si="3">AVERAGE(E13:G13)</f>
        <v>0.27042480743570302</v>
      </c>
      <c r="I13" s="12">
        <f t="shared" ref="I13" si="4">STDEV(E13:G13)</f>
        <v>8.9326302406148844E-3</v>
      </c>
      <c r="J13" s="12"/>
      <c r="L13" s="28" t="s">
        <v>35</v>
      </c>
      <c r="M13" s="33"/>
      <c r="N13" s="28" t="s">
        <v>28</v>
      </c>
      <c r="O13" s="12">
        <f>0.265670006011885/$H$12</f>
        <v>0.92244298623292631</v>
      </c>
      <c r="P13" s="12">
        <f>0.280729110479582/$H$12</f>
        <v>0.97473027866651241</v>
      </c>
      <c r="Q13" s="12">
        <f>0.264875305815642/$H$12</f>
        <v>0.91968367729479394</v>
      </c>
      <c r="R13" s="12">
        <f t="shared" ref="R13" si="5">AVERAGE(O13:Q13)</f>
        <v>0.93895231406474433</v>
      </c>
      <c r="S13" s="12">
        <f t="shared" ref="S13" si="6">STDEV(O13:Q13)</f>
        <v>3.1015327013237299E-2</v>
      </c>
      <c r="T13" s="12"/>
    </row>
    <row r="14" spans="1:20" ht="15" customHeight="1" x14ac:dyDescent="0.4">
      <c r="B14" s="26"/>
      <c r="C14" s="21"/>
      <c r="D14" s="26"/>
      <c r="E14" s="14"/>
      <c r="F14" s="14"/>
      <c r="G14" s="14"/>
      <c r="H14" s="14"/>
      <c r="I14" s="14"/>
      <c r="J14" s="14"/>
      <c r="L14" s="26"/>
      <c r="M14" s="21"/>
      <c r="N14" s="26"/>
      <c r="O14" s="14"/>
      <c r="P14" s="14"/>
      <c r="Q14" s="14"/>
      <c r="R14" s="14"/>
      <c r="S14" s="14"/>
      <c r="T14" s="14"/>
    </row>
    <row r="15" spans="1:20" ht="15" customHeight="1" x14ac:dyDescent="0.4">
      <c r="B15" s="26"/>
      <c r="C15" s="21"/>
      <c r="D15" s="26"/>
      <c r="E15" s="14"/>
      <c r="F15" s="14"/>
      <c r="G15" s="14"/>
      <c r="H15" s="14"/>
      <c r="I15" s="14"/>
      <c r="J15" s="14"/>
      <c r="L15" s="26"/>
      <c r="M15" s="21"/>
      <c r="N15" s="26"/>
      <c r="O15" s="14"/>
      <c r="P15" s="14"/>
      <c r="Q15" s="14"/>
      <c r="R15" s="14"/>
      <c r="S15" s="14"/>
      <c r="T15" s="14"/>
    </row>
    <row r="16" spans="1:20" ht="15" customHeight="1" x14ac:dyDescent="0.4">
      <c r="B16" s="26"/>
      <c r="C16" s="21"/>
      <c r="D16" s="26"/>
      <c r="E16" s="14"/>
      <c r="F16" s="14"/>
      <c r="G16" s="14"/>
      <c r="H16" s="14"/>
      <c r="I16" s="14"/>
      <c r="J16" s="14"/>
      <c r="L16" s="26"/>
      <c r="M16" s="21"/>
      <c r="N16" s="26"/>
      <c r="O16" s="14"/>
      <c r="P16" s="14"/>
      <c r="Q16" s="14"/>
      <c r="R16" s="14"/>
      <c r="S16" s="14"/>
      <c r="T16" s="14"/>
    </row>
    <row r="17" spans="1:20" ht="15" customHeight="1" x14ac:dyDescent="0.4">
      <c r="C17" s="27"/>
      <c r="D17" s="16"/>
      <c r="M17" s="27"/>
      <c r="N17" s="16"/>
    </row>
    <row r="18" spans="1:20" ht="15" customHeight="1" x14ac:dyDescent="0.4"/>
    <row r="19" spans="1:20" ht="15" customHeight="1" x14ac:dyDescent="0.4">
      <c r="B19" s="11"/>
      <c r="C19" s="11" t="s">
        <v>15</v>
      </c>
      <c r="D19" s="11" t="s">
        <v>16</v>
      </c>
      <c r="E19" s="11">
        <v>1</v>
      </c>
      <c r="F19" s="11">
        <v>2</v>
      </c>
      <c r="G19" s="11">
        <v>3</v>
      </c>
      <c r="H19" s="11" t="s">
        <v>17</v>
      </c>
      <c r="I19" s="11" t="s">
        <v>13</v>
      </c>
      <c r="J19" s="11" t="s">
        <v>18</v>
      </c>
      <c r="L19" s="18" t="s">
        <v>37</v>
      </c>
      <c r="M19" s="11" t="s">
        <v>15</v>
      </c>
      <c r="N19" s="11" t="s">
        <v>16</v>
      </c>
      <c r="O19" s="11">
        <v>1</v>
      </c>
      <c r="P19" s="11">
        <v>2</v>
      </c>
      <c r="Q19" s="11">
        <v>3</v>
      </c>
      <c r="R19" s="11" t="s">
        <v>17</v>
      </c>
      <c r="S19" s="11" t="s">
        <v>13</v>
      </c>
      <c r="T19" s="11" t="s">
        <v>18</v>
      </c>
    </row>
    <row r="20" spans="1:20" ht="15" customHeight="1" x14ac:dyDescent="0.4">
      <c r="A20" s="2" t="s">
        <v>32</v>
      </c>
      <c r="B20" s="28" t="s">
        <v>27</v>
      </c>
      <c r="C20" s="33" t="s">
        <v>33</v>
      </c>
      <c r="D20" s="28" t="s">
        <v>139</v>
      </c>
      <c r="E20" s="12">
        <f>0.049030062941944</f>
        <v>4.9030062941944001E-2</v>
      </c>
      <c r="F20" s="12">
        <f>0.0372980152760778</f>
        <v>3.7298015276077803E-2</v>
      </c>
      <c r="G20" s="12">
        <f>0.0483385873592727</f>
        <v>4.8338587359272697E-2</v>
      </c>
      <c r="H20" s="12">
        <f>AVERAGE(E20:G20)</f>
        <v>4.4888888525764836E-2</v>
      </c>
      <c r="I20" s="12">
        <f>STDEV(E20:G20)</f>
        <v>6.5829744143485972E-3</v>
      </c>
      <c r="J20" s="12">
        <f>TTEST(E20:G20,E21:G21,2,2)</f>
        <v>0.76990253772934436</v>
      </c>
      <c r="L20" s="28" t="s">
        <v>139</v>
      </c>
      <c r="M20" s="33" t="s">
        <v>33</v>
      </c>
      <c r="N20" s="28" t="s">
        <v>27</v>
      </c>
      <c r="O20" s="12">
        <f>0.049030062941944/$H$20</f>
        <v>1.09225388625522</v>
      </c>
      <c r="P20" s="12">
        <f>0.0372980152760778/$H$20</f>
        <v>0.83089638663407528</v>
      </c>
      <c r="Q20" s="12">
        <f>0.0483385873592727/$H$20</f>
        <v>1.0768497271107045</v>
      </c>
      <c r="R20" s="12">
        <f>AVERAGE(O20:Q20)</f>
        <v>1</v>
      </c>
      <c r="S20" s="12">
        <f>STDEV(O20:Q20)</f>
        <v>0.14665042130793957</v>
      </c>
      <c r="T20" s="12">
        <f>TTEST(O20:Q20,O21:Q21,2,2)</f>
        <v>0.76990253772934336</v>
      </c>
    </row>
    <row r="21" spans="1:20" ht="15" customHeight="1" x14ac:dyDescent="0.4">
      <c r="B21" s="28" t="s">
        <v>36</v>
      </c>
      <c r="C21" s="33"/>
      <c r="D21" s="28" t="s">
        <v>28</v>
      </c>
      <c r="E21" s="12">
        <f>0.0428315340379543</f>
        <v>4.2831534037954297E-2</v>
      </c>
      <c r="F21" s="12">
        <f>0.036452290773133</f>
        <v>3.6452290773133E-2</v>
      </c>
      <c r="G21" s="12">
        <f>0.0502168823433255</f>
        <v>5.0216882343325497E-2</v>
      </c>
      <c r="H21" s="12">
        <f t="shared" ref="H21" si="7">AVERAGE(E21:G21)</f>
        <v>4.3166902384804272E-2</v>
      </c>
      <c r="I21" s="12">
        <f t="shared" ref="I21" si="8">STDEV(E21:G21)</f>
        <v>6.8884213880688744E-3</v>
      </c>
      <c r="J21" s="12"/>
      <c r="L21" s="28" t="s">
        <v>36</v>
      </c>
      <c r="M21" s="33"/>
      <c r="N21" s="28" t="s">
        <v>28</v>
      </c>
      <c r="O21" s="12">
        <f>0.0428315340379543/$H$20</f>
        <v>0.95416784519782261</v>
      </c>
      <c r="P21" s="12">
        <f>0.036452290773133/$H$20</f>
        <v>0.81205598913883803</v>
      </c>
      <c r="Q21" s="12">
        <f>0.0502168823433255/$H$20</f>
        <v>1.1186929325394759</v>
      </c>
      <c r="R21" s="12">
        <f t="shared" ref="R21" si="9">AVERAGE(O21:Q21)</f>
        <v>0.96163892229204551</v>
      </c>
      <c r="S21" s="12">
        <f t="shared" ref="S21" si="10">STDEV(O21:Q21)</f>
        <v>0.15345493315378336</v>
      </c>
      <c r="T21" s="12"/>
    </row>
    <row r="22" spans="1:20" x14ac:dyDescent="0.4">
      <c r="B22" s="26"/>
      <c r="C22" s="21"/>
      <c r="D22" s="26"/>
      <c r="E22" s="14"/>
      <c r="F22" s="14"/>
      <c r="G22" s="14"/>
      <c r="H22" s="14"/>
      <c r="I22" s="14"/>
      <c r="J22" s="14"/>
      <c r="L22" s="26"/>
      <c r="M22" s="21"/>
      <c r="N22" s="26"/>
      <c r="O22" s="14"/>
      <c r="P22" s="14"/>
      <c r="Q22" s="14"/>
      <c r="R22" s="14"/>
      <c r="S22" s="14"/>
      <c r="T22" s="14"/>
    </row>
    <row r="23" spans="1:20" x14ac:dyDescent="0.4">
      <c r="B23" s="26"/>
      <c r="C23" s="21"/>
      <c r="D23" s="26"/>
      <c r="E23" s="14"/>
      <c r="F23" s="14"/>
      <c r="G23" s="14"/>
      <c r="H23" s="14"/>
      <c r="I23" s="14"/>
      <c r="J23" s="14"/>
      <c r="L23" s="26"/>
      <c r="M23" s="21"/>
      <c r="N23" s="26"/>
      <c r="O23" s="14"/>
      <c r="P23" s="14"/>
      <c r="Q23" s="14"/>
      <c r="R23" s="14"/>
      <c r="S23" s="14"/>
      <c r="T23" s="14"/>
    </row>
    <row r="24" spans="1:20" x14ac:dyDescent="0.4">
      <c r="B24" s="26"/>
      <c r="C24" s="21"/>
      <c r="D24" s="26"/>
      <c r="E24" s="14"/>
      <c r="F24" s="14"/>
      <c r="G24" s="14"/>
      <c r="H24" s="14"/>
      <c r="I24" s="14"/>
      <c r="J24" s="14"/>
      <c r="L24" s="26"/>
      <c r="M24" s="21"/>
      <c r="N24" s="26"/>
      <c r="O24" s="14"/>
      <c r="P24" s="14"/>
      <c r="Q24" s="14"/>
      <c r="R24" s="14"/>
      <c r="S24" s="14"/>
      <c r="T24" s="14"/>
    </row>
    <row r="25" spans="1:20" ht="18" customHeight="1" x14ac:dyDescent="0.4">
      <c r="C25" s="27"/>
      <c r="D25" s="16"/>
      <c r="M25" s="27"/>
      <c r="N25" s="16"/>
    </row>
    <row r="26" spans="1:20" ht="18" customHeight="1" x14ac:dyDescent="0.4"/>
  </sheetData>
  <mergeCells count="6">
    <mergeCell ref="M4:M5"/>
    <mergeCell ref="M12:M13"/>
    <mergeCell ref="M20:M21"/>
    <mergeCell ref="C4:C5"/>
    <mergeCell ref="C12:C13"/>
    <mergeCell ref="C20:C21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Fig.1b</vt:lpstr>
      <vt:lpstr>Fig. 2b</vt:lpstr>
      <vt:lpstr>Fig.3a</vt:lpstr>
      <vt:lpstr>Fig.3b</vt:lpstr>
      <vt:lpstr>Fig.3c d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TK6</dc:creator>
  <cp:lastModifiedBy>yoda</cp:lastModifiedBy>
  <dcterms:created xsi:type="dcterms:W3CDTF">2018-02-26T01:57:05Z</dcterms:created>
  <dcterms:modified xsi:type="dcterms:W3CDTF">2019-06-14T03:39:29Z</dcterms:modified>
</cp:coreProperties>
</file>