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worksheets/_rels/sheet3.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charts/chart19.xml" ContentType="application/vnd.openxmlformats-officedocument.drawingml.chart+xml"/>
  <Override PartName="/xl/charts/chart18.xml" ContentType="application/vnd.openxmlformats-officedocument.drawingml.chart+xml"/>
  <Override PartName="/xl/charts/chart17.xml" ContentType="application/vnd.openxmlformats-officedocument.drawingml.chart+xml"/>
  <Override PartName="/xl/charts/chart16.xml" ContentType="application/vnd.openxmlformats-officedocument.drawingml.chart+xml"/>
  <Override PartName="/xl/charts/chart15.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20.xml" ContentType="application/vnd.openxmlformats-officedocument.drawingml.chart+xml"/>
  <Override PartName="/xl/charts/chart14.xml" ContentType="application/vnd.openxmlformats-officedocument.drawingml.char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3" firstSheet="0" activeTab="2"/>
  </bookViews>
  <sheets>
    <sheet name="Supplementary Data 1A" sheetId="1" state="visible" r:id="rId2"/>
    <sheet name="Supplementary Data 1B" sheetId="2" state="visible" r:id="rId3"/>
    <sheet name="Supplementary Data 1C"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<sst xmlns="http://schemas.openxmlformats.org/spreadsheetml/2006/main" count="824" uniqueCount="156">
  <si>
    <r>
      <rPr>
        <b val="true"/>
        <sz val="12"/>
        <color rgb="FF000000"/>
        <rFont val="AriaL"/>
        <family val="2"/>
        <charset val="1"/>
      </rPr>
      <t xml:space="preserve">Supplementary Data 1A: Analysis of dimer, decamer and, when applicable, stack interfaces in </t>
    </r>
    <r>
      <rPr>
        <b val="true"/>
        <i val="true"/>
        <sz val="12"/>
        <color rgb="FF000000"/>
        <rFont val="AriaL"/>
        <family val="2"/>
        <charset val="1"/>
      </rPr>
      <t xml:space="preserve">P. stuartii </t>
    </r>
    <r>
      <rPr>
        <b val="true"/>
        <sz val="12"/>
        <color rgb="FF000000"/>
        <rFont val="AriaL"/>
        <family val="2"/>
        <charset val="1"/>
      </rPr>
      <t xml:space="preserve">Adc isolated and stacked decamers,</t>
    </r>
    <r>
      <rPr>
        <b val="true"/>
        <i val="true"/>
        <sz val="12"/>
        <color rgb="FF000000"/>
        <rFont val="AriaL"/>
        <family val="2"/>
        <charset val="1"/>
      </rPr>
      <t xml:space="preserve"> E. coli </t>
    </r>
    <r>
      <rPr>
        <b val="true"/>
        <sz val="12"/>
        <color rgb="FF000000"/>
        <rFont val="AriaL"/>
        <family val="2"/>
        <charset val="1"/>
      </rPr>
      <t xml:space="preserve">Adc decamers and </t>
    </r>
    <r>
      <rPr>
        <b val="true"/>
        <i val="true"/>
        <sz val="12"/>
        <color rgb="FF000000"/>
        <rFont val="AriaL"/>
        <family val="2"/>
        <charset val="1"/>
      </rPr>
      <t xml:space="preserve">E. coli </t>
    </r>
    <r>
      <rPr>
        <b val="true"/>
        <sz val="12"/>
        <color rgb="FF000000"/>
        <rFont val="AriaL"/>
        <family val="2"/>
        <charset val="1"/>
      </rPr>
      <t xml:space="preserve">LdcI stacks</t>
    </r>
  </si>
  <si>
    <r>
      <rPr>
        <b val="true"/>
        <i val="true"/>
        <sz val="12"/>
        <color rgb="FF000000"/>
        <rFont val="Calibri"/>
        <family val="2"/>
        <charset val="1"/>
      </rPr>
      <t xml:space="preserve">P. stuartii Adc</t>
    </r>
    <r>
      <rPr>
        <b val="true"/>
        <sz val="12"/>
        <color rgb="FF000000"/>
        <rFont val="Calibri"/>
        <family val="2"/>
        <charset val="1"/>
      </rPr>
      <t xml:space="preserve"> decamers</t>
    </r>
  </si>
  <si>
    <t xml:space="preserve">Chain</t>
  </si>
  <si>
    <t xml:space="preserve">H</t>
  </si>
  <si>
    <t xml:space="preserve">G</t>
  </si>
  <si>
    <t xml:space="preserve">B</t>
  </si>
  <si>
    <t xml:space="preserve">A</t>
  </si>
  <si>
    <t xml:space="preserve">F</t>
  </si>
  <si>
    <t xml:space="preserve">E</t>
  </si>
  <si>
    <t xml:space="preserve">J</t>
  </si>
  <si>
    <t xml:space="preserve">I</t>
  </si>
  <si>
    <t xml:space="preserve">D</t>
  </si>
  <si>
    <t xml:space="preserve">C</t>
  </si>
  <si>
    <t xml:space="preserve">Mean </t>
  </si>
  <si>
    <t xml:space="preserve">Mean (% of overall accessible area)</t>
  </si>
  <si>
    <t xml:space="preserve">standard deviation</t>
  </si>
  <si>
    <t xml:space="preserve">standard deviation (%)</t>
  </si>
  <si>
    <t xml:space="preserve"># H-bonds</t>
  </si>
  <si>
    <t xml:space="preserve"># salt-bridges</t>
  </si>
  <si>
    <t xml:space="preserve">Monomer accessible surface area (Å2)</t>
  </si>
  <si>
    <t xml:space="preserve"> </t>
  </si>
  <si>
    <t xml:space="preserve">Dimer accessible surface area (Å2)</t>
  </si>
  <si>
    <t xml:space="preserve">BSA at dimer interface</t>
  </si>
  <si>
    <t xml:space="preserve">Summed BSA at Face-to-Back and Back-to-Face interfaces (Å2)</t>
  </si>
  <si>
    <t xml:space="preserve">BSA at Face-to-Face interface (Å2)</t>
  </si>
  <si>
    <t xml:space="preserve">BSA upon decamer formation (Å2)</t>
  </si>
  <si>
    <t xml:space="preserve">BSA in decamer (Å2)</t>
  </si>
  <si>
    <t xml:space="preserve">Dimer interface</t>
  </si>
  <si>
    <t xml:space="preserve">MEAN</t>
  </si>
  <si>
    <t xml:space="preserve">TOTAL</t>
  </si>
  <si>
    <t xml:space="preserve">SD</t>
  </si>
  <si>
    <t xml:space="preserve">BSA (Å2)</t>
  </si>
  <si>
    <t xml:space="preserve">HONDS</t>
  </si>
  <si>
    <t xml:space="preserve">SB</t>
  </si>
  <si>
    <t xml:space="preserve">∆G</t>
  </si>
  <si>
    <t xml:space="preserve">Face-to-Back interface</t>
  </si>
  <si>
    <t xml:space="preserve">I </t>
  </si>
  <si>
    <t xml:space="preserve">Face-to-Face interface</t>
  </si>
  <si>
    <r>
      <rPr>
        <b val="true"/>
        <i val="true"/>
        <sz val="12"/>
        <color rgb="FF000000"/>
        <rFont val="Calibri"/>
        <family val="2"/>
        <charset val="1"/>
      </rPr>
      <t xml:space="preserve">P. stuartii </t>
    </r>
    <r>
      <rPr>
        <b val="true"/>
        <sz val="12"/>
        <color rgb="FF000000"/>
        <rFont val="Calibri"/>
        <family val="2"/>
        <charset val="1"/>
      </rPr>
      <t xml:space="preserve">Adc stacks</t>
    </r>
  </si>
  <si>
    <t xml:space="preserve">K</t>
  </si>
  <si>
    <t xml:space="preserve">P</t>
  </si>
  <si>
    <t xml:space="preserve">L</t>
  </si>
  <si>
    <t xml:space="preserve">Q</t>
  </si>
  <si>
    <t xml:space="preserve">M</t>
  </si>
  <si>
    <t xml:space="preserve">R</t>
  </si>
  <si>
    <t xml:space="preserve">N</t>
  </si>
  <si>
    <t xml:space="preserve">S</t>
  </si>
  <si>
    <t xml:space="preserve">n.a.</t>
  </si>
  <si>
    <t xml:space="preserve">BSA in stack (Å2)</t>
  </si>
  <si>
    <t xml:space="preserve">Stacking interface (#2)</t>
  </si>
  <si>
    <t xml:space="preserve">T</t>
  </si>
  <si>
    <t xml:space="preserve">K </t>
  </si>
  <si>
    <r>
      <rPr>
        <b val="true"/>
        <i val="true"/>
        <sz val="12"/>
        <color rgb="FF000000"/>
        <rFont val="Calibri"/>
        <family val="2"/>
        <charset val="1"/>
      </rPr>
      <t xml:space="preserve">E. coli</t>
    </r>
    <r>
      <rPr>
        <b val="true"/>
        <sz val="12"/>
        <color rgb="FF000000"/>
        <rFont val="Calibri"/>
        <family val="2"/>
        <charset val="1"/>
      </rPr>
      <t xml:space="preserve"> Adc decamers</t>
    </r>
  </si>
  <si>
    <t xml:space="preserve">Mean # H-bonds</t>
  </si>
  <si>
    <t xml:space="preserve">Mean # salt-bridges</t>
  </si>
  <si>
    <r>
      <rPr>
        <b val="true"/>
        <i val="true"/>
        <sz val="12"/>
        <color rgb="FF000000"/>
        <rFont val="Calibri"/>
        <family val="2"/>
        <charset val="1"/>
      </rPr>
      <t xml:space="preserve">E. coli</t>
    </r>
    <r>
      <rPr>
        <b val="true"/>
        <sz val="12"/>
        <color rgb="FF000000"/>
        <rFont val="Calibri"/>
        <family val="2"/>
        <charset val="1"/>
      </rPr>
      <t xml:space="preserve"> LdcI stacks</t>
    </r>
  </si>
  <si>
    <t xml:space="preserve">BSA at dimer interface (Å2)</t>
  </si>
  <si>
    <t xml:space="preserve">BSA at Back-to-Back interface (Å2)</t>
  </si>
  <si>
    <t xml:space="preserve">BSA in stack [Å2)</t>
  </si>
  <si>
    <t xml:space="preserve">CHAIN</t>
  </si>
  <si>
    <t xml:space="preserve">Back-to-Back interface</t>
  </si>
  <si>
    <t xml:space="preserve">Stacking interface #2</t>
  </si>
  <si>
    <t xml:space="preserve">O</t>
  </si>
  <si>
    <t xml:space="preserve">HBONDS</t>
  </si>
  <si>
    <t xml:space="preserve">Stacking interface #1</t>
  </si>
  <si>
    <t xml:space="preserve">Stacking interface #3</t>
  </si>
  <si>
    <r>
      <rPr>
        <b val="true"/>
        <sz val="11"/>
        <color rgb="FF000000"/>
        <rFont val="Arial"/>
        <family val="2"/>
        <charset val="1"/>
      </rPr>
      <t xml:space="preserve">Supplementary Data 1B: Extensive characterisation of charged residues at various packing interfaces for </t>
    </r>
    <r>
      <rPr>
        <b val="true"/>
        <i val="true"/>
        <sz val="11"/>
        <color rgb="FF000000"/>
        <rFont val="Arial"/>
        <family val="2"/>
        <charset val="1"/>
      </rPr>
      <t xml:space="preserve">P. stuarti</t>
    </r>
    <r>
      <rPr>
        <b val="true"/>
        <sz val="12"/>
        <color rgb="FF000000"/>
        <rFont val="Liberation Serif;Times New Roman"/>
        <family val="1"/>
        <charset val="1"/>
      </rPr>
      <t xml:space="preserve">Supplementary Data 1B: Extensive characterisation of charged residues at various packing interfaces for </t>
    </r>
    <r>
      <rPr>
        <b val="true"/>
        <i val="true"/>
        <sz val="12"/>
        <color rgb="FF000000"/>
        <rFont val="Liberation Serif;Times New Roman"/>
        <family val="1"/>
        <charset val="1"/>
      </rPr>
      <t xml:space="preserve">P. stuartii </t>
    </r>
    <r>
      <rPr>
        <b val="true"/>
        <sz val="12"/>
        <color rgb="FF000000"/>
        <rFont val="Liberation Serif;Times New Roman"/>
        <family val="1"/>
        <charset val="1"/>
      </rPr>
      <t xml:space="preserve">Adc, </t>
    </r>
    <r>
      <rPr>
        <b val="true"/>
        <i val="true"/>
        <sz val="12"/>
        <color rgb="FF000000"/>
        <rFont val="Liberation Serif;Times New Roman"/>
        <family val="1"/>
        <charset val="1"/>
      </rPr>
      <t xml:space="preserve">E. coli</t>
    </r>
    <r>
      <rPr>
        <b val="true"/>
        <sz val="12"/>
        <color rgb="FF000000"/>
        <rFont val="Liberation Serif;Times New Roman"/>
        <family val="1"/>
        <charset val="1"/>
      </rPr>
      <t xml:space="preserve"> Adc and </t>
    </r>
    <r>
      <rPr>
        <b val="true"/>
        <i val="true"/>
        <sz val="12"/>
        <color rgb="FF000000"/>
        <rFont val="Liberation Serif;Times New Roman"/>
        <family val="1"/>
        <charset val="1"/>
      </rPr>
      <t xml:space="preserve">E. coli</t>
    </r>
    <r>
      <rPr>
        <b val="true"/>
        <sz val="12"/>
        <color rgb="FF000000"/>
        <rFont val="Liberation Serif;Times New Roman"/>
        <family val="1"/>
        <charset val="1"/>
      </rPr>
      <t xml:space="preserve"> LdcI.  </t>
    </r>
    <r>
      <rPr>
        <sz val="12"/>
        <color rgb="FF000000"/>
        <rFont val="Liberation Serif;Times New Roman"/>
        <family val="1"/>
        <charset val="1"/>
      </rPr>
      <t xml:space="preserve">A) list of residues; B) number of charged residues at each interface; C) charged residues at each interface expressed as a percentage of the total number of charged residues in a monomer; D) charged residues at each interface expressed as a percentage of the total number of residues forming the interface. Note that to avoid confusion, we deliberately ignore tyrosine, cysteine and histidine residues here, notwithstanding the fact that these are also titrable and involved in H-bonds and salt bridges that support the various interfaces. Also note that for this analysis, we used the structure of </t>
    </r>
    <r>
      <rPr>
        <i val="true"/>
        <sz val="12"/>
        <color rgb="FF000000"/>
        <rFont val="Liberation Serif;Times New Roman"/>
        <family val="1"/>
        <charset val="1"/>
      </rPr>
      <t xml:space="preserve">P. stuartii </t>
    </r>
    <r>
      <rPr>
        <sz val="12"/>
        <color rgb="FF000000"/>
        <rFont val="Liberation Serif;Times New Roman"/>
        <family val="1"/>
        <charset val="1"/>
      </rPr>
      <t xml:space="preserve">Adc from the stack, as it was solved to a higher resolution. </t>
    </r>
    <r>
      <rPr>
        <i val="true"/>
        <sz val="12"/>
        <color rgb="FF000000"/>
        <rFont val="Liberation Serif;Times New Roman"/>
        <family val="1"/>
        <charset val="1"/>
      </rPr>
      <t xml:space="preserve">P. stuartii </t>
    </r>
    <r>
      <rPr>
        <sz val="12"/>
        <color rgb="FF000000"/>
        <rFont val="Liberation Serif;Times New Roman"/>
        <family val="1"/>
        <charset val="1"/>
      </rPr>
      <t xml:space="preserve">Adc is overall more charged than </t>
    </r>
    <r>
      <rPr>
        <i val="true"/>
        <sz val="12"/>
        <color rgb="FF000000"/>
        <rFont val="Liberation Serif;Times New Roman"/>
        <family val="1"/>
        <charset val="1"/>
      </rPr>
      <t xml:space="preserve">E. coli </t>
    </r>
    <r>
      <rPr>
        <sz val="12"/>
        <color rgb="FF000000"/>
        <rFont val="Liberation Serif;Times New Roman"/>
        <family val="1"/>
        <charset val="1"/>
      </rPr>
      <t xml:space="preserve">Adc and LdcI, with a total of 175, 158 and 157 charged residues per monomer, respectively. All three proteins feature more acidic than basic residues, in line with their function and their low isoelectric points (Supplementary Data 1C). The excess of acidic vs. basic residues is most pronounced in </t>
    </r>
    <r>
      <rPr>
        <i val="true"/>
        <sz val="12"/>
        <color rgb="FF000000"/>
        <rFont val="Liberation Serif;Times New Roman"/>
        <family val="1"/>
        <charset val="1"/>
      </rPr>
      <t xml:space="preserve">E. coli </t>
    </r>
    <r>
      <rPr>
        <sz val="12"/>
        <color rgb="FF000000"/>
        <rFont val="Liberation Serif;Times New Roman"/>
        <family val="1"/>
        <charset val="1"/>
      </rPr>
      <t xml:space="preserve">Adc (34), explaining the lower pI of this protein, irrespective of the oligomeric state. In A), the structure-based predicted pKa, the buried surface area (expressed in percent of the residue accessible surface) and whether the considered residue supports the interface by engaging in inter-chain H-bonds (HB) or salt bridges (SB) are indicated in brackets for each residue involved. The residues are labelled in red, black or blue, depending on whether they are predicted to be positively charged, neutral or negatively charged at pH 5 (the optimal pH for function), respectively. Residues whose predicted pKa differ by more than one pH unit from the theoretical (model) pKa are shown in bold. It is noteworthy that most charged residues present at the interface are not involved in inter-chain polar contact, due to intra-chain H-bonds or salt-bridges. It is also important to note that the lists of residues predicted to be involved in H-bonds and/or salt bridges by PDB2PQR, following titration of charged residues by PROPKA, slightly differs from those produced by PISA due to consideration of the pH and residue environment for protonation by the PDB2PQR, and to different level of stringency (notably, distance and angle cut-off) in H-bond and salt-bridge attribution by the two programs. However, all residues listed below as involved in a salt bridge or a H-bond are also identified by PISA. B), C), D) Examination of the distribution of acidic residues at the various interfaces reveals interesting differences in the mode of assembly of the otherwise apparently-similar oligomers formed by </t>
    </r>
    <r>
      <rPr>
        <i val="true"/>
        <sz val="12"/>
        <color rgb="FF000000"/>
        <rFont val="Liberation Serif;Times New Roman"/>
        <family val="1"/>
        <charset val="1"/>
      </rPr>
      <t xml:space="preserve">P. stuartii </t>
    </r>
    <r>
      <rPr>
        <sz val="12"/>
        <color rgb="FF000000"/>
        <rFont val="Liberation Serif;Times New Roman"/>
        <family val="1"/>
        <charset val="1"/>
      </rPr>
      <t xml:space="preserve">Adc,</t>
    </r>
    <r>
      <rPr>
        <i val="true"/>
        <sz val="12"/>
        <color rgb="FF000000"/>
        <rFont val="Liberation Serif;Times New Roman"/>
        <family val="1"/>
        <charset val="1"/>
      </rPr>
      <t xml:space="preserve"> E. coli </t>
    </r>
    <r>
      <rPr>
        <sz val="12"/>
        <color rgb="FF000000"/>
        <rFont val="Liberation Serif;Times New Roman"/>
        <family val="1"/>
        <charset val="1"/>
      </rPr>
      <t xml:space="preserve">Adc, and </t>
    </r>
    <r>
      <rPr>
        <i val="true"/>
        <sz val="12"/>
        <color rgb="FF000000"/>
        <rFont val="Liberation Serif;Times New Roman"/>
        <family val="1"/>
        <charset val="1"/>
      </rPr>
      <t xml:space="preserve">E. coli </t>
    </r>
    <r>
      <rPr>
        <sz val="12"/>
        <color rgb="FF000000"/>
        <rFont val="Liberation Serif;Times New Roman"/>
        <family val="1"/>
        <charset val="1"/>
      </rPr>
      <t xml:space="preserve">LdcI. B) The dimerisation interfaces of </t>
    </r>
    <r>
      <rPr>
        <i val="true"/>
        <sz val="12"/>
        <color rgb="FF000000"/>
        <rFont val="Liberation Serif;Times New Roman"/>
        <family val="1"/>
        <charset val="1"/>
      </rPr>
      <t xml:space="preserve">E. coli </t>
    </r>
    <r>
      <rPr>
        <sz val="12"/>
        <color rgb="FF000000"/>
        <rFont val="Liberation Serif;Times New Roman"/>
        <family val="1"/>
        <charset val="1"/>
      </rPr>
      <t xml:space="preserve">Adc and </t>
    </r>
    <r>
      <rPr>
        <i val="true"/>
        <sz val="12"/>
        <color rgb="FF000000"/>
        <rFont val="Liberation Serif;Times New Roman"/>
        <family val="1"/>
        <charset val="1"/>
      </rPr>
      <t xml:space="preserve">E. coli </t>
    </r>
    <r>
      <rPr>
        <sz val="12"/>
        <color rgb="FF000000"/>
        <rFont val="Liberation Serif;Times New Roman"/>
        <family val="1"/>
        <charset val="1"/>
      </rPr>
      <t xml:space="preserve">LdcI feature nearly as many charged residues, notwithstanding a slight excess of acidic vs. basic residues in </t>
    </r>
    <r>
      <rPr>
        <i val="true"/>
        <sz val="12"/>
        <color rgb="FF000000"/>
        <rFont val="Liberation Serif;Times New Roman"/>
        <family val="1"/>
        <charset val="1"/>
      </rPr>
      <t xml:space="preserve">E. coli </t>
    </r>
    <r>
      <rPr>
        <sz val="12"/>
        <color rgb="FF000000"/>
        <rFont val="Liberation Serif;Times New Roman"/>
        <family val="1"/>
        <charset val="1"/>
      </rPr>
      <t xml:space="preserve">LdcI (13 vs. 10) that is not observed in </t>
    </r>
    <r>
      <rPr>
        <i val="true"/>
        <sz val="12"/>
        <color rgb="FF000000"/>
        <rFont val="Liberation Serif;Times New Roman"/>
        <family val="1"/>
        <charset val="1"/>
      </rPr>
      <t xml:space="preserve">E. coli </t>
    </r>
    <r>
      <rPr>
        <sz val="12"/>
        <color rgb="FF000000"/>
        <rFont val="Liberation Serif;Times New Roman"/>
        <family val="1"/>
        <charset val="1"/>
      </rPr>
      <t xml:space="preserve">Adc (13 vs. 13). Contrastingly, only 8 acidic and 8 basic residues are seen at the dimerisation interface of </t>
    </r>
    <r>
      <rPr>
        <i val="true"/>
        <sz val="12"/>
        <color rgb="FF000000"/>
        <rFont val="Liberation Serif;Times New Roman"/>
        <family val="1"/>
        <charset val="1"/>
      </rPr>
      <t xml:space="preserve">P. stuartii</t>
    </r>
    <r>
      <rPr>
        <sz val="12"/>
        <color rgb="FF000000"/>
        <rFont val="Liberation Serif;Times New Roman"/>
        <family val="1"/>
        <charset val="1"/>
      </rPr>
      <t xml:space="preserve"> Adc. The decamerisation interfaces of </t>
    </r>
    <r>
      <rPr>
        <i val="true"/>
        <sz val="12"/>
        <color rgb="FF000000"/>
        <rFont val="Liberation Serif;Times New Roman"/>
        <family val="1"/>
        <charset val="1"/>
      </rPr>
      <t xml:space="preserve">P. stuartii </t>
    </r>
    <r>
      <rPr>
        <sz val="12"/>
        <color rgb="FF000000"/>
        <rFont val="Liberation Serif;Times New Roman"/>
        <family val="1"/>
        <charset val="1"/>
      </rPr>
      <t xml:space="preserve">Adc and </t>
    </r>
    <r>
      <rPr>
        <i val="true"/>
        <sz val="12"/>
        <color rgb="FF000000"/>
        <rFont val="Liberation Serif;Times New Roman"/>
        <family val="1"/>
        <charset val="1"/>
      </rPr>
      <t xml:space="preserve">E. coli </t>
    </r>
    <r>
      <rPr>
        <sz val="12"/>
        <color rgb="FF000000"/>
        <rFont val="Liberation Serif;Times New Roman"/>
        <family val="1"/>
        <charset val="1"/>
      </rPr>
      <t xml:space="preserve">Adc are similar, with 15 vs. 15 and 15 vs. 14 acidic vs. basic residues per monomer, respectively, whereas 25 to 23 acidic vs. basic residues are involved in the decamerisation of </t>
    </r>
    <r>
      <rPr>
        <i val="true"/>
        <sz val="12"/>
        <color rgb="FF000000"/>
        <rFont val="Liberation Serif;Times New Roman"/>
        <family val="1"/>
        <charset val="1"/>
      </rPr>
      <t xml:space="preserve">E. coli </t>
    </r>
    <r>
      <rPr>
        <sz val="12"/>
        <color rgb="FF000000"/>
        <rFont val="Liberation Serif;Times New Roman"/>
        <family val="1"/>
        <charset val="1"/>
      </rPr>
      <t xml:space="preserve">LdcI. Hence, 23 vs. 23, 28 vs. 27 and 38 vs. 33 acidic vs. basic residues are buried in </t>
    </r>
    <r>
      <rPr>
        <i val="true"/>
        <sz val="12"/>
        <color rgb="FF000000"/>
        <rFont val="Liberation Serif;Times New Roman"/>
        <family val="1"/>
        <charset val="1"/>
      </rPr>
      <t xml:space="preserve">P. stuartii </t>
    </r>
    <r>
      <rPr>
        <sz val="12"/>
        <color rgb="FF000000"/>
        <rFont val="Liberation Serif;Times New Roman"/>
        <family val="1"/>
        <charset val="1"/>
      </rPr>
      <t xml:space="preserve">Adc, </t>
    </r>
    <r>
      <rPr>
        <i val="true"/>
        <sz val="12"/>
        <color rgb="FF000000"/>
        <rFont val="Liberation Serif;Times New Roman"/>
        <family val="1"/>
        <charset val="1"/>
      </rPr>
      <t xml:space="preserve">E. coli </t>
    </r>
    <r>
      <rPr>
        <sz val="12"/>
        <color rgb="FF000000"/>
        <rFont val="Liberation Serif;Times New Roman"/>
        <family val="1"/>
        <charset val="1"/>
      </rPr>
      <t xml:space="preserve">Adc, and </t>
    </r>
    <r>
      <rPr>
        <i val="true"/>
        <sz val="12"/>
        <color rgb="FF000000"/>
        <rFont val="Liberation Serif;Times New Roman"/>
        <family val="1"/>
        <charset val="1"/>
      </rPr>
      <t xml:space="preserve">E. coli </t>
    </r>
    <r>
      <rPr>
        <sz val="12"/>
        <color rgb="FF000000"/>
        <rFont val="Liberation Serif;Times New Roman"/>
        <family val="1"/>
        <charset val="1"/>
      </rPr>
      <t xml:space="preserve">LdcI decamers, respectively. Upon stack formation, these numbers increase to 28 vs. 25 and 49 vs. 40 in </t>
    </r>
    <r>
      <rPr>
        <i val="true"/>
        <sz val="12"/>
        <color rgb="FF000000"/>
        <rFont val="Liberation Serif;Times New Roman"/>
        <family val="1"/>
        <charset val="1"/>
      </rPr>
      <t xml:space="preserve">P. stuartii </t>
    </r>
    <r>
      <rPr>
        <sz val="12"/>
        <color rgb="FF000000"/>
        <rFont val="Liberation Serif;Times New Roman"/>
        <family val="1"/>
        <charset val="1"/>
      </rPr>
      <t xml:space="preserve">Adc and </t>
    </r>
    <r>
      <rPr>
        <i val="true"/>
        <sz val="12"/>
        <color rgb="FF000000"/>
        <rFont val="Liberation Serif;Times New Roman"/>
        <family val="1"/>
        <charset val="1"/>
      </rPr>
      <t xml:space="preserve">E. coli</t>
    </r>
    <r>
      <rPr>
        <sz val="12"/>
        <color rgb="FF000000"/>
        <rFont val="Liberation Serif;Times New Roman"/>
        <family val="1"/>
        <charset val="1"/>
      </rPr>
      <t xml:space="preserve"> LdcI, respectively. Note that at all interfaces, there are either more or as many acidic residues compared to basic residues. Hence, only at low pH may these interfaces support oligomerisation, with necessary shifts in pKa (A) for the buried acidic residues. Acidic residues with (the largest) positive shifts in pKa could play a role in the pH regulation of dimer, decamer and stack formation, while those with negative or no shift in pKa, and which are involved in inter-chain contacts, could play a role in stabilising the oligomers. C) The overall number of charged residues in </t>
    </r>
    <r>
      <rPr>
        <i val="true"/>
        <sz val="12"/>
        <color rgb="FF000000"/>
        <rFont val="Liberation Serif;Times New Roman"/>
        <family val="1"/>
        <charset val="1"/>
      </rPr>
      <t xml:space="preserve">P. stuartii </t>
    </r>
    <r>
      <rPr>
        <sz val="12"/>
        <color rgb="FF000000"/>
        <rFont val="Liberation Serif;Times New Roman"/>
        <family val="1"/>
        <charset val="1"/>
      </rPr>
      <t xml:space="preserve">Adc, </t>
    </r>
    <r>
      <rPr>
        <i val="true"/>
        <sz val="12"/>
        <color rgb="FF000000"/>
        <rFont val="Liberation Serif;Times New Roman"/>
        <family val="1"/>
        <charset val="1"/>
      </rPr>
      <t xml:space="preserve">E. coli </t>
    </r>
    <r>
      <rPr>
        <sz val="12"/>
        <color rgb="FF000000"/>
        <rFont val="Liberation Serif;Times New Roman"/>
        <family val="1"/>
        <charset val="1"/>
      </rPr>
      <t xml:space="preserve">Adc, and </t>
    </r>
    <r>
      <rPr>
        <i val="true"/>
        <sz val="12"/>
        <color rgb="FF000000"/>
        <rFont val="Liberation Serif;Times New Roman"/>
        <family val="1"/>
        <charset val="1"/>
      </rPr>
      <t xml:space="preserve">E. coli L</t>
    </r>
    <r>
      <rPr>
        <sz val="12"/>
        <color rgb="FF000000"/>
        <rFont val="Liberation Serif;Times New Roman"/>
        <family val="1"/>
        <charset val="1"/>
      </rPr>
      <t xml:space="preserve">dcI scales inversely with the number of charged residues buried at the oligomerisation interfaces, resulting in 77 vs. 69, 70 vs. 56 and 56 vs. 53% of acidic vs. basic residues remaining accessible to the solvent in their respective decamers. Upon stack formation, these numbers decrease to 72 vs. 66 and 44 vs. 43% in </t>
    </r>
    <r>
      <rPr>
        <i val="true"/>
        <sz val="12"/>
        <color rgb="FF000000"/>
        <rFont val="Liberation Serif;Times New Roman"/>
        <family val="1"/>
        <charset val="1"/>
      </rPr>
      <t xml:space="preserve">P. stuartii </t>
    </r>
    <r>
      <rPr>
        <sz val="12"/>
        <color rgb="FF000000"/>
        <rFont val="Liberation Serif;Times New Roman"/>
        <family val="1"/>
        <charset val="1"/>
      </rPr>
      <t xml:space="preserve">Adc and </t>
    </r>
    <r>
      <rPr>
        <i val="true"/>
        <sz val="12"/>
        <color rgb="FF000000"/>
        <rFont val="Liberation Serif;Times New Roman"/>
        <family val="1"/>
        <charset val="1"/>
      </rPr>
      <t xml:space="preserve">E. coli </t>
    </r>
    <r>
      <rPr>
        <sz val="12"/>
        <color rgb="FF000000"/>
        <rFont val="Liberation Serif;Times New Roman"/>
        <family val="1"/>
        <charset val="1"/>
      </rPr>
      <t xml:space="preserve">LdcI, respectively. Hence, not only does </t>
    </r>
    <r>
      <rPr>
        <i val="true"/>
        <sz val="12"/>
        <color rgb="FF000000"/>
        <rFont val="Liberation Serif;Times New Roman"/>
        <family val="1"/>
        <charset val="1"/>
      </rPr>
      <t xml:space="preserve">P. stuartii</t>
    </r>
    <r>
      <rPr>
        <sz val="12"/>
        <color rgb="FF000000"/>
        <rFont val="Liberation Serif;Times New Roman"/>
        <family val="1"/>
        <charset val="1"/>
      </rPr>
      <t xml:space="preserve"> Adc features more charged residues overall, but fewer of them are involved in oligomer formation, resulting in a highly-charged solvent-accessible surface, even in the stack state. On the contrary, </t>
    </r>
    <r>
      <rPr>
        <i val="true"/>
        <sz val="12"/>
        <color rgb="FF000000"/>
        <rFont val="Liberation Serif;Times New Roman"/>
        <family val="1"/>
        <charset val="1"/>
      </rPr>
      <t xml:space="preserve">E. coli </t>
    </r>
    <r>
      <rPr>
        <sz val="12"/>
        <color rgb="FF000000"/>
        <rFont val="Liberation Serif;Times New Roman"/>
        <family val="1"/>
        <charset val="1"/>
      </rPr>
      <t xml:space="preserve">LdcI features fewer overall charged residues, but these are overrepresented at the oligomerisation interfaces. D) Examination of the distribution of charged residues at the various interfaces points to the decamerisation and stack interfaces being the most enriched in these residues, irrespective of the considered protein.</t>
    </r>
  </si>
  <si>
    <t xml:space="preserve">A) Buried charged residues at interfaces -- by name and sequence number</t>
  </si>
  <si>
    <t xml:space="preserve">Interface</t>
  </si>
  <si>
    <r>
      <rPr>
        <i val="true"/>
        <sz val="12"/>
        <color rgb="FF000000"/>
        <rFont val="Calibri"/>
        <family val="2"/>
        <charset val="1"/>
      </rPr>
      <t xml:space="preserve">P. stuartii</t>
    </r>
    <r>
      <rPr>
        <sz val="12"/>
        <color rgb="FF000000"/>
        <rFont val="Calibri"/>
        <family val="2"/>
        <charset val="1"/>
      </rPr>
      <t xml:space="preserve"> Adc (theoretical net charge: -27 e) </t>
    </r>
  </si>
  <si>
    <r>
      <rPr>
        <i val="true"/>
        <sz val="12"/>
        <color rgb="FF000000"/>
        <rFont val="Calibri"/>
        <family val="2"/>
        <charset val="1"/>
      </rPr>
      <t xml:space="preserve">E. coli </t>
    </r>
    <r>
      <rPr>
        <sz val="12"/>
        <color rgb="FF000000"/>
        <rFont val="Calibri"/>
        <family val="2"/>
        <charset val="1"/>
      </rPr>
      <t xml:space="preserve">Adc</t>
    </r>
  </si>
  <si>
    <r>
      <rPr>
        <i val="true"/>
        <sz val="12"/>
        <color rgb="FF000000"/>
        <rFont val="Calibri"/>
        <family val="2"/>
        <charset val="1"/>
      </rPr>
      <t xml:space="preserve">E. coli </t>
    </r>
    <r>
      <rPr>
        <sz val="12"/>
        <color rgb="FF000000"/>
        <rFont val="Calibri"/>
        <family val="2"/>
        <charset val="1"/>
      </rPr>
      <t xml:space="preserve">LdcI</t>
    </r>
  </si>
  <si>
    <t xml:space="preserve">Acidic (101 overall)</t>
  </si>
  <si>
    <t xml:space="preserve">Basic (74 overall)</t>
  </si>
  <si>
    <t xml:space="preserve">Acidic (96 overall)</t>
  </si>
  <si>
    <t xml:space="preserve">Basic (62 overall)</t>
  </si>
  <si>
    <t xml:space="preserve">Acidic (87 overall)</t>
  </si>
  <si>
    <t xml:space="preserve">Basic (70 overall)</t>
  </si>
  <si>
    <t xml:space="preserve">excess of acidic vs. basic residues = +27</t>
  </si>
  <si>
    <t xml:space="preserve">excess of acidic vs. basic residues = -34</t>
  </si>
  <si>
    <t xml:space="preserve">excess of acidic vs. basic residues = -17</t>
  </si>
  <si>
    <t xml:space="preserve">Theoretical pKa</t>
  </si>
  <si>
    <t xml:space="preserve">ASP: 3.80                     GLU: 4.50</t>
  </si>
  <si>
    <t xml:space="preserve">LYS: 10.50                    ARG: 12.50</t>
  </si>
  <si>
    <t xml:space="preserve">LYS: 10.50                 ARG: 12.50</t>
  </si>
  <si>
    <t xml:space="preserve">ASP: 3.80                   GLU: 4.50</t>
  </si>
  <si>
    <t xml:space="preserve">LYS: 10.50                   ARG: 12.50</t>
  </si>
  <si>
    <t xml:space="preserve">Dimer</t>
  </si>
  <si>
    <r>
      <rPr>
        <sz val="12"/>
        <color rgb="FFFF0000"/>
        <rFont val="Calibri (Corps)"/>
        <family val="0"/>
        <charset val="1"/>
      </rPr>
      <t xml:space="preserve">E154 (4.89, 31%),  </t>
    </r>
    <r>
      <rPr>
        <sz val="12"/>
        <color rgb="FFFF0000"/>
        <rFont val="Calibri"/>
        <family val="2"/>
        <charset val="1"/>
      </rPr>
      <t xml:space="preserve">          </t>
    </r>
    <r>
      <rPr>
        <sz val="12"/>
        <color rgb="FFFF0000"/>
        <rFont val="Calibri (Corps)"/>
        <family val="0"/>
        <charset val="1"/>
      </rPr>
      <t xml:space="preserve">D189 (4.19, 100%, SB), </t>
    </r>
    <r>
      <rPr>
        <sz val="12"/>
        <color rgb="FFFF0000"/>
        <rFont val="Calibri"/>
        <family val="2"/>
        <charset val="1"/>
      </rPr>
      <t xml:space="preserve">  </t>
    </r>
    <r>
      <rPr>
        <sz val="12"/>
        <color rgb="FF000000"/>
        <rFont val="Calibri"/>
        <family val="2"/>
        <charset val="1"/>
      </rPr>
      <t xml:space="preserve">  </t>
    </r>
    <r>
      <rPr>
        <sz val="12"/>
        <color rgb="FF0070C0"/>
        <rFont val="Calibri (Corps)"/>
        <family val="0"/>
        <charset val="1"/>
      </rPr>
      <t xml:space="preserve"> </t>
    </r>
    <r>
      <rPr>
        <b val="true"/>
        <sz val="12"/>
        <color rgb="FF000000"/>
        <rFont val="Calibri (Corps)"/>
        <family val="0"/>
        <charset val="1"/>
      </rPr>
      <t xml:space="preserve">E193 (6.81, 85%)</t>
    </r>
    <r>
      <rPr>
        <sz val="12"/>
        <color rgb="FF000000"/>
        <rFont val="Calibri (Corps)"/>
        <family val="0"/>
        <charset val="1"/>
      </rPr>
      <t xml:space="preserve">,</t>
    </r>
    <r>
      <rPr>
        <sz val="12"/>
        <color rgb="FF000000"/>
        <rFont val="Calibri"/>
        <family val="2"/>
        <charset val="1"/>
      </rPr>
      <t xml:space="preserve">   </t>
    </r>
    <r>
      <rPr>
        <b val="true"/>
        <sz val="12"/>
        <color rgb="FF000000"/>
        <rFont val="Calibri"/>
        <family val="2"/>
        <charset val="1"/>
      </rPr>
      <t xml:space="preserve">          </t>
    </r>
    <r>
      <rPr>
        <sz val="12"/>
        <color rgb="FFFF0000"/>
        <rFont val="Calibri (Corps)"/>
        <family val="0"/>
        <charset val="1"/>
      </rPr>
      <t xml:space="preserve">D244 (3.65, 61%, HB+SB),    </t>
    </r>
    <r>
      <rPr>
        <sz val="12"/>
        <color rgb="FF000000"/>
        <rFont val="Calibri"/>
        <family val="2"/>
        <charset val="1"/>
      </rPr>
      <t xml:space="preserve">        </t>
    </r>
    <r>
      <rPr>
        <sz val="12"/>
        <color rgb="FF000000"/>
        <rFont val="Calibri (Corps)"/>
        <family val="0"/>
        <charset val="1"/>
      </rPr>
      <t xml:space="preserve">     </t>
    </r>
    <r>
      <rPr>
        <b val="true"/>
        <sz val="12"/>
        <color rgb="FF000000"/>
        <rFont val="Calibri (Corps)"/>
        <family val="0"/>
        <charset val="1"/>
      </rPr>
      <t xml:space="preserve">D432 (6.66, 100%),</t>
    </r>
    <r>
      <rPr>
        <sz val="12"/>
        <color rgb="FF0070C0"/>
        <rFont val="Calibri (Corps)"/>
        <family val="0"/>
        <charset val="1"/>
      </rPr>
      <t xml:space="preserve">         </t>
    </r>
    <r>
      <rPr>
        <b val="true"/>
        <sz val="12"/>
        <color rgb="FF000000"/>
        <rFont val="Calibri (Corps)"/>
        <family val="0"/>
        <charset val="1"/>
      </rPr>
      <t xml:space="preserve">D436 (7.66, 93%),</t>
    </r>
    <r>
      <rPr>
        <sz val="12"/>
        <color rgb="FF0070C0"/>
        <rFont val="Calibri (Corps)"/>
        <family val="0"/>
        <charset val="1"/>
      </rPr>
      <t xml:space="preserve"> </t>
    </r>
    <r>
      <rPr>
        <sz val="12"/>
        <color rgb="FF000000"/>
        <rFont val="Calibri"/>
        <family val="2"/>
        <charset val="1"/>
      </rPr>
      <t xml:space="preserve">  </t>
    </r>
    <r>
      <rPr>
        <sz val="12"/>
        <color rgb="FFFF0000"/>
        <rFont val="Calibri (Corps)"/>
        <family val="0"/>
        <charset val="1"/>
      </rPr>
      <t xml:space="preserve">          </t>
    </r>
    <r>
      <rPr>
        <b val="true"/>
        <sz val="12"/>
        <color rgb="FFFF0000"/>
        <rFont val="Calibri (Corps)"/>
        <family val="0"/>
        <charset val="1"/>
      </rPr>
      <t xml:space="preserve">E449 (3.64, 85%, SB),   </t>
    </r>
    <r>
      <rPr>
        <sz val="12"/>
        <color rgb="FF000000"/>
        <rFont val="Calibri"/>
        <family val="2"/>
        <charset val="1"/>
      </rPr>
      <t xml:space="preserve">  </t>
    </r>
    <r>
      <rPr>
        <sz val="12"/>
        <color rgb="FF000000"/>
        <rFont val="Calibri (Corps)"/>
        <family val="0"/>
        <charset val="1"/>
      </rPr>
      <t xml:space="preserve">      </t>
    </r>
    <r>
      <rPr>
        <b val="true"/>
        <sz val="12"/>
        <color rgb="FF000000"/>
        <rFont val="Calibri (Corps)"/>
        <family val="0"/>
        <charset val="1"/>
      </rPr>
      <t xml:space="preserve">E742 (6.84, 64%)</t>
    </r>
  </si>
  <si>
    <r>
      <rPr>
        <b val="true"/>
        <sz val="12"/>
        <color rgb="FF0070C0"/>
        <rFont val="Calibri"/>
        <family val="2"/>
        <charset val="1"/>
      </rPr>
      <t xml:space="preserve">R82 (11.</t>
    </r>
    <r>
      <rPr>
        <sz val="12"/>
        <color rgb="FF0070C0"/>
        <rFont val="Calibri"/>
        <family val="2"/>
        <charset val="1"/>
      </rPr>
      <t xml:space="preserve">8</t>
    </r>
    <r>
      <rPr>
        <b val="true"/>
        <sz val="12"/>
        <color rgb="FF0070C0"/>
        <rFont val="Calibri"/>
        <family val="2"/>
        <charset val="1"/>
      </rPr>
      <t xml:space="preserve">6, 100%),</t>
    </r>
    <r>
      <rPr>
        <sz val="12"/>
        <color rgb="FF0070C0"/>
        <rFont val="Calibri"/>
        <family val="2"/>
        <charset val="1"/>
      </rPr>
      <t xml:space="preserve">          R135 (12.31, 46%),   </t>
    </r>
    <r>
      <rPr>
        <b val="true"/>
        <sz val="12"/>
        <color rgb="FF0070C0"/>
        <rFont val="Calibri"/>
        <family val="2"/>
        <charset val="1"/>
      </rPr>
      <t xml:space="preserve">       K170 (8.53, 97%, HB+SB)</t>
    </r>
    <r>
      <rPr>
        <sz val="12"/>
        <color rgb="FF0070C0"/>
        <rFont val="Calibri"/>
        <family val="2"/>
        <charset val="1"/>
      </rPr>
      <t xml:space="preserve">,    </t>
    </r>
    <r>
      <rPr>
        <b val="true"/>
        <sz val="12"/>
        <color rgb="FF0070C0"/>
        <rFont val="Calibri"/>
        <family val="2"/>
        <charset val="1"/>
      </rPr>
      <t xml:space="preserve">R175 (9.78, 100%, HB)</t>
    </r>
    <r>
      <rPr>
        <sz val="12"/>
        <color rgb="FF0070C0"/>
        <rFont val="Calibri"/>
        <family val="2"/>
        <charset val="1"/>
      </rPr>
      <t xml:space="preserve">,    </t>
    </r>
    <r>
      <rPr>
        <b val="true"/>
        <sz val="12"/>
        <color rgb="FF0070C0"/>
        <rFont val="Calibri"/>
        <family val="2"/>
        <charset val="1"/>
      </rPr>
      <t xml:space="preserve">R235 (9.14, 100%, HB)</t>
    </r>
    <r>
      <rPr>
        <sz val="12"/>
        <color rgb="FF0070C0"/>
        <rFont val="Calibri"/>
        <family val="2"/>
        <charset val="1"/>
      </rPr>
      <t xml:space="preserve">,    K256 (9.89, 100%, HB),   </t>
    </r>
    <r>
      <rPr>
        <b val="true"/>
        <sz val="12"/>
        <color rgb="FF0070C0"/>
        <rFont val="Calibri"/>
        <family val="2"/>
        <charset val="1"/>
      </rPr>
      <t xml:space="preserve">R410 (11.22, 58%)</t>
    </r>
    <r>
      <rPr>
        <sz val="12"/>
        <color rgb="FF0070C0"/>
        <rFont val="Calibri"/>
        <family val="2"/>
        <charset val="1"/>
      </rPr>
      <t xml:space="preserve">,          </t>
    </r>
    <r>
      <rPr>
        <b val="true"/>
        <sz val="12"/>
        <color rgb="FF0070C0"/>
        <rFont val="Calibri"/>
        <family val="2"/>
        <charset val="1"/>
      </rPr>
      <t xml:space="preserve">R666 (9.91, 100%, HB+SB)</t>
    </r>
  </si>
  <si>
    <r>
      <rPr>
        <sz val="12"/>
        <color rgb="FFFF0000"/>
        <rFont val="Calibri (Corps)"/>
        <family val="0"/>
        <charset val="1"/>
      </rPr>
      <t xml:space="preserve">E52 (4.26, 71%),               D151 (4.29, 19%),  </t>
    </r>
    <r>
      <rPr>
        <sz val="12"/>
        <color rgb="FF000000"/>
        <rFont val="Calibri"/>
        <family val="2"/>
        <charset val="1"/>
      </rPr>
      <t xml:space="preserve">          </t>
    </r>
    <r>
      <rPr>
        <b val="true"/>
        <sz val="12"/>
        <color rgb="FFFF0000"/>
        <rFont val="Calibri (Corps)"/>
        <family val="0"/>
        <charset val="1"/>
      </rPr>
      <t xml:space="preserve">E154 (3.38, 100%, SB)</t>
    </r>
    <r>
      <rPr>
        <sz val="12"/>
        <color rgb="FFFF0000"/>
        <rFont val="Calibri (Corps)"/>
        <family val="0"/>
        <charset val="1"/>
      </rPr>
      <t xml:space="preserve">,         D189 (4.78, 100%, HB),  </t>
    </r>
    <r>
      <rPr>
        <sz val="12"/>
        <color rgb="FF000000"/>
        <rFont val="Calibri"/>
        <family val="2"/>
        <charset val="1"/>
      </rPr>
      <t xml:space="preserve"> </t>
    </r>
    <r>
      <rPr>
        <b val="true"/>
        <sz val="12"/>
        <color rgb="FF000000"/>
        <rFont val="Calibri"/>
        <family val="2"/>
        <charset val="1"/>
      </rPr>
      <t xml:space="preserve">E193 (6.79, 80%)</t>
    </r>
    <r>
      <rPr>
        <sz val="12"/>
        <color rgb="FF000000"/>
        <rFont val="Calibri"/>
        <family val="2"/>
        <charset val="1"/>
      </rPr>
      <t xml:space="preserve">,            </t>
    </r>
    <r>
      <rPr>
        <sz val="12"/>
        <color rgb="FFFF0000"/>
        <rFont val="Calibri (Corps)"/>
        <family val="0"/>
        <charset val="1"/>
      </rPr>
      <t xml:space="preserve">D202 (3.89, 70%),  </t>
    </r>
    <r>
      <rPr>
        <sz val="12"/>
        <color rgb="FF000000"/>
        <rFont val="Calibri"/>
        <family val="2"/>
        <charset val="1"/>
      </rPr>
      <t xml:space="preserve">          </t>
    </r>
    <r>
      <rPr>
        <sz val="12"/>
        <color rgb="FFFF0000"/>
        <rFont val="Calibri (Corps)"/>
        <family val="0"/>
        <charset val="1"/>
      </rPr>
      <t xml:space="preserve">D244 (3.75, 57%),</t>
    </r>
    <r>
      <rPr>
        <sz val="12"/>
        <color rgb="FF000000"/>
        <rFont val="Calibri"/>
        <family val="2"/>
        <charset val="1"/>
      </rPr>
      <t xml:space="preserve">             D246 (5.18, 67%),             </t>
    </r>
    <r>
      <rPr>
        <b val="true"/>
        <sz val="12"/>
        <color rgb="FFFF0000"/>
        <rFont val="Calibri (Corps)"/>
        <family val="0"/>
        <charset val="1"/>
      </rPr>
      <t xml:space="preserve">E449 (0.92, 100%, SB),    </t>
    </r>
    <r>
      <rPr>
        <sz val="12"/>
        <color rgb="FF000000"/>
        <rFont val="Calibri"/>
        <family val="2"/>
        <charset val="1"/>
      </rPr>
      <t xml:space="preserve"> D674 (5.26, 56%),             E737 (5.47, 47%, SB),      </t>
    </r>
    <r>
      <rPr>
        <b val="true"/>
        <sz val="12"/>
        <color rgb="FFFF0000"/>
        <rFont val="Calibri (Corps)"/>
        <family val="0"/>
        <charset val="1"/>
      </rPr>
      <t xml:space="preserve">E739 (3.92, 100%), </t>
    </r>
    <r>
      <rPr>
        <b val="true"/>
        <sz val="12"/>
        <color rgb="FF000000"/>
        <rFont val="Calibri"/>
        <family val="2"/>
        <charset val="1"/>
      </rPr>
      <t xml:space="preserve"> </t>
    </r>
    <r>
      <rPr>
        <sz val="12"/>
        <color rgb="FF000000"/>
        <rFont val="Calibri"/>
        <family val="2"/>
        <charset val="1"/>
      </rPr>
      <t xml:space="preserve">        E742 (4.90, 49%, HB)</t>
    </r>
  </si>
  <si>
    <r>
      <rPr>
        <sz val="12"/>
        <color rgb="FF0070C0"/>
        <rFont val="Calibri"/>
        <family val="2"/>
        <charset val="1"/>
      </rPr>
      <t xml:space="preserve">K2 (10.64, 48%),              R135 (12.63, 47%),           </t>
    </r>
    <r>
      <rPr>
        <b val="true"/>
        <sz val="12"/>
        <color rgb="FF0070C0"/>
        <rFont val="Calibri"/>
        <family val="2"/>
        <charset val="1"/>
      </rPr>
      <t xml:space="preserve">K170 (9.93, 100%, HB+SB)</t>
    </r>
    <r>
      <rPr>
        <sz val="12"/>
        <color rgb="FF0070C0"/>
        <rFont val="Calibri"/>
        <family val="2"/>
        <charset val="1"/>
      </rPr>
      <t xml:space="preserve">,    R175 (12.40, 61%),          R187 (12.77, 66%),          </t>
    </r>
    <r>
      <rPr>
        <b val="true"/>
        <sz val="12"/>
        <color rgb="FF0070C0"/>
        <rFont val="Calibri"/>
        <family val="2"/>
        <charset val="1"/>
      </rPr>
      <t xml:space="preserve">R194 (13.61, 68%),</t>
    </r>
    <r>
      <rPr>
        <sz val="12"/>
        <color rgb="FF0070C0"/>
        <rFont val="Calibri"/>
        <family val="2"/>
        <charset val="1"/>
      </rPr>
      <t xml:space="preserve">          </t>
    </r>
    <r>
      <rPr>
        <b val="true"/>
        <sz val="12"/>
        <color rgb="FF0070C0"/>
        <rFont val="Calibri"/>
        <family val="2"/>
        <charset val="1"/>
      </rPr>
      <t xml:space="preserve">R235 (9.09, 100%, HB)</t>
    </r>
    <r>
      <rPr>
        <sz val="12"/>
        <color rgb="FF0070C0"/>
        <rFont val="Calibri"/>
        <family val="2"/>
        <charset val="1"/>
      </rPr>
      <t xml:space="preserve">,   K256 (11.15, 100%),         R343 (12.42, 85%),          </t>
    </r>
    <r>
      <rPr>
        <b val="true"/>
        <sz val="12"/>
        <color rgb="FF0070C0"/>
        <rFont val="Calibri (Corps)"/>
        <family val="0"/>
        <charset val="1"/>
      </rPr>
      <t xml:space="preserve">K386 (4.99, 100%),  </t>
    </r>
    <r>
      <rPr>
        <sz val="12"/>
        <color rgb="FF0070C0"/>
        <rFont val="Calibri"/>
        <family val="2"/>
        <charset val="1"/>
      </rPr>
      <t xml:space="preserve">        </t>
    </r>
    <r>
      <rPr>
        <b val="true"/>
        <sz val="12"/>
        <color rgb="FF0070C0"/>
        <rFont val="Calibri"/>
        <family val="2"/>
        <charset val="1"/>
      </rPr>
      <t xml:space="preserve">R410 (10.64, 61%)</t>
    </r>
    <r>
      <rPr>
        <sz val="12"/>
        <color rgb="FF0070C0"/>
        <rFont val="Calibri"/>
        <family val="2"/>
        <charset val="1"/>
      </rPr>
      <t xml:space="preserve">,          K590 (10.45, 100%, HB+SB), </t>
    </r>
    <r>
      <rPr>
        <b val="true"/>
        <sz val="12"/>
        <color rgb="FF0070C0"/>
        <rFont val="Calibri"/>
        <family val="2"/>
        <charset val="1"/>
      </rPr>
      <t xml:space="preserve">R666 (9.65, 100%, HB)</t>
    </r>
  </si>
  <si>
    <r>
      <rPr>
        <sz val="12"/>
        <color rgb="FFFF0000"/>
        <rFont val="Calibri (Corps)"/>
        <family val="0"/>
        <charset val="1"/>
      </rPr>
      <t xml:space="preserve">E47 (4.20, 61%),               D169 (4.25, 66%, SB),    </t>
    </r>
    <r>
      <rPr>
        <sz val="12"/>
        <color rgb="FF000000"/>
        <rFont val="Calibri"/>
        <family val="2"/>
        <charset val="1"/>
      </rPr>
      <t xml:space="preserve"> </t>
    </r>
    <r>
      <rPr>
        <b val="true"/>
        <sz val="12"/>
        <color rgb="FF000000"/>
        <rFont val="Calibri"/>
        <family val="2"/>
        <charset val="1"/>
      </rPr>
      <t xml:space="preserve">D179 (6.92, 100, HB),       E186 (6.82, 58%),            </t>
    </r>
    <r>
      <rPr>
        <b val="true"/>
        <sz val="12"/>
        <color rgb="FFFF0000"/>
        <rFont val="Calibri (Corps)"/>
        <family val="0"/>
        <charset val="1"/>
      </rPr>
      <t xml:space="preserve">D192 (2.49, 83%, SB),    </t>
    </r>
    <r>
      <rPr>
        <b val="true"/>
        <sz val="12"/>
        <color rgb="FF000000"/>
        <rFont val="Calibri"/>
        <family val="2"/>
        <charset val="1"/>
      </rPr>
      <t xml:space="preserve"> D256 (5.15, 53%),            E387 (5.84, 63%),            E391 (9.98, 100%), </t>
    </r>
    <r>
      <rPr>
        <sz val="12"/>
        <color rgb="FF000000"/>
        <rFont val="Calibri"/>
        <family val="2"/>
        <charset val="1"/>
      </rPr>
      <t xml:space="preserve">         </t>
    </r>
    <r>
      <rPr>
        <b val="true"/>
        <sz val="12"/>
        <color rgb="FF000000"/>
        <rFont val="Calibri"/>
        <family val="2"/>
        <charset val="1"/>
      </rPr>
      <t xml:space="preserve">D519 (5.05, 76%),            E526 (6.67, 100%, HB),  </t>
    </r>
    <r>
      <rPr>
        <sz val="12"/>
        <color rgb="FF000000"/>
        <rFont val="Calibri"/>
        <family val="2"/>
        <charset val="1"/>
      </rPr>
      <t xml:space="preserve"> </t>
    </r>
    <r>
      <rPr>
        <b val="true"/>
        <sz val="12"/>
        <color rgb="FFFF0000"/>
        <rFont val="Calibri (Corps)"/>
        <family val="0"/>
        <charset val="1"/>
      </rPr>
      <t xml:space="preserve">D542 (3.16, 100%), </t>
    </r>
    <r>
      <rPr>
        <b val="true"/>
        <sz val="12"/>
        <color rgb="FF000000"/>
        <rFont val="Calibri"/>
        <family val="2"/>
        <charset val="1"/>
      </rPr>
      <t xml:space="preserve">         E627 (8.01, 100%),   </t>
    </r>
    <r>
      <rPr>
        <sz val="12"/>
        <color rgb="FF000000"/>
        <rFont val="Calibri"/>
        <family val="2"/>
        <charset val="1"/>
      </rPr>
      <t xml:space="preserve">        E634 (5.10, 30%)</t>
    </r>
  </si>
  <si>
    <r>
      <rPr>
        <sz val="12"/>
        <color rgb="FF0070C0"/>
        <rFont val="Calibri"/>
        <family val="2"/>
        <charset val="1"/>
      </rPr>
      <t xml:space="preserve">R51 (12.30, 71%, SB) ,     R141 (11.99, 35%),          K144 (11.03, 58%),          K160 (11.10, 100%, SB),   </t>
    </r>
    <r>
      <rPr>
        <b val="true"/>
        <sz val="12"/>
        <color rgb="FF0070C0"/>
        <rFont val="Calibri"/>
        <family val="2"/>
        <charset val="1"/>
      </rPr>
      <t xml:space="preserve">K225 (6.91, 100%), </t>
    </r>
    <r>
      <rPr>
        <sz val="12"/>
        <color rgb="FF0070C0"/>
        <rFont val="Calibri"/>
        <family val="2"/>
        <charset val="1"/>
      </rPr>
      <t xml:space="preserve">         K246 (10.44, 100%),         R431 (11.84, 100%),        </t>
    </r>
    <r>
      <rPr>
        <b val="true"/>
        <sz val="12"/>
        <color rgb="FF0070C0"/>
        <rFont val="Calibri"/>
        <family val="2"/>
        <charset val="1"/>
      </rPr>
      <t xml:space="preserve">K527 (8.66, 100%),          K545 (8.36, 100%, HB),</t>
    </r>
    <r>
      <rPr>
        <sz val="12"/>
        <color rgb="FF0070C0"/>
        <rFont val="Calibri"/>
        <family val="2"/>
        <charset val="1"/>
      </rPr>
      <t xml:space="preserve">   K707 (9.55, 72%, HB)</t>
    </r>
  </si>
  <si>
    <r>
      <rPr>
        <u val="single"/>
        <sz val="12"/>
        <color rgb="FF000000"/>
        <rFont val="Calibri (Corps)"/>
        <family val="0"/>
        <charset val="1"/>
      </rPr>
      <t xml:space="preserve">Face</t>
    </r>
    <r>
      <rPr>
        <sz val="12"/>
        <color rgb="FF000000"/>
        <rFont val="Calibri"/>
        <family val="2"/>
        <charset val="1"/>
      </rPr>
      <t xml:space="preserve">-to-Back</t>
    </r>
  </si>
  <si>
    <r>
      <rPr>
        <b val="true"/>
        <sz val="12"/>
        <color rgb="FFFF0000"/>
        <rFont val="Calibri (Corps)"/>
        <family val="0"/>
        <charset val="1"/>
      </rPr>
      <t xml:space="preserve">D102 (4.87, 72%),</t>
    </r>
    <r>
      <rPr>
        <sz val="12"/>
        <color rgb="FF000000"/>
        <rFont val="Calibri"/>
        <family val="2"/>
        <charset val="1"/>
      </rPr>
      <t xml:space="preserve">            </t>
    </r>
    <r>
      <rPr>
        <sz val="12"/>
        <color rgb="FF000000"/>
        <rFont val="Calibri (Corps)"/>
        <family val="0"/>
        <charset val="1"/>
      </rPr>
      <t xml:space="preserve">E107 (5.30, 50%),   </t>
    </r>
    <r>
      <rPr>
        <b val="true"/>
        <sz val="12"/>
        <color rgb="FF000000"/>
        <rFont val="Calibri (Corps)"/>
        <family val="0"/>
        <charset val="1"/>
      </rPr>
      <t xml:space="preserve">         D110 (6.55, 98%, HB), </t>
    </r>
    <r>
      <rPr>
        <sz val="12"/>
        <color rgb="FF000000"/>
        <rFont val="Calibri (Corps)"/>
        <family val="0"/>
        <charset val="1"/>
      </rPr>
      <t xml:space="preserve">    E111 (5.01, 100%, HB), </t>
    </r>
    <r>
      <rPr>
        <b val="true"/>
        <sz val="12"/>
        <color rgb="FF000000"/>
        <rFont val="Calibri"/>
        <family val="2"/>
        <charset val="1"/>
      </rPr>
      <t xml:space="preserve">    </t>
    </r>
    <r>
      <rPr>
        <b val="true"/>
        <sz val="12"/>
        <color rgb="FFFF0000"/>
        <rFont val="Calibri (Corps)"/>
        <family val="0"/>
        <charset val="1"/>
      </rPr>
      <t xml:space="preserve">E117 (2.63, 89%, HB+SB),</t>
    </r>
    <r>
      <rPr>
        <b val="true"/>
        <sz val="12"/>
        <color rgb="FF000000"/>
        <rFont val="Calibri"/>
        <family val="2"/>
        <charset val="1"/>
      </rPr>
      <t xml:space="preserve">    </t>
    </r>
    <r>
      <rPr>
        <b val="true"/>
        <sz val="12"/>
        <color rgb="FF000000"/>
        <rFont val="Calibri (Corps)"/>
        <family val="0"/>
        <charset val="1"/>
      </rPr>
      <t xml:space="preserve">D118 (6.08, 100%)</t>
    </r>
  </si>
  <si>
    <r>
      <rPr>
        <sz val="12"/>
        <color rgb="FF0070C0"/>
        <rFont val="Calibri"/>
        <family val="2"/>
        <charset val="1"/>
      </rPr>
      <t xml:space="preserve">K13 (11.40, 13%, SB),         R23 (11.29, 74%),              </t>
    </r>
    <r>
      <rPr>
        <b val="true"/>
        <sz val="12"/>
        <color rgb="FF0070C0"/>
        <rFont val="Calibri"/>
        <family val="2"/>
        <charset val="1"/>
      </rPr>
      <t xml:space="preserve">R94 (14.94, 82%, HB+SB),   </t>
    </r>
    <r>
      <rPr>
        <sz val="12"/>
        <color rgb="FF0070C0"/>
        <rFont val="Calibri"/>
        <family val="2"/>
        <charset val="1"/>
      </rPr>
      <t xml:space="preserve"> R103 (13.39, 59%, HB+SB), R126 (12.8, 100%),          R133 (11.69, 76%),          R216 (12.98, 42%)</t>
    </r>
  </si>
  <si>
    <r>
      <rPr>
        <sz val="12"/>
        <color rgb="FFFF0000"/>
        <rFont val="Calibri (Corps)"/>
        <family val="0"/>
        <charset val="1"/>
      </rPr>
      <t xml:space="preserve">D102 (4.07, 26%),            D104 (4.06, 0%),               </t>
    </r>
    <r>
      <rPr>
        <sz val="12"/>
        <color rgb="FF000000"/>
        <rFont val="Calibri (Corps)"/>
        <family val="0"/>
        <charset val="1"/>
      </rPr>
      <t xml:space="preserve">E107 (5.10, 28%),    </t>
    </r>
    <r>
      <rPr>
        <b val="true"/>
        <sz val="12"/>
        <color rgb="FF000000"/>
        <rFont val="Calibri (Corps)"/>
        <family val="0"/>
        <charset val="1"/>
      </rPr>
      <t xml:space="preserve">         D110 (5.95, 98%, HB),     E111 (6.13, 100%, HB),  </t>
    </r>
    <r>
      <rPr>
        <b val="true"/>
        <sz val="12"/>
        <color rgb="FFFF0000"/>
        <rFont val="Calibri (Corps)"/>
        <family val="0"/>
        <charset val="1"/>
      </rPr>
      <t xml:space="preserve"> </t>
    </r>
    <r>
      <rPr>
        <sz val="12"/>
        <color rgb="FFFF0000"/>
        <rFont val="Calibri (Corps)"/>
        <family val="0"/>
        <charset val="1"/>
      </rPr>
      <t xml:space="preserve"> E117 (4.60, 84%, SB),  </t>
    </r>
    <r>
      <rPr>
        <b val="true"/>
        <sz val="12"/>
        <color rgb="FFFF0000"/>
        <rFont val="Calibri (Corps)"/>
        <family val="0"/>
        <charset val="1"/>
      </rPr>
      <t xml:space="preserve">   </t>
    </r>
    <r>
      <rPr>
        <b val="true"/>
        <sz val="12"/>
        <color rgb="FF000000"/>
        <rFont val="Calibri (Corps)"/>
        <family val="0"/>
        <charset val="1"/>
      </rPr>
      <t xml:space="preserve">D118 (6.61, 100%)</t>
    </r>
  </si>
  <si>
    <r>
      <rPr>
        <sz val="12"/>
        <color rgb="FF0070C0"/>
        <rFont val="Calibri"/>
        <family val="2"/>
        <charset val="1"/>
      </rPr>
      <t xml:space="preserve">R23 (12.03, 70%, HB+SB),     </t>
    </r>
    <r>
      <rPr>
        <b val="true"/>
        <sz val="12"/>
        <color rgb="FF0070C0"/>
        <rFont val="Calibri"/>
        <family val="2"/>
        <charset val="1"/>
      </rPr>
      <t xml:space="preserve">R94 (13.67, 64%, HB+SB), R103 (13.93, 1%, HB+SB),</t>
    </r>
    <r>
      <rPr>
        <sz val="12"/>
        <color rgb="FF0070C0"/>
        <rFont val="Calibri"/>
        <family val="2"/>
        <charset val="1"/>
      </rPr>
      <t xml:space="preserve"> R126 (12.14, 100%),        R133 (11.62, 61%),           R216 (12.54, 52%)</t>
    </r>
  </si>
  <si>
    <r>
      <rPr>
        <sz val="12"/>
        <color rgb="FFFF0000"/>
        <rFont val="Calibri (Corps)"/>
        <family val="0"/>
        <charset val="1"/>
      </rPr>
      <t xml:space="preserve">E16 (4.98, 35%),                E17 (4.30, 39%),       </t>
    </r>
    <r>
      <rPr>
        <sz val="12"/>
        <color rgb="FF000000"/>
        <rFont val="Calibri (Corps)"/>
        <family val="0"/>
        <charset val="1"/>
      </rPr>
      <t xml:space="preserve">         E21 (5.49, 51%),                 E75 (5.30, 60%, SB),       </t>
    </r>
    <r>
      <rPr>
        <sz val="12"/>
        <color rgb="FFFF0000"/>
        <rFont val="Calibri (Corps)"/>
        <family val="0"/>
        <charset val="1"/>
      </rPr>
      <t xml:space="preserve">    D90 (4.49, 33%),   </t>
    </r>
    <r>
      <rPr>
        <sz val="12"/>
        <color rgb="FF000000"/>
        <rFont val="Calibri"/>
        <family val="2"/>
        <charset val="1"/>
      </rPr>
      <t xml:space="preserve">             </t>
    </r>
    <r>
      <rPr>
        <b val="true"/>
        <sz val="12"/>
        <color rgb="FF000000"/>
        <rFont val="Calibri (Corps)"/>
        <family val="0"/>
        <charset val="1"/>
      </rPr>
      <t xml:space="preserve">D95 (6.96, 80%),  </t>
    </r>
    <r>
      <rPr>
        <sz val="12"/>
        <color rgb="FF000000"/>
        <rFont val="Calibri"/>
        <family val="2"/>
        <charset val="1"/>
      </rPr>
      <t xml:space="preserve">   </t>
    </r>
    <r>
      <rPr>
        <b val="true"/>
        <sz val="12"/>
        <color rgb="FF000000"/>
        <rFont val="Calibri (Corps)"/>
        <family val="0"/>
        <charset val="1"/>
      </rPr>
      <t xml:space="preserve">         E104 (5.85, 100%),  </t>
    </r>
    <r>
      <rPr>
        <sz val="12"/>
        <color rgb="FF000000"/>
        <rFont val="Calibri (Corps)"/>
        <family val="0"/>
        <charset val="1"/>
      </rPr>
      <t xml:space="preserve">         E123 (5.14, 80%),</t>
    </r>
    <r>
      <rPr>
        <sz val="12"/>
        <color rgb="FF000000"/>
        <rFont val="Calibri"/>
        <family val="2"/>
        <charset val="1"/>
      </rPr>
      <t xml:space="preserve">  </t>
    </r>
    <r>
      <rPr>
        <sz val="12"/>
        <color rgb="FFFF0000"/>
        <rFont val="Calibri (Corps)"/>
        <family val="0"/>
        <charset val="1"/>
      </rPr>
      <t xml:space="preserve">           E199 (4.54, 61%, SB)</t>
    </r>
  </si>
  <si>
    <r>
      <rPr>
        <sz val="12"/>
        <color rgb="FF0070C0"/>
        <rFont val="Calibri"/>
        <family val="2"/>
        <charset val="1"/>
      </rPr>
      <t xml:space="preserve">R97 (12.25, 49%, SB),      </t>
    </r>
    <r>
      <rPr>
        <b val="true"/>
        <sz val="12"/>
        <color rgb="FF0070C0"/>
        <rFont val="Calibri"/>
        <family val="2"/>
        <charset val="1"/>
      </rPr>
      <t xml:space="preserve">K116 (9.34, 91%),            </t>
    </r>
    <r>
      <rPr>
        <sz val="12"/>
        <color rgb="FF0070C0"/>
        <rFont val="Calibri"/>
        <family val="2"/>
        <charset val="1"/>
      </rPr>
      <t xml:space="preserve">K198 (10.15, 30%),</t>
    </r>
    <r>
      <rPr>
        <b val="true"/>
        <sz val="12"/>
        <color rgb="FF0070C0"/>
        <rFont val="Calibri"/>
        <family val="2"/>
        <charset val="1"/>
      </rPr>
      <t xml:space="preserve">          R206 (11.27, 44%)</t>
    </r>
  </si>
  <si>
    <r>
      <rPr>
        <sz val="12"/>
        <color rgb="FF000000"/>
        <rFont val="Calibri (Corps)"/>
        <family val="0"/>
        <charset val="1"/>
      </rPr>
      <t xml:space="preserve">Face</t>
    </r>
    <r>
      <rPr>
        <sz val="12"/>
        <color rgb="FF000000"/>
        <rFont val="Calibri"/>
        <family val="2"/>
        <charset val="1"/>
      </rPr>
      <t xml:space="preserve">-to-</t>
    </r>
    <r>
      <rPr>
        <u val="single"/>
        <sz val="12"/>
        <color rgb="FF000000"/>
        <rFont val="Calibri (Corps)"/>
        <family val="0"/>
        <charset val="1"/>
      </rPr>
      <t xml:space="preserve">Back</t>
    </r>
  </si>
  <si>
    <r>
      <rPr>
        <sz val="12"/>
        <color rgb="FFFF0000"/>
        <rFont val="Calibri (Corps)"/>
        <family val="0"/>
        <charset val="1"/>
      </rPr>
      <t xml:space="preserve">D40 (3.06, 50%, HB+SB),      </t>
    </r>
    <r>
      <rPr>
        <sz val="12"/>
        <color rgb="FF000000"/>
        <rFont val="Calibri"/>
        <family val="2"/>
        <charset val="1"/>
      </rPr>
      <t xml:space="preserve">    </t>
    </r>
    <r>
      <rPr>
        <sz val="12"/>
        <color rgb="FF000000"/>
        <rFont val="Calibri (Corps)"/>
        <family val="0"/>
        <charset val="1"/>
      </rPr>
      <t xml:space="preserve">E42 5.03, 51%)</t>
    </r>
    <r>
      <rPr>
        <sz val="12"/>
        <color rgb="FF000000"/>
        <rFont val="Calibri"/>
        <family val="2"/>
        <charset val="1"/>
      </rPr>
      <t xml:space="preserve">,                 </t>
    </r>
    <r>
      <rPr>
        <b val="true"/>
        <sz val="12"/>
        <color rgb="FF000000"/>
        <rFont val="Calibri"/>
        <family val="2"/>
        <charset val="1"/>
      </rPr>
      <t xml:space="preserve">D43 (5.31, 63%)</t>
    </r>
    <r>
      <rPr>
        <sz val="12"/>
        <color rgb="FF000000"/>
        <rFont val="Calibri"/>
        <family val="2"/>
        <charset val="1"/>
      </rPr>
      <t xml:space="preserve">,              </t>
    </r>
    <r>
      <rPr>
        <b val="true"/>
        <sz val="12"/>
        <color rgb="FF000000"/>
        <rFont val="Calibri"/>
        <family val="2"/>
        <charset val="1"/>
      </rPr>
      <t xml:space="preserve">E453 (8.00, 100%)</t>
    </r>
    <r>
      <rPr>
        <sz val="12"/>
        <color rgb="FF000000"/>
        <rFont val="Calibri"/>
        <family val="2"/>
        <charset val="1"/>
      </rPr>
      <t xml:space="preserve">,           </t>
    </r>
    <r>
      <rPr>
        <sz val="12"/>
        <color rgb="FFFF0000"/>
        <rFont val="Calibri (Corps)"/>
        <family val="0"/>
        <charset val="1"/>
      </rPr>
      <t xml:space="preserve">D456 (4.67, 100%, HB+SB),   </t>
    </r>
    <r>
      <rPr>
        <sz val="12"/>
        <color rgb="FF000000"/>
        <rFont val="Calibri"/>
        <family val="2"/>
        <charset val="1"/>
      </rPr>
      <t xml:space="preserve"> </t>
    </r>
    <r>
      <rPr>
        <b val="true"/>
        <sz val="12"/>
        <color rgb="FF000000"/>
        <rFont val="Calibri"/>
        <family val="2"/>
        <charset val="1"/>
      </rPr>
      <t xml:space="preserve">E467 (6.66, 72%)</t>
    </r>
    <r>
      <rPr>
        <sz val="12"/>
        <color rgb="FF000000"/>
        <rFont val="Calibri"/>
        <family val="2"/>
        <charset val="1"/>
      </rPr>
      <t xml:space="preserve">,            </t>
    </r>
    <r>
      <rPr>
        <sz val="12"/>
        <color rgb="FFFF0000"/>
        <rFont val="Calibri (Corps)"/>
        <family val="0"/>
        <charset val="1"/>
      </rPr>
      <t xml:space="preserve">D471 (3.59, 47%, HB+SB),     </t>
    </r>
    <r>
      <rPr>
        <sz val="12"/>
        <color rgb="FF0070C0"/>
        <rFont val="Calibri (Corps)"/>
        <family val="0"/>
        <charset val="1"/>
      </rPr>
      <t xml:space="preserve"> </t>
    </r>
    <r>
      <rPr>
        <sz val="12"/>
        <color rgb="FF000000"/>
        <rFont val="Calibri"/>
        <family val="2"/>
        <charset val="1"/>
      </rPr>
      <t xml:space="preserve"> E473 (5.23, 50%, SB)  </t>
    </r>
  </si>
  <si>
    <r>
      <rPr>
        <b val="true"/>
        <sz val="12"/>
        <color rgb="FF0070C0"/>
        <rFont val="Calibri (Corps)"/>
        <family val="0"/>
        <charset val="1"/>
      </rPr>
      <t xml:space="preserve">R49 (11.20, 76%, SB),    </t>
    </r>
    <r>
      <rPr>
        <sz val="12"/>
        <color rgb="FF0070C0"/>
        <rFont val="Calibri (Corps)"/>
        <family val="0"/>
        <charset val="1"/>
      </rPr>
      <t xml:space="preserve">    R74 (12.49, 25%),            R452 (13.17, 90%, HB+SB),    </t>
    </r>
    <r>
      <rPr>
        <b val="true"/>
        <sz val="12"/>
        <color rgb="FF0070C0"/>
        <rFont val="Calibri (Corps)"/>
        <family val="0"/>
        <charset val="1"/>
      </rPr>
      <t xml:space="preserve">K588 (8.40, 199%, HB)</t>
    </r>
    <r>
      <rPr>
        <sz val="12"/>
        <color rgb="FF0070C0"/>
        <rFont val="Calibri (Corps)"/>
        <family val="0"/>
        <charset val="1"/>
      </rPr>
      <t xml:space="preserve">,   </t>
    </r>
    <r>
      <rPr>
        <b val="true"/>
        <sz val="12"/>
        <color rgb="FF0070C0"/>
        <rFont val="Calibri (Corps)"/>
        <family val="0"/>
        <charset val="1"/>
      </rPr>
      <t xml:space="preserve">K590 (8.14, 100%)</t>
    </r>
    <r>
      <rPr>
        <sz val="12"/>
        <color rgb="FF0070C0"/>
        <rFont val="Calibri (Corps)"/>
        <family val="0"/>
        <charset val="1"/>
      </rPr>
      <t xml:space="preserve">,          R603 (11.61, 60%),          K613 (9.83, 31%)</t>
    </r>
  </si>
  <si>
    <r>
      <rPr>
        <b val="true"/>
        <sz val="12"/>
        <color rgb="FF000000"/>
        <rFont val="Calibri"/>
        <family val="2"/>
        <charset val="1"/>
      </rPr>
      <t xml:space="preserve">D42 (5.19, 50%),    </t>
    </r>
    <r>
      <rPr>
        <sz val="12"/>
        <color rgb="FF000000"/>
        <rFont val="Calibri"/>
        <family val="2"/>
        <charset val="1"/>
      </rPr>
      <t xml:space="preserve">            </t>
    </r>
    <r>
      <rPr>
        <b val="true"/>
        <sz val="12"/>
        <color rgb="FFFF0000"/>
        <rFont val="Calibri (Corps)"/>
        <family val="0"/>
        <charset val="1"/>
      </rPr>
      <t xml:space="preserve">D43 (4.2, 64%, HB+SB)</t>
    </r>
    <r>
      <rPr>
        <sz val="12"/>
        <color rgb="FFFF0000"/>
        <rFont val="Calibri"/>
        <family val="2"/>
        <charset val="1"/>
      </rPr>
      <t xml:space="preserve">,        </t>
    </r>
    <r>
      <rPr>
        <sz val="12"/>
        <color rgb="FF000000"/>
        <rFont val="Calibri"/>
        <family val="2"/>
        <charset val="1"/>
      </rPr>
      <t xml:space="preserve"> </t>
    </r>
    <r>
      <rPr>
        <b val="true"/>
        <sz val="12"/>
        <color rgb="FF000000"/>
        <rFont val="Calibri"/>
        <family val="2"/>
        <charset val="1"/>
      </rPr>
      <t xml:space="preserve">D452 (5.41, 85%),    </t>
    </r>
    <r>
      <rPr>
        <sz val="12"/>
        <color rgb="FF000000"/>
        <rFont val="Calibri"/>
        <family val="2"/>
        <charset val="1"/>
      </rPr>
      <t xml:space="preserve">        </t>
    </r>
    <r>
      <rPr>
        <b val="true"/>
        <sz val="12"/>
        <color rgb="FF000000"/>
        <rFont val="Calibri"/>
        <family val="2"/>
        <charset val="1"/>
      </rPr>
      <t xml:space="preserve">E453 (7.64, 100%)</t>
    </r>
    <r>
      <rPr>
        <sz val="12"/>
        <color rgb="FF000000"/>
        <rFont val="Calibri"/>
        <family val="2"/>
        <charset val="1"/>
      </rPr>
      <t xml:space="preserve">,           </t>
    </r>
    <r>
      <rPr>
        <b val="true"/>
        <sz val="12"/>
        <color rgb="FF000000"/>
        <rFont val="Calibri"/>
        <family val="2"/>
        <charset val="1"/>
      </rPr>
      <t xml:space="preserve">D456 (6.60, 99%, SB)</t>
    </r>
    <r>
      <rPr>
        <sz val="12"/>
        <color rgb="FF000000"/>
        <rFont val="Calibri"/>
        <family val="2"/>
        <charset val="1"/>
      </rPr>
      <t xml:space="preserve">,     </t>
    </r>
    <r>
      <rPr>
        <sz val="12"/>
        <color rgb="FFFF0000"/>
        <rFont val="Calibri (Corps)"/>
        <family val="0"/>
        <charset val="1"/>
      </rPr>
      <t xml:space="preserve">E467 (4.84, 24%, HB+SB),     D471 (3.17, 0%, HB+SB)</t>
    </r>
  </si>
  <si>
    <r>
      <rPr>
        <sz val="12"/>
        <color rgb="FF0070C0"/>
        <rFont val="Calibri"/>
        <family val="2"/>
        <charset val="1"/>
      </rPr>
      <t xml:space="preserve">R463 (11.37, 59%),          R565 (12.16, 41%),           </t>
    </r>
    <r>
      <rPr>
        <b val="true"/>
        <sz val="12"/>
        <color rgb="FF0070C0"/>
        <rFont val="Calibri"/>
        <family val="2"/>
        <charset val="1"/>
      </rPr>
      <t xml:space="preserve">R588 (15.98, 99.1%, SB)</t>
    </r>
    <r>
      <rPr>
        <sz val="12"/>
        <color rgb="FF0070C0"/>
        <rFont val="Calibri"/>
        <family val="2"/>
        <charset val="1"/>
      </rPr>
      <t xml:space="preserve">, K590 (10.45, 100%),</t>
    </r>
    <r>
      <rPr>
        <b val="true"/>
        <sz val="12"/>
        <color rgb="FF0070C0"/>
        <rFont val="Calibri"/>
        <family val="2"/>
        <charset val="1"/>
      </rPr>
      <t xml:space="preserve">        R603 (12.10, 59%)</t>
    </r>
  </si>
  <si>
    <r>
      <rPr>
        <sz val="12"/>
        <color rgb="FFFF0000"/>
        <rFont val="Calibri (Corps)"/>
        <family val="0"/>
        <charset val="1"/>
      </rPr>
      <t xml:space="preserve">D38 (4.24, 21%),                D40 (3.86, 12%),                 D41 (4.77, 58%, HB), </t>
    </r>
    <r>
      <rPr>
        <sz val="12"/>
        <color rgb="FF000000"/>
        <rFont val="Calibri"/>
        <family val="2"/>
        <charset val="1"/>
      </rPr>
      <t xml:space="preserve"> </t>
    </r>
    <r>
      <rPr>
        <b val="true"/>
        <sz val="12"/>
        <color rgb="FF000000"/>
        <rFont val="Calibri"/>
        <family val="2"/>
        <charset val="1"/>
      </rPr>
      <t xml:space="preserve">      E438 (8.21, 89%, HB),      E445 (5.43, 37%, HB), </t>
    </r>
    <r>
      <rPr>
        <sz val="12"/>
        <color rgb="FF000000"/>
        <rFont val="Calibri"/>
        <family val="2"/>
        <charset val="1"/>
      </rPr>
      <t xml:space="preserve">     </t>
    </r>
    <r>
      <rPr>
        <b val="true"/>
        <sz val="12"/>
        <color rgb="FFFF0000"/>
        <rFont val="Calibri (Corps)"/>
        <family val="0"/>
        <charset val="1"/>
      </rPr>
      <t xml:space="preserve">D447 (2.4, 23%, SB),   </t>
    </r>
    <r>
      <rPr>
        <sz val="12"/>
        <color rgb="FFFF0000"/>
        <rFont val="Calibri (Corps)"/>
        <family val="0"/>
        <charset val="1"/>
      </rPr>
      <t xml:space="preserve">     D542 (3.16, 100%),          </t>
    </r>
    <r>
      <rPr>
        <b val="true"/>
        <sz val="12"/>
        <color rgb="FFFF0000"/>
        <rFont val="Calibri (Corps)"/>
        <family val="0"/>
        <charset val="1"/>
      </rPr>
      <t xml:space="preserve">D555 (1.33, 89%),    </t>
    </r>
    <r>
      <rPr>
        <sz val="12"/>
        <color rgb="FFFF0000"/>
        <rFont val="Calibri (Corps)"/>
        <family val="0"/>
        <charset val="1"/>
      </rPr>
      <t xml:space="preserve">       D561 (3.37, 33%),            E582 (3.34, 9%)</t>
    </r>
  </si>
  <si>
    <r>
      <rPr>
        <sz val="12"/>
        <color rgb="FF0070C0"/>
        <rFont val="Calibri (Corps)"/>
        <family val="0"/>
        <charset val="1"/>
      </rPr>
      <t xml:space="preserve">K44 (10.92, 45%),              R51 (12.30, 71%, SB),      R431 (11.84, 100%),        K434 (9.64, 50%),            K437 (9.53, 39%),            R441 (12.40, 48%),   </t>
    </r>
    <r>
      <rPr>
        <b val="true"/>
        <sz val="12"/>
        <color rgb="FF0070C0"/>
        <rFont val="Calibri (Corps)"/>
        <family val="0"/>
        <charset val="1"/>
      </rPr>
      <t xml:space="preserve">       K543 (9.03, 75%),            </t>
    </r>
    <r>
      <rPr>
        <sz val="12"/>
        <color rgb="FF0070C0"/>
        <rFont val="Calibri (Corps)"/>
        <family val="0"/>
        <charset val="1"/>
      </rPr>
      <t xml:space="preserve"> </t>
    </r>
    <r>
      <rPr>
        <b val="true"/>
        <sz val="12"/>
        <color rgb="FF0070C0"/>
        <rFont val="Calibri (Corps)"/>
        <family val="0"/>
        <charset val="1"/>
      </rPr>
      <t xml:space="preserve">R551 (10.96, 100%, HB),</t>
    </r>
    <r>
      <rPr>
        <sz val="12"/>
        <color rgb="FF0070C0"/>
        <rFont val="Calibri (Corps)"/>
        <family val="0"/>
        <charset val="1"/>
      </rPr>
      <t xml:space="preserve"> K557 (10.91, 48%)),         R558 (13.46, 77%, SB),   R565 (11.83, 34%),          K567 (10.86, 48%, SB),    R585 (12.14, 10%)</t>
    </r>
  </si>
  <si>
    <t xml:space="preserve">Face-to-Face</t>
  </si>
  <si>
    <t xml:space="preserve">E96 (6.21, 55%)</t>
  </si>
  <si>
    <t xml:space="preserve">R66 (12.63, 21%)</t>
  </si>
  <si>
    <t xml:space="preserve">D121 (4.52, 45%)</t>
  </si>
  <si>
    <r>
      <rPr>
        <sz val="12"/>
        <color rgb="FF0070C0"/>
        <rFont val="Calibri (Corps)"/>
        <family val="0"/>
        <charset val="1"/>
      </rPr>
      <t xml:space="preserve">R133 (11.61, 61%)),         </t>
    </r>
    <r>
      <rPr>
        <b val="true"/>
        <sz val="12"/>
        <color rgb="FF0070C0"/>
        <rFont val="Calibri (Corps)"/>
        <family val="0"/>
        <charset val="1"/>
      </rPr>
      <t xml:space="preserve">K170 (9.33, 100%, HB+SB),</t>
    </r>
    <r>
      <rPr>
        <sz val="12"/>
        <color rgb="FF0070C0"/>
        <rFont val="Calibri (Corps)"/>
        <family val="0"/>
        <charset val="1"/>
      </rPr>
      <t xml:space="preserve"> R175 (12.40, 61%)</t>
    </r>
  </si>
  <si>
    <r>
      <rPr>
        <b val="true"/>
        <sz val="12"/>
        <color rgb="FF000000"/>
        <rFont val="Calibri"/>
        <family val="2"/>
        <charset val="1"/>
      </rPr>
      <t xml:space="preserve">E104 (5.84, 100%, SB),     </t>
    </r>
    <r>
      <rPr>
        <sz val="12"/>
        <color rgb="FF000000"/>
        <rFont val="Calibri"/>
        <family val="2"/>
        <charset val="1"/>
      </rPr>
      <t xml:space="preserve"> </t>
    </r>
    <r>
      <rPr>
        <sz val="12"/>
        <color rgb="FFFF0000"/>
        <rFont val="Calibri (Corps)"/>
        <family val="0"/>
        <charset val="1"/>
      </rPr>
      <t xml:space="preserve">D112 (3.15, 84%, SB),     E142 (4.43, 40%)</t>
    </r>
  </si>
  <si>
    <t xml:space="preserve">R28 (12.55, 0%),               K144 (11.02, 58%),          K160 (11.10, 100%),        K177 (11.38, 71%)</t>
  </si>
  <si>
    <t xml:space="preserve">Back-to-back</t>
  </si>
  <si>
    <t xml:space="preserve">n.a</t>
  </si>
  <si>
    <r>
      <rPr>
        <b val="true"/>
        <sz val="12"/>
        <color rgb="FF000000"/>
        <rFont val="Calibri"/>
        <family val="2"/>
        <charset val="1"/>
      </rPr>
      <t xml:space="preserve">E576 (5.60, 39%),    </t>
    </r>
    <r>
      <rPr>
        <sz val="12"/>
        <color rgb="FF000000"/>
        <rFont val="Calibri"/>
        <family val="2"/>
        <charset val="1"/>
      </rPr>
      <t xml:space="preserve">        </t>
    </r>
    <r>
      <rPr>
        <sz val="12"/>
        <color rgb="FFFF0000"/>
        <rFont val="Calibri (Corps)"/>
        <family val="0"/>
        <charset val="1"/>
      </rPr>
      <t xml:space="preserve">D577 (4.25, 19%, HB),       E579 (4.86, 5%)</t>
    </r>
  </si>
  <si>
    <t xml:space="preserve">R575 (11.92, 34%),          R698 (12.73, 6.9%)</t>
  </si>
  <si>
    <t xml:space="preserve">Stack #1</t>
  </si>
  <si>
    <r>
      <rPr>
        <sz val="12"/>
        <color rgb="FF000000"/>
        <rFont val="Calibri"/>
        <family val="2"/>
        <charset val="1"/>
      </rPr>
      <t xml:space="preserve">D471 (3.59, 47%,)</t>
    </r>
    <r>
      <rPr>
        <sz val="12"/>
        <color rgb="FFFF0000"/>
        <rFont val="Calibri (Corps)"/>
        <family val="0"/>
        <charset val="1"/>
      </rPr>
      <t xml:space="preserve">,            D472 (4.29, 27%, SB),       E473 (5.23, 50%),            E496 (4.93, 89%), </t>
    </r>
    <r>
      <rPr>
        <sz val="12"/>
        <color rgb="FF000000"/>
        <rFont val="Calibri (Corps)"/>
        <family val="0"/>
        <charset val="1"/>
      </rPr>
      <t xml:space="preserve">           D497</t>
    </r>
    <r>
      <rPr>
        <sz val="12"/>
        <color rgb="FF000000"/>
        <rFont val="Calibri"/>
        <family val="2"/>
        <charset val="1"/>
      </rPr>
      <t xml:space="preserve"> (5.22, 75%)</t>
    </r>
  </si>
  <si>
    <r>
      <rPr>
        <sz val="12"/>
        <color rgb="FF0070C0"/>
        <rFont val="Calibri"/>
        <family val="2"/>
        <charset val="1"/>
      </rPr>
      <t xml:space="preserve">K466 (11.02, 76%),     </t>
    </r>
    <r>
      <rPr>
        <sz val="12"/>
        <color rgb="FF0070C0"/>
        <rFont val="Calibri (Corps)"/>
        <family val="0"/>
        <charset val="1"/>
      </rPr>
      <t xml:space="preserve">R492</t>
    </r>
    <r>
      <rPr>
        <sz val="12"/>
        <color rgb="FF0070C0"/>
        <rFont val="Calibri"/>
        <family val="2"/>
        <charset val="1"/>
      </rPr>
      <t xml:space="preserve"> (12.58, 22%, SB) </t>
    </r>
  </si>
  <si>
    <r>
      <rPr>
        <sz val="12"/>
        <color rgb="FFFF0000"/>
        <rFont val="Calibri (Corps)"/>
        <family val="0"/>
        <charset val="1"/>
      </rPr>
      <t xml:space="preserve">D316 (3.41, 60%, HB+SB),</t>
    </r>
    <r>
      <rPr>
        <sz val="12"/>
        <color rgb="FF000000"/>
        <rFont val="Calibri (Corps)"/>
        <family val="0"/>
        <charset val="1"/>
      </rPr>
      <t xml:space="preserve">      E344 (5.34, 40%),             E445 (5.43, 36%, HB),       </t>
    </r>
    <r>
      <rPr>
        <sz val="12"/>
        <color rgb="FFFF0000"/>
        <rFont val="Calibri (Corps)"/>
        <family val="0"/>
        <charset val="1"/>
      </rPr>
      <t xml:space="preserve">D460 (4.18, 30%),            </t>
    </r>
    <r>
      <rPr>
        <b val="true"/>
        <sz val="12"/>
        <color rgb="FF000000"/>
        <rFont val="Calibri (Corps)"/>
        <family val="0"/>
        <charset val="1"/>
      </rPr>
      <t xml:space="preserve">E463 (6.33, 59%),            </t>
    </r>
    <r>
      <rPr>
        <sz val="12"/>
        <color rgb="FFFF0000"/>
        <rFont val="Calibri"/>
        <family val="2"/>
        <charset val="1"/>
      </rPr>
      <t xml:space="preserve">D470 (3.75, 30%, HB),</t>
    </r>
    <r>
      <rPr>
        <sz val="12"/>
        <color rgb="FFFF0000"/>
        <rFont val="Calibri (Corps)"/>
        <family val="0"/>
        <charset val="1"/>
      </rPr>
      <t xml:space="preserve">      </t>
    </r>
    <r>
      <rPr>
        <b val="true"/>
        <sz val="12"/>
        <color rgb="FF000000"/>
        <rFont val="Calibri (Corps)"/>
        <family val="0"/>
        <charset val="1"/>
      </rPr>
      <t xml:space="preserve">E482 (6.08, 50%)</t>
    </r>
  </si>
  <si>
    <r>
      <rPr>
        <sz val="12"/>
        <color rgb="FF0070C0"/>
        <rFont val="Calibri (Corps)"/>
        <family val="0"/>
        <charset val="1"/>
      </rPr>
      <t xml:space="preserve">R97 (12.25, 49%),             K320 10.41, 11%),            K422 (10.01, 33%),          R441 (12.40, 48%)</t>
    </r>
    <r>
      <rPr>
        <sz val="12"/>
        <color rgb="FF0070C0"/>
        <rFont val="Calibri"/>
        <family val="2"/>
        <charset val="1"/>
      </rPr>
      <t xml:space="preserve">,          </t>
    </r>
    <r>
      <rPr>
        <b val="true"/>
        <sz val="12"/>
        <color rgb="FF0070C0"/>
        <rFont val="Calibri"/>
        <family val="2"/>
        <charset val="1"/>
      </rPr>
      <t xml:space="preserve">R468 (13.51, 45%, HB+SB)</t>
    </r>
  </si>
  <si>
    <t xml:space="preserve">Stack #2</t>
  </si>
  <si>
    <t xml:space="preserve">E65 (4.09,31%, HB),            E69 (4.93, 27%)</t>
  </si>
  <si>
    <t xml:space="preserve">R39 (14.13, 35%)</t>
  </si>
  <si>
    <t xml:space="preserve">Stack #3</t>
  </si>
  <si>
    <t xml:space="preserve">E445 (5.44, 36%, HB),     D447 (2.40, 23%, SB)</t>
  </si>
  <si>
    <t xml:space="preserve">R443 (12.25, 62%)</t>
  </si>
  <si>
    <t xml:space="preserve">B) Buried charged residues at interfaces -- in absolute count.</t>
  </si>
  <si>
    <t xml:space="preserve">Total for decamerization</t>
  </si>
  <si>
    <t xml:space="preserve">Total for decamer </t>
  </si>
  <si>
    <t xml:space="preserve">Total for stack formation</t>
  </si>
  <si>
    <t xml:space="preserve">Total for stack  </t>
  </si>
  <si>
    <t xml:space="preserve">Exposed on dimer surface</t>
  </si>
  <si>
    <t xml:space="preserve">Exposed on decamer surface</t>
  </si>
  <si>
    <t xml:space="preserve">Exposed on stack surface</t>
  </si>
  <si>
    <t xml:space="preserve">C) Buried charged residues at interfaces as a percentage of the overall number of charged residues per monomer</t>
  </si>
  <si>
    <r>
      <rPr>
        <i val="true"/>
        <sz val="12"/>
        <color rgb="FF000000"/>
        <rFont val="Calibri"/>
        <family val="2"/>
        <charset val="1"/>
      </rPr>
      <t xml:space="preserve">P. stuartii </t>
    </r>
    <r>
      <rPr>
        <sz val="12"/>
        <color rgb="FF000000"/>
        <rFont val="Calibri"/>
        <family val="2"/>
        <charset val="1"/>
      </rPr>
      <t xml:space="preserve">Adc (theoretical net charge: -27 e) </t>
    </r>
  </si>
  <si>
    <t xml:space="preserve">D) Buried charged residues at interfaces as a percentage of residues present at the interface</t>
  </si>
  <si>
    <r>
      <rPr>
        <b val="true"/>
        <sz val="12"/>
        <color rgb="FF000000"/>
        <rFont val="Liberation Serif;Times New Roman"/>
        <family val="1"/>
        <charset val="1"/>
      </rPr>
      <t xml:space="preserve">Supplementary Data 1C: Changes in protein charge, free energy of folding and normalized free energy of folding as a function of pH. </t>
    </r>
    <r>
      <rPr>
        <sz val="12"/>
        <color rgb="FF000000"/>
        <rFont val="Liberation Serif;Times New Roman"/>
        <family val="1"/>
        <charset val="1"/>
      </rPr>
      <t xml:space="preserve">Results are given for the monomer, dimer and decamer, and when applicable, for the stacked decamers. The predicted pH of optimum stability and the calculated isoelectric point (pI) are also given for all oligomers. Minimum free energies of folding are highlighted in green. For </t>
    </r>
    <r>
      <rPr>
        <i val="true"/>
        <sz val="12"/>
        <color rgb="FF000000"/>
        <rFont val="Liberation Serif;Times New Roman"/>
        <family val="1"/>
        <charset val="1"/>
      </rPr>
      <t xml:space="preserve">P. stuartii </t>
    </r>
    <r>
      <rPr>
        <sz val="12"/>
        <color rgb="FF000000"/>
        <rFont val="Liberation Serif;Times New Roman"/>
        <family val="1"/>
        <charset val="1"/>
      </rPr>
      <t xml:space="preserve">Adc, oligomerisation hardly changes the predicted pH of optimum stability, with a maximum variation of -0.3 between monomers and stacks. Hence, the four types of oligomers could coexist at pH 4, with populations scaling to their relative per-monomer free energies. In all four states, the protein is overall positively charged at the optimum pH for function (pH 5), yet the isoelectric point (and thus the positive charge) increases upon oligomerisation. Although each oligomerisation step (dimerisation, decamerisation, stack formation) is accompanied by an increase in pI (min +0.1), the inflexion occurs at the dimer-to-decamer transition (+0.2), in line with two- and three- times more charged residues being buried at the </t>
    </r>
    <r>
      <rPr>
        <i val="true"/>
        <sz val="12"/>
        <color rgb="FF000000"/>
        <rFont val="Liberation Serif;Times New Roman"/>
        <family val="1"/>
        <charset val="1"/>
      </rPr>
      <t xml:space="preserve">P. stuartii</t>
    </r>
    <r>
      <rPr>
        <sz val="12"/>
        <color rgb="FF000000"/>
        <rFont val="Liberation Serif;Times New Roman"/>
        <family val="1"/>
        <charset val="1"/>
      </rPr>
      <t xml:space="preserve"> Adc decamerisation interfaces than at the dimer and stack interfaces, respectively.</t>
    </r>
    <r>
      <rPr>
        <i val="true"/>
        <sz val="12"/>
        <color rgb="FF000000"/>
        <rFont val="Liberation Serif;Times New Roman"/>
        <family val="1"/>
        <charset val="1"/>
      </rPr>
      <t xml:space="preserve"> E. coli </t>
    </r>
    <r>
      <rPr>
        <sz val="12"/>
        <color rgb="FF000000"/>
        <rFont val="Liberation Serif;Times New Roman"/>
        <family val="1"/>
        <charset val="1"/>
      </rPr>
      <t xml:space="preserve">Adc is also positively charged at pH 5, but less, and with more subtle changes in charge upon oligomerisation (overall, +0.2 between monomers and decamers). This observation is surprising considering that </t>
    </r>
    <r>
      <rPr>
        <i val="true"/>
        <sz val="12"/>
        <color rgb="FF000000"/>
        <rFont val="Liberation Serif;Times New Roman"/>
        <family val="1"/>
        <charset val="1"/>
      </rPr>
      <t xml:space="preserve">E. coli</t>
    </r>
    <r>
      <rPr>
        <sz val="12"/>
        <color rgb="FF000000"/>
        <rFont val="Liberation Serif;Times New Roman"/>
        <family val="1"/>
        <charset val="1"/>
      </rPr>
      <t xml:space="preserve"> Adc buries nearly twice as many acidic residues at the dimer interface as </t>
    </r>
    <r>
      <rPr>
        <i val="true"/>
        <sz val="12"/>
        <color rgb="FF000000"/>
        <rFont val="Liberation Serif;Times New Roman"/>
        <family val="1"/>
        <charset val="1"/>
      </rPr>
      <t xml:space="preserve">P. stuartii </t>
    </r>
    <r>
      <rPr>
        <sz val="12"/>
        <color rgb="FF000000"/>
        <rFont val="Liberation Serif;Times New Roman"/>
        <family val="1"/>
        <charset val="1"/>
      </rPr>
      <t xml:space="preserve">Adc. The observation that, in all states, the pI of </t>
    </r>
    <r>
      <rPr>
        <i val="true"/>
        <sz val="12"/>
        <color rgb="FF000000"/>
        <rFont val="Liberation Serif;Times New Roman"/>
        <family val="1"/>
        <charset val="1"/>
      </rPr>
      <t xml:space="preserve">E. coli </t>
    </r>
    <r>
      <rPr>
        <sz val="12"/>
        <color rgb="FF000000"/>
        <rFont val="Liberation Serif;Times New Roman"/>
        <family val="1"/>
        <charset val="1"/>
      </rPr>
      <t xml:space="preserve">Adc is lower than that of</t>
    </r>
    <r>
      <rPr>
        <i val="true"/>
        <sz val="12"/>
        <color rgb="FF000000"/>
        <rFont val="Liberation Serif;Times New Roman"/>
        <family val="1"/>
        <charset val="1"/>
      </rPr>
      <t xml:space="preserve"> P. stuartii </t>
    </r>
    <r>
      <rPr>
        <sz val="12"/>
        <color rgb="FF000000"/>
        <rFont val="Liberation Serif;Times New Roman"/>
        <family val="1"/>
        <charset val="1"/>
      </rPr>
      <t xml:space="preserve">Adc is nonetheless in line with the larger excess of acidic vs. basic residues in the </t>
    </r>
    <r>
      <rPr>
        <i val="true"/>
        <sz val="12"/>
        <color rgb="FF000000"/>
        <rFont val="Liberation Serif;Times New Roman"/>
        <family val="1"/>
        <charset val="1"/>
      </rPr>
      <t xml:space="preserve">E. coli </t>
    </r>
    <r>
      <rPr>
        <sz val="12"/>
        <color rgb="FF000000"/>
        <rFont val="Liberation Serif;Times New Roman"/>
        <family val="1"/>
        <charset val="1"/>
      </rPr>
      <t xml:space="preserve">Adc  (34), as compared to </t>
    </r>
    <r>
      <rPr>
        <i val="true"/>
        <sz val="12"/>
        <color rgb="FF000000"/>
        <rFont val="Liberation Serif;Times New Roman"/>
        <family val="1"/>
        <charset val="1"/>
      </rPr>
      <t xml:space="preserve">P. stuartii </t>
    </r>
    <r>
      <rPr>
        <sz val="12"/>
        <color rgb="FF000000"/>
        <rFont val="Liberation Serif;Times New Roman"/>
        <family val="1"/>
        <charset val="1"/>
      </rPr>
      <t xml:space="preserve">Adc (27) (Supplementary Data 1B). A dramatic difference is observed in the predicted pH of optimum stability for the </t>
    </r>
    <r>
      <rPr>
        <i val="true"/>
        <sz val="12"/>
        <color rgb="FF000000"/>
        <rFont val="Liberation Serif;Times New Roman"/>
        <family val="1"/>
      </rPr>
      <t xml:space="preserve">E. coli </t>
    </r>
    <r>
      <rPr>
        <sz val="12"/>
        <color rgb="FF000000"/>
        <rFont val="Liberation Serif;Times New Roman"/>
        <family val="1"/>
      </rPr>
      <t xml:space="preserve">Adc</t>
    </r>
    <r>
      <rPr>
        <sz val="12"/>
        <color rgb="FF000000"/>
        <rFont val="Liberation Serif;Times New Roman"/>
        <family val="1"/>
        <charset val="1"/>
      </rPr>
      <t xml:space="preserve"> monomer (6.9), dimer (4.3) and decamer (4), suggesting that formation of the latter two is mainly electrostatically driven, at the optimum pH for function. We note that a careful examination of the free energies indicates the presence of two minimums for the </t>
    </r>
    <r>
      <rPr>
        <i val="true"/>
        <sz val="12"/>
        <color rgb="FF000000"/>
        <rFont val="Liberation Serif;Times New Roman"/>
        <family val="1"/>
      </rPr>
      <t xml:space="preserve">E. coli </t>
    </r>
    <r>
      <rPr>
        <sz val="12"/>
        <color rgb="FF000000"/>
        <rFont val="Liberation Serif;Times New Roman"/>
        <family val="1"/>
      </rPr>
      <t xml:space="preserve">Adc </t>
    </r>
    <r>
      <rPr>
        <sz val="12"/>
        <color rgb="FF000000"/>
        <rFont val="Liberation Serif;Times New Roman"/>
        <family val="1"/>
        <charset val="1"/>
      </rPr>
      <t xml:space="preserve">monomer and dimer. In </t>
    </r>
    <r>
      <rPr>
        <i val="true"/>
        <sz val="12"/>
        <color rgb="FF000000"/>
        <rFont val="Liberation Serif;Times New Roman"/>
        <family val="1"/>
        <charset val="1"/>
      </rPr>
      <t xml:space="preserve">E. coli </t>
    </r>
    <r>
      <rPr>
        <sz val="12"/>
        <color rgb="FF000000"/>
        <rFont val="Liberation Serif;Times New Roman"/>
        <family val="1"/>
        <charset val="1"/>
      </rPr>
      <t xml:space="preserve">LdcI, the changes in pI upon dimerization (+0.2), decamerisation (+0.2) and stack formation (+0.1) are reminiscent of those observed in </t>
    </r>
    <r>
      <rPr>
        <i val="true"/>
        <sz val="12"/>
        <color rgb="FF000000"/>
        <rFont val="Liberation Serif;Times New Roman"/>
        <family val="1"/>
        <charset val="1"/>
      </rPr>
      <t xml:space="preserve">P. stuartii</t>
    </r>
    <r>
      <rPr>
        <sz val="12"/>
        <color rgb="FF000000"/>
        <rFont val="Liberation Serif;Times New Roman"/>
        <family val="1"/>
        <charset val="1"/>
      </rPr>
      <t xml:space="preserve"> Adc, notwithstanding that in all states, the pI of </t>
    </r>
    <r>
      <rPr>
        <i val="true"/>
        <sz val="12"/>
        <color rgb="FF000000"/>
        <rFont val="Liberation Serif;Times New Roman"/>
        <family val="1"/>
        <charset val="1"/>
      </rPr>
      <t xml:space="preserve">E. coli</t>
    </r>
    <r>
      <rPr>
        <sz val="12"/>
        <color rgb="FF000000"/>
        <rFont val="Liberation Serif;Times New Roman"/>
        <family val="1"/>
        <charset val="1"/>
      </rPr>
      <t xml:space="preserve"> LdcI is higher due to a lower excess of acidic vs. basic residues (17). Similarly to </t>
    </r>
    <r>
      <rPr>
        <i val="true"/>
        <sz val="12"/>
        <color rgb="FF000000"/>
        <rFont val="Liberation Serif;Times New Roman"/>
        <family val="1"/>
        <charset val="1"/>
      </rPr>
      <t xml:space="preserve">E. coli </t>
    </r>
    <r>
      <rPr>
        <sz val="12"/>
        <color rgb="FF000000"/>
        <rFont val="Liberation Serif;Times New Roman"/>
        <family val="1"/>
        <charset val="1"/>
      </rPr>
      <t xml:space="preserve">Adc, dramatic differences are observed in </t>
    </r>
    <r>
      <rPr>
        <i val="true"/>
        <sz val="12"/>
        <color rgb="FF000000"/>
        <rFont val="Liberation Serif;Times New Roman"/>
        <family val="1"/>
        <charset val="1"/>
      </rPr>
      <t xml:space="preserve">E. coli</t>
    </r>
    <r>
      <rPr>
        <sz val="12"/>
        <color rgb="FF000000"/>
        <rFont val="Liberation Serif;Times New Roman"/>
        <family val="1"/>
        <charset val="1"/>
      </rPr>
      <t xml:space="preserve"> LdcI for the predicted pH of optimum stability for the monomer (6.8), dimer (4.7), decamer (4.3) and stack (4.2). Hence, </t>
    </r>
    <r>
      <rPr>
        <i val="true"/>
        <sz val="12"/>
        <color rgb="FF000000"/>
        <rFont val="Liberation Serif;Times New Roman"/>
        <family val="1"/>
        <charset val="1"/>
      </rPr>
      <t xml:space="preserve">E. coli</t>
    </r>
    <r>
      <rPr>
        <sz val="12"/>
        <color rgb="FF000000"/>
        <rFont val="Liberation Serif;Times New Roman"/>
        <family val="1"/>
        <charset val="1"/>
      </rPr>
      <t xml:space="preserve"> LdcI possesses a mixture of </t>
    </r>
    <r>
      <rPr>
        <i val="true"/>
        <sz val="12"/>
        <color rgb="FF000000"/>
        <rFont val="Liberation Serif;Times New Roman"/>
        <family val="1"/>
        <charset val="1"/>
      </rPr>
      <t xml:space="preserve">P. stuartii</t>
    </r>
    <r>
      <rPr>
        <sz val="12"/>
        <color rgb="FF000000"/>
        <rFont val="Liberation Serif;Times New Roman"/>
        <family val="1"/>
        <charset val="1"/>
      </rPr>
      <t xml:space="preserve"> Adc and</t>
    </r>
    <r>
      <rPr>
        <i val="true"/>
        <sz val="12"/>
        <color rgb="FF000000"/>
        <rFont val="Liberation Serif;Times New Roman"/>
        <family val="1"/>
        <charset val="1"/>
      </rPr>
      <t xml:space="preserve"> E. coli </t>
    </r>
    <r>
      <rPr>
        <sz val="12"/>
        <color rgb="FF000000"/>
        <rFont val="Liberation Serif;Times New Roman"/>
        <family val="1"/>
        <charset val="1"/>
      </rPr>
      <t xml:space="preserve">Adc properties, featuring more charged residues at the dimerisation interface, similarly to </t>
    </r>
    <r>
      <rPr>
        <i val="true"/>
        <sz val="12"/>
        <color rgb="FF000000"/>
        <rFont val="Liberation Serif;Times New Roman"/>
        <family val="1"/>
        <charset val="1"/>
      </rPr>
      <t xml:space="preserve">E. coli</t>
    </r>
    <r>
      <rPr>
        <sz val="12"/>
        <color rgb="FF000000"/>
        <rFont val="Liberation Serif;Times New Roman"/>
        <family val="1"/>
        <charset val="1"/>
      </rPr>
      <t xml:space="preserve"> Adc (explaining the higher predicted pH of optimum stability for the monomer), but twice as many at the decamerisation interface, similarly to </t>
    </r>
    <r>
      <rPr>
        <i val="true"/>
        <sz val="12"/>
        <color rgb="FF000000"/>
        <rFont val="Liberation Serif;Times New Roman"/>
        <family val="1"/>
        <charset val="1"/>
      </rPr>
      <t xml:space="preserve">P. stuartii</t>
    </r>
    <r>
      <rPr>
        <sz val="12"/>
        <color rgb="FF000000"/>
        <rFont val="Liberation Serif;Times New Roman"/>
        <family val="1"/>
        <charset val="1"/>
      </rPr>
      <t xml:space="preserve"> Adc (explaining the increase in pI upon decamerisation and stack formation).</t>
    </r>
  </si>
  <si>
    <r>
      <rPr>
        <i val="true"/>
        <sz val="12"/>
        <color rgb="FF000000"/>
        <rFont val="Calibri"/>
        <family val="2"/>
        <charset val="1"/>
      </rPr>
      <t xml:space="preserve">P. stuartii</t>
    </r>
    <r>
      <rPr>
        <sz val="12"/>
        <color rgb="FF000000"/>
        <rFont val="Calibri"/>
        <family val="2"/>
        <charset val="1"/>
      </rPr>
      <t xml:space="preserve"> Adc</t>
    </r>
  </si>
  <si>
    <t xml:space="preserve">pH</t>
  </si>
  <si>
    <r>
      <rPr>
        <i val="true"/>
        <sz val="12"/>
        <color rgb="FF000000"/>
        <rFont val="Calibri"/>
        <family val="2"/>
        <charset val="1"/>
      </rPr>
      <t xml:space="preserve">E. coli</t>
    </r>
    <r>
      <rPr>
        <sz val="12"/>
        <color rgb="FF000000"/>
        <rFont val="Calibri"/>
        <family val="2"/>
        <charset val="1"/>
      </rPr>
      <t xml:space="preserve"> Adc</t>
    </r>
  </si>
  <si>
    <t xml:space="preserve">E.coliLdcI</t>
  </si>
  <si>
    <t xml:space="preserve">monomer</t>
  </si>
  <si>
    <t xml:space="preserve">dimer</t>
  </si>
  <si>
    <t xml:space="preserve">decamer</t>
  </si>
  <si>
    <t xml:space="preserve">stack</t>
  </si>
  <si>
    <t xml:space="preserve">predicted pH of optimum stability</t>
  </si>
  <si>
    <t xml:space="preserve">isoelectric point (pI) </t>
  </si>
  <si>
    <t xml:space="preserve">protein charge</t>
  </si>
  <si>
    <t xml:space="preserve">free energy of folding (kcal/mol)</t>
  </si>
  <si>
    <t xml:space="preserve">normalized free energy of folding</t>
  </si>
  <si>
    <r>
      <rPr>
        <i val="true"/>
        <sz val="12"/>
        <color rgb="FF000000"/>
        <rFont val="Calibri"/>
        <family val="2"/>
        <charset val="1"/>
      </rPr>
      <t xml:space="preserve">E. coli</t>
    </r>
    <r>
      <rPr>
        <sz val="12"/>
        <color rgb="FF000000"/>
        <rFont val="Calibri"/>
        <family val="2"/>
        <charset val="1"/>
      </rPr>
      <t xml:space="preserve"> LdcI</t>
    </r>
  </si>
</sst>
</file>

<file path=xl/styles.xml><?xml version="1.0" encoding="utf-8"?>
<styleSheet xmlns="http://schemas.openxmlformats.org/spreadsheetml/2006/main">
  <numFmts count="2">
    <numFmt numFmtId="164" formatCode="General"/>
    <numFmt numFmtId="165" formatCode="0.00"/>
  </numFmts>
  <fonts count="41">
    <font>
      <sz val="12"/>
      <color rgb="FF000000"/>
      <name val="Calibri"/>
      <family val="2"/>
      <charset val="1"/>
    </font>
    <font>
      <sz val="10"/>
      <name val="Arial"/>
      <family val="0"/>
    </font>
    <font>
      <sz val="10"/>
      <name val="Arial"/>
      <family val="0"/>
    </font>
    <font>
      <sz val="10"/>
      <name val="Arial"/>
      <family val="0"/>
    </font>
    <font>
      <b val="true"/>
      <sz val="12"/>
      <color rgb="FF000000"/>
      <name val="AriaL"/>
      <family val="2"/>
      <charset val="1"/>
    </font>
    <font>
      <b val="true"/>
      <i val="true"/>
      <sz val="12"/>
      <color rgb="FF000000"/>
      <name val="AriaL"/>
      <family val="2"/>
      <charset val="1"/>
    </font>
    <font>
      <b val="true"/>
      <i val="true"/>
      <sz val="12"/>
      <color rgb="FF000000"/>
      <name val="Calibri"/>
      <family val="2"/>
      <charset val="1"/>
    </font>
    <font>
      <b val="true"/>
      <sz val="12"/>
      <color rgb="FF000000"/>
      <name val="Calibri"/>
      <family val="2"/>
      <charset val="1"/>
    </font>
    <font>
      <sz val="12"/>
      <color rgb="FF9C5700"/>
      <name val="Calibri"/>
      <family val="2"/>
      <charset val="1"/>
    </font>
    <font>
      <sz val="12"/>
      <color rgb="FF9C0006"/>
      <name val="Calibri"/>
      <family val="2"/>
      <charset val="1"/>
    </font>
    <font>
      <sz val="12"/>
      <color rgb="FF006100"/>
      <name val="Calibri"/>
      <family val="2"/>
      <charset val="1"/>
    </font>
    <font>
      <b val="true"/>
      <sz val="11"/>
      <color rgb="FF000000"/>
      <name val="Arial"/>
      <family val="2"/>
      <charset val="1"/>
    </font>
    <font>
      <b val="true"/>
      <i val="true"/>
      <sz val="11"/>
      <color rgb="FF000000"/>
      <name val="Arial"/>
      <family val="2"/>
      <charset val="1"/>
    </font>
    <font>
      <b val="true"/>
      <sz val="12"/>
      <color rgb="FF000000"/>
      <name val="Liberation Serif;Times New Roman"/>
      <family val="1"/>
      <charset val="1"/>
    </font>
    <font>
      <b val="true"/>
      <i val="true"/>
      <sz val="12"/>
      <color rgb="FF000000"/>
      <name val="Liberation Serif;Times New Roman"/>
      <family val="1"/>
      <charset val="1"/>
    </font>
    <font>
      <sz val="12"/>
      <color rgb="FF000000"/>
      <name val="Liberation Serif;Times New Roman"/>
      <family val="1"/>
      <charset val="1"/>
    </font>
    <font>
      <i val="true"/>
      <sz val="12"/>
      <color rgb="FF000000"/>
      <name val="Liberation Serif;Times New Roman"/>
      <family val="1"/>
      <charset val="1"/>
    </font>
    <font>
      <sz val="22"/>
      <color rgb="FF000000"/>
      <name val="Calibri"/>
      <family val="2"/>
      <charset val="1"/>
    </font>
    <font>
      <sz val="11"/>
      <color rgb="FF000000"/>
      <name val="Menlo"/>
      <family val="2"/>
      <charset val="1"/>
    </font>
    <font>
      <i val="true"/>
      <sz val="12"/>
      <color rgb="FF000000"/>
      <name val="Calibri"/>
      <family val="2"/>
      <charset val="1"/>
    </font>
    <font>
      <sz val="12"/>
      <color rgb="FFFF0000"/>
      <name val="Calibri (Corps)"/>
      <family val="0"/>
      <charset val="1"/>
    </font>
    <font>
      <sz val="12"/>
      <color rgb="FFFF0000"/>
      <name val="Calibri"/>
      <family val="2"/>
      <charset val="1"/>
    </font>
    <font>
      <sz val="12"/>
      <color rgb="FF0070C0"/>
      <name val="Calibri (Corps)"/>
      <family val="0"/>
      <charset val="1"/>
    </font>
    <font>
      <b val="true"/>
      <sz val="12"/>
      <color rgb="FF000000"/>
      <name val="Calibri (Corps)"/>
      <family val="0"/>
      <charset val="1"/>
    </font>
    <font>
      <sz val="12"/>
      <color rgb="FF000000"/>
      <name val="Calibri (Corps)"/>
      <family val="0"/>
      <charset val="1"/>
    </font>
    <font>
      <b val="true"/>
      <sz val="12"/>
      <color rgb="FFFF0000"/>
      <name val="Calibri (Corps)"/>
      <family val="0"/>
      <charset val="1"/>
    </font>
    <font>
      <b val="true"/>
      <sz val="12"/>
      <color rgb="FF0070C0"/>
      <name val="Calibri"/>
      <family val="2"/>
      <charset val="1"/>
    </font>
    <font>
      <sz val="12"/>
      <color rgb="FF0070C0"/>
      <name val="Calibri"/>
      <family val="2"/>
      <charset val="1"/>
    </font>
    <font>
      <b val="true"/>
      <sz val="12"/>
      <color rgb="FF0070C0"/>
      <name val="Calibri (Corps)"/>
      <family val="0"/>
      <charset val="1"/>
    </font>
    <font>
      <u val="single"/>
      <sz val="12"/>
      <color rgb="FF000000"/>
      <name val="Calibri (Corps)"/>
      <family val="0"/>
      <charset val="1"/>
    </font>
    <font>
      <b val="true"/>
      <sz val="12"/>
      <color rgb="FFFF0000"/>
      <name val="Calibri"/>
      <family val="2"/>
      <charset val="1"/>
    </font>
    <font>
      <sz val="10"/>
      <color rgb="FF000000"/>
      <name val="Helvetica Neue"/>
      <family val="2"/>
      <charset val="1"/>
    </font>
    <font>
      <i val="true"/>
      <sz val="12"/>
      <color rgb="FF000000"/>
      <name val="Liberation Serif;Times New Roman"/>
      <family val="1"/>
    </font>
    <font>
      <sz val="12"/>
      <color rgb="FF000000"/>
      <name val="Liberation Serif;Times New Roman"/>
      <family val="1"/>
    </font>
    <font>
      <sz val="16"/>
      <color rgb="FF000000"/>
      <name val="Arial"/>
      <family val="2"/>
      <charset val="1"/>
    </font>
    <font>
      <sz val="20"/>
      <color rgb="FF000000"/>
      <name val="Arial"/>
      <family val="2"/>
    </font>
    <font>
      <sz val="22"/>
      <color rgb="FF000000"/>
      <name val="Calibri"/>
      <family val="2"/>
    </font>
    <font>
      <sz val="22"/>
      <color rgb="FF000000"/>
      <name val="Arial"/>
      <family val="2"/>
    </font>
    <font>
      <sz val="14"/>
      <color rgb="FF595959"/>
      <name val="Calibri"/>
      <family val="2"/>
    </font>
    <font>
      <sz val="9"/>
      <color rgb="FF595959"/>
      <name val="Calibri"/>
      <family val="2"/>
    </font>
    <font>
      <sz val="10"/>
      <name val="Arial"/>
      <family val="2"/>
    </font>
  </fonts>
  <fills count="7">
    <fill>
      <patternFill patternType="none"/>
    </fill>
    <fill>
      <patternFill patternType="gray125"/>
    </fill>
    <fill>
      <patternFill patternType="solid">
        <fgColor rgb="FFFFC7CE"/>
        <bgColor rgb="FFD9D9D9"/>
      </patternFill>
    </fill>
    <fill>
      <patternFill patternType="solid">
        <fgColor rgb="FFFFFF00"/>
        <bgColor rgb="FFFFFF00"/>
      </patternFill>
    </fill>
    <fill>
      <patternFill patternType="solid">
        <fgColor rgb="FFE7E6E6"/>
        <bgColor rgb="FFF2F2F2"/>
      </patternFill>
    </fill>
    <fill>
      <patternFill patternType="solid">
        <fgColor rgb="FFFFEB9C"/>
        <bgColor rgb="FFE7E6E6"/>
      </patternFill>
    </fill>
    <fill>
      <patternFill patternType="solid">
        <fgColor rgb="FFC6EFCE"/>
        <bgColor rgb="FFD9D9D9"/>
      </patternFill>
    </fill>
  </fills>
  <borders count="48">
    <border diagonalUp="false" diagonalDown="false">
      <left/>
      <right/>
      <top/>
      <bottom/>
      <diagonal/>
    </border>
    <border diagonalUp="false" diagonalDown="false">
      <left style="medium"/>
      <right style="medium"/>
      <top style="medium"/>
      <bottom style="mediu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style="thin"/>
      <bottom style="thin"/>
      <diagonal/>
    </border>
    <border diagonalUp="false" diagonalDown="false">
      <left style="medium"/>
      <right style="thin"/>
      <top style="thin"/>
      <bottom style="thin"/>
      <diagonal/>
    </border>
    <border diagonalUp="false" diagonalDown="false">
      <left style="thin"/>
      <right style="thin"/>
      <top style="thin"/>
      <bottom style="medium"/>
      <diagonal/>
    </border>
    <border diagonalUp="false" diagonalDown="false">
      <left style="medium"/>
      <right style="thin"/>
      <top style="thin"/>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bottom style="medium"/>
      <diagonal/>
    </border>
    <border diagonalUp="false" diagonalDown="false">
      <left style="medium"/>
      <right style="medium"/>
      <top style="medium"/>
      <bottom style="thin"/>
      <diagonal/>
    </border>
    <border diagonalUp="false" diagonalDown="false">
      <left style="thin"/>
      <right style="medium"/>
      <top style="thin"/>
      <bottom style="thin"/>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medium"/>
      <top style="thin"/>
      <bottom style="mediu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right style="medium"/>
      <top style="medium"/>
      <bottom style="medium"/>
      <diagonal/>
    </border>
    <border diagonalUp="false" diagonalDown="false">
      <left/>
      <right style="medium"/>
      <top/>
      <bottom style="thin"/>
      <diagonal/>
    </border>
    <border diagonalUp="false" diagonalDown="false">
      <left/>
      <right style="thin"/>
      <top/>
      <bottom style="thin"/>
      <diagonal/>
    </border>
    <border diagonalUp="false" diagonalDown="false">
      <left style="medium"/>
      <right style="medium"/>
      <top style="thin"/>
      <bottom style="thin"/>
      <diagonal/>
    </border>
    <border diagonalUp="false" diagonalDown="false">
      <left/>
      <right style="medium"/>
      <top style="thin"/>
      <bottom style="thin"/>
      <diagonal/>
    </border>
    <border diagonalUp="false" diagonalDown="false">
      <left/>
      <right style="thin"/>
      <top style="thin"/>
      <bottom style="thin"/>
      <diagonal/>
    </border>
    <border diagonalUp="false" diagonalDown="false">
      <left style="medium"/>
      <right/>
      <top style="thin"/>
      <bottom style="thin"/>
      <diagonal/>
    </border>
    <border diagonalUp="false" diagonalDown="false">
      <left style="medium"/>
      <right style="medium"/>
      <top style="thin"/>
      <bottom/>
      <diagonal/>
    </border>
    <border diagonalUp="false" diagonalDown="false">
      <left style="medium"/>
      <right style="medium"/>
      <top style="thin"/>
      <bottom style="medium"/>
      <diagonal/>
    </border>
    <border diagonalUp="false" diagonalDown="false">
      <left/>
      <right style="thin"/>
      <top style="thin"/>
      <bottom style="medium"/>
      <diagonal/>
    </border>
    <border diagonalUp="false" diagonalDown="false">
      <left style="medium"/>
      <right/>
      <top/>
      <bottom style="thin"/>
      <diagonal/>
    </border>
    <border diagonalUp="false" diagonalDown="false">
      <left style="medium"/>
      <right/>
      <top style="medium"/>
      <bottom style="thin"/>
      <diagonal/>
    </border>
    <border diagonalUp="false" diagonalDown="false">
      <left style="medium"/>
      <right/>
      <top style="thin"/>
      <bottom/>
      <diagonal/>
    </border>
    <border diagonalUp="false" diagonalDown="false">
      <left style="thin"/>
      <right/>
      <top style="thin"/>
      <bottom style="thin"/>
      <diagonal/>
    </border>
    <border diagonalUp="false" diagonalDown="false">
      <left style="medium"/>
      <right/>
      <top style="thin"/>
      <bottom style="medium"/>
      <diagonal/>
    </border>
    <border diagonalUp="false" diagonalDown="false">
      <left style="thin"/>
      <right/>
      <top style="thin"/>
      <bottom style="medium"/>
      <diagonal/>
    </border>
    <border diagonalUp="false" diagonalDown="false">
      <left style="medium"/>
      <right style="medium"/>
      <top style="medium"/>
      <bottom/>
      <diagonal/>
    </border>
    <border diagonalUp="false" diagonalDown="false">
      <left/>
      <right style="medium"/>
      <top style="medium"/>
      <bottom style="thin"/>
      <diagonal/>
    </border>
    <border diagonalUp="false" diagonalDown="false">
      <left style="thin"/>
      <right/>
      <top style="thin"/>
      <bottom/>
      <diagonal/>
    </border>
    <border diagonalUp="false" diagonalDown="false">
      <left/>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2" borderId="0" applyFont="true" applyBorder="false" applyAlignment="true" applyProtection="false">
      <alignment horizontal="general" vertical="bottom" textRotation="0" wrapText="false" indent="0" shrinkToFit="false"/>
    </xf>
  </cellStyleXfs>
  <cellXfs count="1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bottom" textRotation="0" wrapText="fals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4" borderId="6" xfId="0" applyFont="true" applyBorder="true" applyAlignment="false" applyProtection="false">
      <alignment horizontal="general" vertical="bottom" textRotation="0" wrapText="false" indent="0" shrinkToFit="false"/>
      <protection locked="true" hidden="false"/>
    </xf>
    <xf numFmtId="164" fontId="0" fillId="4" borderId="6" xfId="0" applyFont="true" applyBorder="true" applyAlignment="true" applyProtection="false">
      <alignment horizontal="general" vertical="bottom" textRotation="0" wrapText="tru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true" applyProtection="false">
      <alignment horizontal="center" vertical="bottom" textRotation="0" wrapText="false" indent="0" shrinkToFit="false"/>
      <protection locked="true" hidden="false"/>
    </xf>
    <xf numFmtId="164" fontId="0" fillId="4" borderId="7" xfId="0" applyFont="tru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true" applyProtection="false">
      <alignment horizontal="center" vertical="bottom" textRotation="0" wrapText="false" indent="0" shrinkToFit="false"/>
      <protection locked="true" hidden="false"/>
    </xf>
    <xf numFmtId="164" fontId="8" fillId="5" borderId="6" xfId="20" applyFont="true" applyBorder="true" applyAlignment="true" applyProtection="true">
      <alignment horizontal="general" vertical="bottom" textRotation="0" wrapText="false" indent="0" shrinkToFit="false"/>
      <protection locked="true" hidden="false"/>
    </xf>
    <xf numFmtId="164" fontId="10" fillId="6" borderId="6" xfId="20" applyFont="true" applyBorder="true" applyAlignment="true" applyProtection="true">
      <alignment horizontal="general" vertical="bottom" textRotation="0" wrapText="false" indent="0" shrinkToFit="false"/>
      <protection locked="true" hidden="false"/>
    </xf>
    <xf numFmtId="164" fontId="9" fillId="2" borderId="6" xfId="20" applyFont="true" applyBorder="true" applyAlignment="true" applyProtection="tru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9" xfId="0" applyFont="false" applyBorder="true" applyAlignment="true" applyProtection="false">
      <alignment horizontal="center" vertical="bottom" textRotation="0" wrapText="false" indent="0" shrinkToFit="false"/>
      <protection locked="true" hidden="false"/>
    </xf>
    <xf numFmtId="164" fontId="0" fillId="0" borderId="8" xfId="0" applyFont="false" applyBorder="true" applyAlignment="true" applyProtection="false">
      <alignment horizontal="center" vertical="bottom"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5"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12"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true" applyProtection="false">
      <alignment horizontal="center" vertical="bottom" textRotation="0" wrapText="false" indent="0" shrinkToFit="false"/>
      <protection locked="true" hidden="false"/>
    </xf>
    <xf numFmtId="164" fontId="0" fillId="0" borderId="11" xfId="0" applyFont="false" applyBorder="true" applyAlignment="true" applyProtection="false">
      <alignment horizontal="center"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4" fontId="0" fillId="0" borderId="6"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left" vertical="bottom" textRotation="0" wrapText="true" indent="0" shrinkToFit="false"/>
      <protection locked="true" hidden="false"/>
    </xf>
    <xf numFmtId="164" fontId="17"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7" fillId="4" borderId="13" xfId="0" applyFont="true" applyBorder="true" applyAlignment="true" applyProtection="false">
      <alignment horizontal="left" vertical="bottom" textRotation="0" wrapText="false" indent="0" shrinkToFit="false"/>
      <protection locked="true" hidden="false"/>
    </xf>
    <xf numFmtId="164" fontId="0" fillId="4" borderId="7" xfId="0" applyFont="true" applyBorder="true" applyAlignment="true" applyProtection="false">
      <alignment horizontal="center" vertical="bottom" textRotation="0" wrapText="false" indent="0" shrinkToFit="false"/>
      <protection locked="true" hidden="false"/>
    </xf>
    <xf numFmtId="164" fontId="19" fillId="4" borderId="6" xfId="0" applyFont="true" applyBorder="true" applyAlignment="true" applyProtection="false">
      <alignment horizontal="center" vertical="bottom" textRotation="0" wrapText="true" indent="0" shrinkToFit="false"/>
      <protection locked="true" hidden="false"/>
    </xf>
    <xf numFmtId="164" fontId="19" fillId="4" borderId="14" xfId="0" applyFont="true" applyBorder="true" applyAlignment="true" applyProtection="false">
      <alignment horizontal="center" vertical="bottom" textRotation="0" wrapText="true" indent="0" shrinkToFit="false"/>
      <protection locked="true" hidden="false"/>
    </xf>
    <xf numFmtId="164" fontId="0" fillId="4" borderId="14" xfId="0" applyFont="true" applyBorder="true" applyAlignment="false" applyProtection="false">
      <alignment horizontal="general" vertical="bottom" textRotation="0" wrapText="false" indent="0" shrinkToFit="false"/>
      <protection locked="true" hidden="false"/>
    </xf>
    <xf numFmtId="164" fontId="0" fillId="4" borderId="14" xfId="0" applyFont="true" applyBorder="true" applyAlignment="true" applyProtection="false">
      <alignment horizontal="center" vertical="bottom" textRotation="0" wrapText="false" indent="0" shrinkToFit="false"/>
      <protection locked="true" hidden="false"/>
    </xf>
    <xf numFmtId="164" fontId="0" fillId="4" borderId="15" xfId="0" applyFont="true" applyBorder="true" applyAlignment="true" applyProtection="false">
      <alignment horizontal="center" vertical="bottom" textRotation="0" wrapText="false" indent="0" shrinkToFit="false"/>
      <protection locked="true" hidden="false"/>
    </xf>
    <xf numFmtId="164" fontId="0" fillId="4" borderId="16" xfId="0" applyFont="true" applyBorder="true" applyAlignment="true" applyProtection="false">
      <alignment horizontal="general" vertical="bottom" textRotation="0" wrapText="true" indent="0" shrinkToFit="false"/>
      <protection locked="true" hidden="false"/>
    </xf>
    <xf numFmtId="164" fontId="0" fillId="4" borderId="17" xfId="0" applyFont="true" applyBorder="true" applyAlignment="true" applyProtection="false">
      <alignment horizontal="general" vertical="bottom" textRotation="0" wrapText="true" indent="0" shrinkToFit="false"/>
      <protection locked="true" hidden="false"/>
    </xf>
    <xf numFmtId="164" fontId="0" fillId="4" borderId="18" xfId="0" applyFont="true" applyBorder="true" applyAlignment="false" applyProtection="false">
      <alignment horizontal="general" vertical="bottom" textRotation="0" wrapText="false" indent="0" shrinkToFit="false"/>
      <protection locked="true" hidden="false"/>
    </xf>
    <xf numFmtId="164" fontId="20" fillId="0" borderId="19" xfId="0" applyFont="true" applyBorder="true" applyAlignment="true" applyProtection="false">
      <alignment horizontal="general" vertical="bottom" textRotation="0" wrapText="true" indent="0" shrinkToFit="false"/>
      <protection locked="true" hidden="false"/>
    </xf>
    <xf numFmtId="164" fontId="26" fillId="0" borderId="19" xfId="0" applyFont="true" applyBorder="true" applyAlignment="true" applyProtection="false">
      <alignment horizontal="general" vertical="bottom" textRotation="0" wrapText="true" indent="0" shrinkToFit="false"/>
      <protection locked="true" hidden="false"/>
    </xf>
    <xf numFmtId="164" fontId="27" fillId="0" borderId="19" xfId="0" applyFont="true" applyBorder="true" applyAlignment="true" applyProtection="false">
      <alignment horizontal="general" vertical="bottom" textRotation="0" wrapText="true" indent="0" shrinkToFit="false"/>
      <protection locked="true" hidden="false"/>
    </xf>
    <xf numFmtId="164" fontId="27" fillId="0" borderId="20" xfId="0" applyFont="true" applyBorder="true" applyAlignment="true" applyProtection="false">
      <alignment horizontal="general" vertical="bottom" textRotation="0" wrapText="true" indent="0" shrinkToFit="false"/>
      <protection locked="true" hidden="false"/>
    </xf>
    <xf numFmtId="164" fontId="29" fillId="4" borderId="21" xfId="0" applyFont="true" applyBorder="true" applyAlignment="false" applyProtection="false">
      <alignment horizontal="general" vertical="bottom" textRotation="0" wrapText="false" indent="0" shrinkToFit="false"/>
      <protection locked="true" hidden="false"/>
    </xf>
    <xf numFmtId="164" fontId="25" fillId="0" borderId="22" xfId="0" applyFont="true" applyBorder="true" applyAlignment="true" applyProtection="false">
      <alignment horizontal="general" vertical="bottom" textRotation="0" wrapText="true" indent="0" shrinkToFit="false"/>
      <protection locked="true" hidden="false"/>
    </xf>
    <xf numFmtId="164" fontId="27" fillId="0" borderId="22" xfId="0" applyFont="true" applyBorder="true" applyAlignment="true" applyProtection="false">
      <alignment horizontal="general" vertical="bottom" textRotation="0" wrapText="true" indent="0" shrinkToFit="false"/>
      <protection locked="true" hidden="false"/>
    </xf>
    <xf numFmtId="164" fontId="20" fillId="0" borderId="22" xfId="0" applyFont="true" applyBorder="true" applyAlignment="true" applyProtection="false">
      <alignment horizontal="general" vertical="bottom" textRotation="0" wrapText="true" indent="0" shrinkToFit="false"/>
      <protection locked="true" hidden="false"/>
    </xf>
    <xf numFmtId="164" fontId="27" fillId="0" borderId="23" xfId="0" applyFont="true" applyBorder="true" applyAlignment="true" applyProtection="false">
      <alignment horizontal="general" vertical="bottom" textRotation="0" wrapText="true" indent="0" shrinkToFit="false"/>
      <protection locked="true" hidden="false"/>
    </xf>
    <xf numFmtId="164" fontId="24" fillId="4" borderId="7" xfId="0" applyFont="true" applyBorder="true" applyAlignment="false" applyProtection="false">
      <alignment horizontal="general" vertical="bottom" textRotation="0" wrapText="false" indent="0" shrinkToFit="false"/>
      <protection locked="true" hidden="false"/>
    </xf>
    <xf numFmtId="164" fontId="20" fillId="0" borderId="6" xfId="0" applyFont="true" applyBorder="true" applyAlignment="true" applyProtection="false">
      <alignment horizontal="general" vertical="bottom" textRotation="0" wrapText="true" indent="0" shrinkToFit="false"/>
      <protection locked="true" hidden="false"/>
    </xf>
    <xf numFmtId="164" fontId="28" fillId="0" borderId="6" xfId="0" applyFont="true" applyBorder="true" applyAlignment="true" applyProtection="false">
      <alignment horizontal="general" vertical="bottom" textRotation="0" wrapText="true" indent="0" shrinkToFit="false"/>
      <protection locked="true" hidden="false"/>
    </xf>
    <xf numFmtId="164" fontId="7" fillId="0" borderId="6" xfId="0" applyFont="true" applyBorder="true" applyAlignment="true" applyProtection="false">
      <alignment horizontal="general" vertical="bottom" textRotation="0" wrapText="true" indent="0" shrinkToFit="false"/>
      <protection locked="true" hidden="false"/>
    </xf>
    <xf numFmtId="164" fontId="27" fillId="0" borderId="6" xfId="0" applyFont="true" applyBorder="true" applyAlignment="true" applyProtection="false">
      <alignment horizontal="general" vertical="bottom" textRotation="0" wrapText="true" indent="0" shrinkToFit="false"/>
      <protection locked="true" hidden="false"/>
    </xf>
    <xf numFmtId="164" fontId="22" fillId="0" borderId="14" xfId="0" applyFont="true" applyBorder="true" applyAlignment="true" applyProtection="false">
      <alignment horizontal="general" vertical="bottom" textRotation="0" wrapText="true" indent="0" shrinkToFit="false"/>
      <protection locked="true" hidden="false"/>
    </xf>
    <xf numFmtId="164" fontId="21" fillId="0" borderId="6" xfId="0" applyFont="true" applyBorder="true" applyAlignment="true" applyProtection="false">
      <alignment horizontal="general" vertical="bottom" textRotation="0" wrapText="true" indent="0" shrinkToFit="false"/>
      <protection locked="true" hidden="false"/>
    </xf>
    <xf numFmtId="164" fontId="22" fillId="0" borderId="6" xfId="0" applyFont="true" applyBorder="true" applyAlignment="true" applyProtection="false">
      <alignment horizontal="general" vertical="bottom" textRotation="0" wrapText="true" indent="0" shrinkToFit="false"/>
      <protection locked="true" hidden="false"/>
    </xf>
    <xf numFmtId="164" fontId="27" fillId="0" borderId="14" xfId="0" applyFont="true" applyBorder="true" applyAlignment="true" applyProtection="false">
      <alignment horizontal="general" vertical="bottom" textRotation="0" wrapText="true" indent="0" shrinkToFit="false"/>
      <protection locked="true" hidden="false"/>
    </xf>
    <xf numFmtId="164" fontId="0" fillId="4" borderId="9" xfId="0" applyFont="true" applyBorder="true" applyAlignment="false" applyProtection="false">
      <alignment horizontal="general" vertical="bottom" textRotation="0" wrapText="false" indent="0" shrinkToFit="false"/>
      <protection locked="true" hidden="false"/>
    </xf>
    <xf numFmtId="164" fontId="0" fillId="4" borderId="8" xfId="0" applyFont="true" applyBorder="true" applyAlignment="true" applyProtection="false">
      <alignment horizontal="general" vertical="bottom" textRotation="0" wrapText="true" indent="0" shrinkToFit="false"/>
      <protection locked="true" hidden="false"/>
    </xf>
    <xf numFmtId="164" fontId="7" fillId="0" borderId="8" xfId="0" applyFont="true" applyBorder="true" applyAlignment="true" applyProtection="false">
      <alignment horizontal="general" vertical="bottom" textRotation="0" wrapText="true" indent="0" shrinkToFit="false"/>
      <protection locked="true" hidden="false"/>
    </xf>
    <xf numFmtId="164" fontId="27" fillId="0" borderId="24" xfId="0" applyFont="true" applyBorder="true" applyAlignment="true" applyProtection="false">
      <alignment horizontal="general" vertical="bottom" textRotation="0" wrapText="true" indent="0" shrinkToFit="false"/>
      <protection locked="true" hidden="false"/>
    </xf>
    <xf numFmtId="164" fontId="0" fillId="4" borderId="25" xfId="0" applyFont="true" applyBorder="true" applyAlignment="false" applyProtection="false">
      <alignment horizontal="general" vertical="bottom" textRotation="0" wrapText="false" indent="0" shrinkToFit="false"/>
      <protection locked="true" hidden="false"/>
    </xf>
    <xf numFmtId="164" fontId="0" fillId="0" borderId="26" xfId="0" applyFont="true" applyBorder="true" applyAlignment="true" applyProtection="false">
      <alignment horizontal="general" vertical="bottom" textRotation="0" wrapText="true" indent="0" shrinkToFit="false"/>
      <protection locked="true" hidden="false"/>
    </xf>
    <xf numFmtId="164" fontId="27" fillId="0" borderId="26" xfId="0" applyFont="true" applyBorder="true" applyAlignment="true" applyProtection="false">
      <alignment horizontal="general" vertical="bottom" textRotation="0" wrapText="true" indent="0" shrinkToFit="false"/>
      <protection locked="true" hidden="false"/>
    </xf>
    <xf numFmtId="164" fontId="0" fillId="4" borderId="26" xfId="0" applyFont="true" applyBorder="true" applyAlignment="true" applyProtection="false">
      <alignment horizontal="general" vertical="bottom" textRotation="0" wrapText="true" indent="0" shrinkToFit="false"/>
      <protection locked="true" hidden="false"/>
    </xf>
    <xf numFmtId="164" fontId="20" fillId="0" borderId="26" xfId="0" applyFont="true" applyBorder="true" applyAlignment="true" applyProtection="false">
      <alignment horizontal="general" vertical="bottom" textRotation="0" wrapText="true" indent="0" shrinkToFit="false"/>
      <protection locked="true" hidden="false"/>
    </xf>
    <xf numFmtId="164" fontId="22" fillId="0" borderId="27" xfId="0" applyFont="true" applyBorder="true" applyAlignment="true" applyProtection="false">
      <alignment horizontal="general" vertical="bottom" textRotation="0" wrapText="true" indent="0" shrinkToFit="false"/>
      <protection locked="true" hidden="false"/>
    </xf>
    <xf numFmtId="164" fontId="26" fillId="0" borderId="14" xfId="0" applyFont="true" applyBorder="true" applyAlignment="true" applyProtection="false">
      <alignment horizontal="general" vertical="bottom" textRotation="0" wrapText="true" indent="0" shrinkToFit="false"/>
      <protection locked="true" hidden="false"/>
    </xf>
    <xf numFmtId="164" fontId="30" fillId="0" borderId="8" xfId="0" applyFont="true" applyBorder="true" applyAlignment="true" applyProtection="false">
      <alignment horizontal="general" vertical="bottom" textRotation="0" wrapText="true" indent="0" shrinkToFit="false"/>
      <protection locked="true" hidden="false"/>
    </xf>
    <xf numFmtId="164" fontId="7" fillId="4" borderId="6" xfId="0" applyFont="true" applyBorder="true" applyAlignment="true" applyProtection="false">
      <alignment horizontal="left" vertical="bottom" textRotation="0" wrapText="false" indent="0" shrinkToFit="false"/>
      <protection locked="true" hidden="false"/>
    </xf>
    <xf numFmtId="164" fontId="0" fillId="4" borderId="6" xfId="0" applyFont="true" applyBorder="true" applyAlignment="true" applyProtection="false">
      <alignment horizontal="center" vertical="bottom" textRotation="0" wrapText="false" indent="0" shrinkToFit="false"/>
      <protection locked="true" hidden="false"/>
    </xf>
    <xf numFmtId="164" fontId="29" fillId="4" borderId="6" xfId="0" applyFont="true" applyBorder="true" applyAlignment="false" applyProtection="false">
      <alignment horizontal="general" vertical="bottom" textRotation="0" wrapText="false" indent="0" shrinkToFit="false"/>
      <protection locked="true" hidden="false"/>
    </xf>
    <xf numFmtId="164" fontId="24" fillId="4" borderId="6"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6" xfId="0" applyFont="false" applyBorder="true" applyAlignment="true" applyProtection="false">
      <alignment horizontal="general" vertical="bottom" textRotation="0" wrapText="tru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0" fillId="0" borderId="6" xfId="0" applyFont="true" applyBorder="true" applyAlignment="true" applyProtection="false">
      <alignment horizontal="general" vertical="bottom" textRotation="0" wrapText="true" indent="0" shrinkToFit="false"/>
      <protection locked="true" hidden="false"/>
    </xf>
    <xf numFmtId="165" fontId="0" fillId="0" borderId="6" xfId="0" applyFont="false" applyBorder="true" applyAlignment="false" applyProtection="false">
      <alignment horizontal="general" vertical="bottom" textRotation="0" wrapText="false" indent="0" shrinkToFit="false"/>
      <protection locked="true" hidden="false"/>
    </xf>
    <xf numFmtId="165" fontId="0" fillId="4" borderId="6" xfId="0" applyFont="true" applyBorder="true" applyAlignment="true" applyProtection="false">
      <alignment horizontal="general" vertical="bottom" textRotation="0" wrapText="true" indent="0" shrinkToFit="false"/>
      <protection locked="true" hidden="false"/>
    </xf>
    <xf numFmtId="165" fontId="0" fillId="0" borderId="6" xfId="0" applyFont="false" applyBorder="true" applyAlignment="true" applyProtection="false">
      <alignment horizontal="general" vertical="bottom" textRotation="0" wrapText="true" indent="0" shrinkToFit="false"/>
      <protection locked="true" hidden="false"/>
    </xf>
    <xf numFmtId="164" fontId="31" fillId="4" borderId="6" xfId="0" applyFont="true" applyBorder="true" applyAlignment="false" applyProtection="false">
      <alignment horizontal="general" vertical="bottom" textRotation="0" wrapText="false" indent="0" shrinkToFit="false"/>
      <protection locked="true" hidden="false"/>
    </xf>
    <xf numFmtId="165" fontId="0" fillId="0" borderId="6" xfId="0" applyFont="true" applyBorder="true" applyAlignment="true" applyProtection="false">
      <alignment horizontal="general" vertical="bottom" textRotation="0" wrapText="true" indent="0" shrinkToFit="false"/>
      <protection locked="true" hidden="false"/>
    </xf>
    <xf numFmtId="165" fontId="7" fillId="0" borderId="6"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xf numFmtId="164" fontId="34" fillId="0" borderId="0" xfId="0" applyFont="true" applyBorder="false" applyAlignment="true" applyProtection="false">
      <alignment horizontal="general" vertical="bottom"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9" fillId="4" borderId="1" xfId="0" applyFont="true" applyBorder="true" applyAlignment="true" applyProtection="false">
      <alignment horizontal="center" vertical="bottom" textRotation="0" wrapText="false" indent="0" shrinkToFit="false"/>
      <protection locked="true" hidden="false"/>
    </xf>
    <xf numFmtId="164" fontId="0" fillId="4" borderId="13" xfId="0" applyFont="true" applyBorder="true" applyAlignment="true" applyProtection="false">
      <alignment horizontal="center" vertical="bottom" textRotation="0" wrapText="true" indent="0" shrinkToFit="false"/>
      <protection locked="true" hidden="false"/>
    </xf>
    <xf numFmtId="164" fontId="0" fillId="4" borderId="28" xfId="0" applyFont="true" applyBorder="true" applyAlignment="true" applyProtection="false">
      <alignment horizontal="center" vertical="bottom" textRotation="0" wrapText="false" indent="0" shrinkToFit="false"/>
      <protection locked="true" hidden="false"/>
    </xf>
    <xf numFmtId="164" fontId="0" fillId="4" borderId="25" xfId="0" applyFont="true" applyBorder="true" applyAlignment="true" applyProtection="false">
      <alignment horizontal="center" vertical="bottom" textRotation="0" wrapText="true" indent="0" shrinkToFit="false"/>
      <protection locked="true" hidden="false"/>
    </xf>
    <xf numFmtId="164" fontId="0" fillId="4" borderId="13" xfId="0" applyFont="true" applyBorder="true" applyAlignment="true" applyProtection="false">
      <alignment horizontal="center" vertical="bottom" textRotation="0" wrapText="false" indent="0" shrinkToFit="false"/>
      <protection locked="true" hidden="false"/>
    </xf>
    <xf numFmtId="164" fontId="0" fillId="4" borderId="29" xfId="0" applyFont="true" applyBorder="true" applyAlignment="true" applyProtection="false">
      <alignment horizontal="center" vertical="bottom" textRotation="0" wrapText="false" indent="0" shrinkToFit="false"/>
      <protection locked="true" hidden="false"/>
    </xf>
    <xf numFmtId="164" fontId="0" fillId="4" borderId="21" xfId="0" applyFont="true" applyBorder="true" applyAlignment="true" applyProtection="false">
      <alignment horizontal="center" vertical="bottom" textRotation="0" wrapText="true" indent="0" shrinkToFit="false"/>
      <protection locked="true" hidden="false"/>
    </xf>
    <xf numFmtId="164" fontId="0" fillId="4" borderId="30" xfId="0" applyFont="true" applyBorder="true" applyAlignment="true" applyProtection="false">
      <alignment horizontal="center" vertical="bottom" textRotation="0" wrapText="true" indent="0" shrinkToFit="false"/>
      <protection locked="true" hidden="false"/>
    </xf>
    <xf numFmtId="164" fontId="0" fillId="4" borderId="26" xfId="0" applyFont="true" applyBorder="true" applyAlignment="true" applyProtection="false">
      <alignment horizontal="center" vertical="bottom" textRotation="0" wrapText="false" indent="0" shrinkToFit="false"/>
      <protection locked="true" hidden="false"/>
    </xf>
    <xf numFmtId="164" fontId="0" fillId="4" borderId="27" xfId="0" applyFont="true" applyBorder="true" applyAlignment="true" applyProtection="false">
      <alignment horizontal="center" vertical="bottom" textRotation="0" wrapText="false" indent="0" shrinkToFit="false"/>
      <protection locked="true" hidden="false"/>
    </xf>
    <xf numFmtId="164" fontId="0" fillId="4" borderId="30" xfId="0" applyFont="true" applyBorder="true" applyAlignment="true" applyProtection="false">
      <alignment horizontal="center" vertical="bottom" textRotation="0" wrapText="false" indent="0" shrinkToFit="false"/>
      <protection locked="true" hidden="false"/>
    </xf>
    <xf numFmtId="164" fontId="0" fillId="4" borderId="31" xfId="0" applyFont="false" applyBorder="true" applyAlignment="true" applyProtection="false">
      <alignment horizontal="center" vertical="center" textRotation="0" wrapText="false" indent="0" shrinkToFit="false"/>
      <protection locked="true" hidden="false"/>
    </xf>
    <xf numFmtId="164" fontId="0" fillId="4" borderId="32" xfId="0" applyFont="false" applyBorder="true" applyAlignment="true" applyProtection="false">
      <alignment horizontal="center" vertical="center" textRotation="0" wrapText="false" indent="0" shrinkToFit="false"/>
      <protection locked="true" hidden="false"/>
    </xf>
    <xf numFmtId="164" fontId="0" fillId="4" borderId="7" xfId="0" applyFont="false" applyBorder="true" applyAlignment="true" applyProtection="false">
      <alignment horizontal="center" vertical="bottom" textRotation="0" wrapText="true" indent="0" shrinkToFit="false"/>
      <protection locked="true" hidden="false"/>
    </xf>
    <xf numFmtId="164" fontId="0" fillId="4" borderId="6" xfId="0" applyFont="false" applyBorder="true" applyAlignment="true" applyProtection="false">
      <alignment horizontal="center" vertical="bottom" textRotation="0" wrapText="true" indent="0" shrinkToFit="false"/>
      <protection locked="true" hidden="false"/>
    </xf>
    <xf numFmtId="164" fontId="0" fillId="4" borderId="6" xfId="0" applyFont="false" applyBorder="true" applyAlignment="true" applyProtection="false">
      <alignment horizontal="center" vertical="bottom" textRotation="0" wrapText="false" indent="0" shrinkToFit="false"/>
      <protection locked="true" hidden="false"/>
    </xf>
    <xf numFmtId="164" fontId="0" fillId="4" borderId="14" xfId="0" applyFont="false" applyBorder="true" applyAlignment="true" applyProtection="false">
      <alignment horizontal="center" vertical="bottom" textRotation="0" wrapText="false" indent="0" shrinkToFit="false"/>
      <protection locked="true" hidden="false"/>
    </xf>
    <xf numFmtId="164" fontId="0" fillId="4" borderId="33" xfId="0" applyFont="false" applyBorder="true" applyAlignment="true" applyProtection="false">
      <alignment horizontal="center" vertical="bottom" textRotation="0" wrapText="true" indent="0" shrinkToFit="false"/>
      <protection locked="true" hidden="false"/>
    </xf>
    <xf numFmtId="164" fontId="0" fillId="4" borderId="17" xfId="0" applyFont="false" applyBorder="true" applyAlignment="true" applyProtection="false">
      <alignment horizontal="center" vertical="bottom" textRotation="0" wrapText="false" indent="0" shrinkToFit="false"/>
      <protection locked="true" hidden="false"/>
    </xf>
    <xf numFmtId="164" fontId="0" fillId="4" borderId="31" xfId="0" applyFont="true" applyBorder="true" applyAlignment="true" applyProtection="false">
      <alignment horizontal="general" vertical="bottom" textRotation="0" wrapText="true" indent="0" shrinkToFit="false"/>
      <protection locked="true" hidden="false"/>
    </xf>
    <xf numFmtId="164" fontId="0" fillId="4" borderId="31" xfId="0" applyFont="false" applyBorder="true" applyAlignment="true" applyProtection="false">
      <alignment horizontal="center" vertical="center" textRotation="0" wrapText="true" indent="0" shrinkToFit="false"/>
      <protection locked="true" hidden="false"/>
    </xf>
    <xf numFmtId="164" fontId="0" fillId="4" borderId="34" xfId="0" applyFont="false" applyBorder="true" applyAlignment="true" applyProtection="false">
      <alignment horizontal="center" vertical="center" textRotation="0" wrapText="true" indent="0" shrinkToFit="false"/>
      <protection locked="true" hidden="false"/>
    </xf>
    <xf numFmtId="164" fontId="0" fillId="4" borderId="35" xfId="0" applyFont="true" applyBorder="true" applyAlignment="true" applyProtection="false">
      <alignment horizontal="general" vertical="bottom" textRotation="0" wrapText="true" indent="0" shrinkToFit="false"/>
      <protection locked="true" hidden="false"/>
    </xf>
    <xf numFmtId="164" fontId="0" fillId="4" borderId="15" xfId="0" applyFont="true" applyBorder="true" applyAlignment="true" applyProtection="false">
      <alignment horizontal="general" vertical="bottom" textRotation="0" wrapText="true" indent="0" shrinkToFit="false"/>
      <protection locked="true" hidden="false"/>
    </xf>
    <xf numFmtId="164" fontId="0" fillId="4" borderId="7" xfId="0" applyFont="true" applyBorder="true" applyAlignment="true" applyProtection="false">
      <alignment horizontal="general" vertical="bottom" textRotation="0" wrapText="true" indent="0" shrinkToFit="false"/>
      <protection locked="true" hidden="false"/>
    </xf>
    <xf numFmtId="164" fontId="0" fillId="4" borderId="14" xfId="0" applyFont="true" applyBorder="true" applyAlignment="true" applyProtection="false">
      <alignment horizontal="general" vertical="bottom" textRotation="0" wrapText="true" indent="0" shrinkToFit="false"/>
      <protection locked="true" hidden="false"/>
    </xf>
    <xf numFmtId="164" fontId="0" fillId="4" borderId="33" xfId="0" applyFont="true" applyBorder="true" applyAlignment="true" applyProtection="false">
      <alignment horizontal="general" vertical="bottom" textRotation="0" wrapText="true" indent="0" shrinkToFit="false"/>
      <protection locked="true" hidden="false"/>
    </xf>
    <xf numFmtId="164" fontId="31" fillId="4" borderId="31" xfId="0" applyFont="tru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14" xfId="0" applyFont="false" applyBorder="true" applyAlignment="false" applyProtection="false">
      <alignment horizontal="general" vertical="bottom" textRotation="0" wrapText="false" indent="0" shrinkToFit="false"/>
      <protection locked="true" hidden="false"/>
    </xf>
    <xf numFmtId="164" fontId="0" fillId="0" borderId="33" xfId="0" applyFont="false" applyBorder="true" applyAlignment="false" applyProtection="false">
      <alignment horizontal="general" vertical="bottom" textRotation="0" wrapText="false" indent="0" shrinkToFit="false"/>
      <protection locked="true" hidden="false"/>
    </xf>
    <xf numFmtId="164" fontId="31" fillId="0" borderId="7" xfId="0" applyFont="true" applyBorder="true" applyAlignment="false" applyProtection="false">
      <alignment horizontal="general" vertical="bottom" textRotation="0" wrapText="false" indent="0" shrinkToFit="false"/>
      <protection locked="true" hidden="false"/>
    </xf>
    <xf numFmtId="164" fontId="18" fillId="0" borderId="6" xfId="0" applyFont="true" applyBorder="true" applyAlignment="false" applyProtection="false">
      <alignment horizontal="general" vertical="bottom" textRotation="0" wrapText="false" indent="0" shrinkToFit="false"/>
      <protection locked="true" hidden="false"/>
    </xf>
    <xf numFmtId="164" fontId="31" fillId="0" borderId="6" xfId="0" applyFont="true" applyBorder="true" applyAlignment="false" applyProtection="false">
      <alignment horizontal="general" vertical="bottom" textRotation="0" wrapText="false" indent="0" shrinkToFit="false"/>
      <protection locked="true" hidden="false"/>
    </xf>
    <xf numFmtId="164" fontId="18" fillId="0" borderId="14" xfId="0" applyFont="true" applyBorder="true" applyAlignment="false" applyProtection="false">
      <alignment horizontal="general" vertical="bottom" textRotation="0" wrapText="false" indent="0" shrinkToFit="false"/>
      <protection locked="true" hidden="false"/>
    </xf>
    <xf numFmtId="164" fontId="18" fillId="0" borderId="7" xfId="0" applyFont="true" applyBorder="true" applyAlignment="false" applyProtection="false">
      <alignment horizontal="general" vertical="bottom" textRotation="0" wrapText="false" indent="0" shrinkToFit="false"/>
      <protection locked="true" hidden="false"/>
    </xf>
    <xf numFmtId="164" fontId="18" fillId="0" borderId="33" xfId="0" applyFont="true" applyBorder="true" applyAlignment="false" applyProtection="false">
      <alignment horizontal="general" vertical="bottom" textRotation="0" wrapText="false" indent="0" shrinkToFit="false"/>
      <protection locked="true" hidden="false"/>
    </xf>
    <xf numFmtId="164" fontId="10" fillId="6" borderId="14" xfId="20" applyFont="true" applyBorder="true" applyAlignment="true" applyProtection="true">
      <alignment horizontal="general" vertical="bottom" textRotation="0" wrapText="false" indent="0" shrinkToFit="false"/>
      <protection locked="true" hidden="false"/>
    </xf>
    <xf numFmtId="164" fontId="9" fillId="2" borderId="7" xfId="20" applyFont="false" applyBorder="true" applyAlignment="true" applyProtection="true">
      <alignment horizontal="general" vertical="bottom" textRotation="0" wrapText="false" indent="0" shrinkToFit="false"/>
      <protection locked="true" hidden="false"/>
    </xf>
    <xf numFmtId="164" fontId="9" fillId="2" borderId="6" xfId="20" applyFont="false" applyBorder="true" applyAlignment="true" applyProtection="true">
      <alignment horizontal="general" vertical="bottom" textRotation="0" wrapText="false" indent="0" shrinkToFit="false"/>
      <protection locked="true" hidden="false"/>
    </xf>
    <xf numFmtId="164" fontId="9" fillId="2" borderId="7" xfId="20" applyFont="true" applyBorder="true" applyAlignment="true" applyProtection="true">
      <alignment horizontal="general" vertical="bottom" textRotation="0" wrapText="false" indent="0" shrinkToFit="false"/>
      <protection locked="true" hidden="false"/>
    </xf>
    <xf numFmtId="164" fontId="9" fillId="2" borderId="33" xfId="20" applyFont="true" applyBorder="true" applyAlignment="true" applyProtection="true">
      <alignment horizontal="general" vertical="bottom" textRotation="0" wrapText="false" indent="0" shrinkToFit="false"/>
      <protection locked="true" hidden="false"/>
    </xf>
    <xf numFmtId="164" fontId="31" fillId="4" borderId="36" xfId="0" applyFont="true" applyBorder="true" applyAlignment="false" applyProtection="false">
      <alignment horizontal="general" vertical="bottom"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24" xfId="0" applyFont="false" applyBorder="true" applyAlignment="false" applyProtection="false">
      <alignment horizontal="general" vertical="bottom" textRotation="0" wrapText="false" indent="0" shrinkToFit="false"/>
      <protection locked="true" hidden="false"/>
    </xf>
    <xf numFmtId="164" fontId="0" fillId="0" borderId="37" xfId="0" applyFont="false" applyBorder="true" applyAlignment="false" applyProtection="false">
      <alignment horizontal="general" vertical="bottom" textRotation="0" wrapText="false" indent="0" shrinkToFit="false"/>
      <protection locked="true" hidden="false"/>
    </xf>
    <xf numFmtId="164" fontId="31" fillId="0" borderId="9" xfId="0" applyFont="true" applyBorder="true" applyAlignment="false" applyProtection="false">
      <alignment horizontal="general" vertical="bottom" textRotation="0" wrapText="false" indent="0" shrinkToFit="false"/>
      <protection locked="true" hidden="false"/>
    </xf>
    <xf numFmtId="164" fontId="18" fillId="0" borderId="8" xfId="0" applyFont="true" applyBorder="true" applyAlignment="false" applyProtection="false">
      <alignment horizontal="general" vertical="bottom" textRotation="0" wrapText="false" indent="0" shrinkToFit="false"/>
      <protection locked="true" hidden="false"/>
    </xf>
    <xf numFmtId="164" fontId="31" fillId="0" borderId="8" xfId="0" applyFont="true" applyBorder="true" applyAlignment="false" applyProtection="false">
      <alignment horizontal="general" vertical="bottom" textRotation="0" wrapText="false" indent="0" shrinkToFit="false"/>
      <protection locked="true" hidden="false"/>
    </xf>
    <xf numFmtId="164" fontId="18" fillId="0" borderId="24" xfId="0" applyFont="true" applyBorder="true" applyAlignment="false" applyProtection="false">
      <alignment horizontal="general" vertical="bottom" textRotation="0" wrapText="false" indent="0" shrinkToFit="false"/>
      <protection locked="true" hidden="false"/>
    </xf>
    <xf numFmtId="164" fontId="18" fillId="0" borderId="9" xfId="0" applyFont="true" applyBorder="true" applyAlignment="false" applyProtection="false">
      <alignment horizontal="general" vertical="bottom" textRotation="0" wrapText="false" indent="0" shrinkToFit="false"/>
      <protection locked="true" hidden="false"/>
    </xf>
    <xf numFmtId="164" fontId="18" fillId="0" borderId="37" xfId="0" applyFont="true" applyBorder="true" applyAlignment="false" applyProtection="false">
      <alignment horizontal="general" vertical="bottom" textRotation="0" wrapText="false" indent="0" shrinkToFit="false"/>
      <protection locked="true" hidden="false"/>
    </xf>
    <xf numFmtId="164" fontId="31" fillId="0" borderId="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xf numFmtId="164" fontId="0" fillId="4" borderId="38" xfId="0" applyFont="true" applyBorder="true" applyAlignment="true" applyProtection="false">
      <alignment horizontal="center" vertical="bottom" textRotation="0" wrapText="true" indent="0" shrinkToFit="false"/>
      <protection locked="true" hidden="false"/>
    </xf>
    <xf numFmtId="164" fontId="0" fillId="4" borderId="39" xfId="0" applyFont="true" applyBorder="true" applyAlignment="true" applyProtection="false">
      <alignment horizontal="center" vertical="bottom" textRotation="0" wrapText="true" indent="0" shrinkToFit="false"/>
      <protection locked="true" hidden="false"/>
    </xf>
    <xf numFmtId="164" fontId="0" fillId="4" borderId="34" xfId="0" applyFont="false" applyBorder="true" applyAlignment="true" applyProtection="false">
      <alignment horizontal="center" vertical="center" textRotation="0" wrapText="false" indent="0" shrinkToFit="false"/>
      <protection locked="true" hidden="false"/>
    </xf>
    <xf numFmtId="164" fontId="0" fillId="4" borderId="34" xfId="0" applyFont="true" applyBorder="true" applyAlignment="true" applyProtection="false">
      <alignment horizontal="general" vertical="bottom" textRotation="0" wrapText="true" indent="0" shrinkToFit="false"/>
      <protection locked="true" hidden="false"/>
    </xf>
    <xf numFmtId="164" fontId="0" fillId="4" borderId="40" xfId="0" applyFont="true" applyBorder="true" applyAlignment="true" applyProtection="false">
      <alignment horizontal="general" vertical="bottom" textRotation="0" wrapText="true" indent="0" shrinkToFit="false"/>
      <protection locked="true" hidden="false"/>
    </xf>
    <xf numFmtId="164" fontId="0" fillId="4" borderId="41" xfId="0" applyFont="true" applyBorder="true" applyAlignment="true" applyProtection="false">
      <alignment horizontal="general" vertical="bottom" textRotation="0" wrapText="true" indent="0" shrinkToFit="false"/>
      <protection locked="true" hidden="false"/>
    </xf>
    <xf numFmtId="164" fontId="31" fillId="4" borderId="34" xfId="0" applyFont="true" applyBorder="true" applyAlignment="false" applyProtection="false">
      <alignment horizontal="general" vertical="bottom" textRotation="0" wrapText="false" indent="0" shrinkToFit="false"/>
      <protection locked="true" hidden="false"/>
    </xf>
    <xf numFmtId="164" fontId="0" fillId="0" borderId="41" xfId="0" applyFont="false" applyBorder="true" applyAlignment="false" applyProtection="false">
      <alignment horizontal="general" vertical="bottom" textRotation="0" wrapText="false" indent="0" shrinkToFit="false"/>
      <protection locked="true" hidden="false"/>
    </xf>
    <xf numFmtId="164" fontId="10" fillId="6" borderId="41" xfId="20" applyFont="true" applyBorder="true" applyAlignment="true" applyProtection="true">
      <alignment horizontal="general" vertical="bottom" textRotation="0" wrapText="false" indent="0" shrinkToFit="false"/>
      <protection locked="true" hidden="false"/>
    </xf>
    <xf numFmtId="164" fontId="31" fillId="4" borderId="42" xfId="0" applyFont="true" applyBorder="true" applyAlignment="false" applyProtection="false">
      <alignment horizontal="general" vertical="bottom" textRotation="0" wrapText="false" indent="0" shrinkToFit="false"/>
      <protection locked="true" hidden="false"/>
    </xf>
    <xf numFmtId="164" fontId="0" fillId="0" borderId="43" xfId="0" applyFont="false" applyBorder="true" applyAlignment="false" applyProtection="false">
      <alignment horizontal="general" vertical="bottom" textRotation="0" wrapText="false" indent="0" shrinkToFit="false"/>
      <protection locked="true" hidden="false"/>
    </xf>
    <xf numFmtId="164" fontId="19" fillId="4" borderId="44" xfId="0" applyFont="true" applyBorder="true" applyAlignment="true" applyProtection="false">
      <alignment horizontal="center" vertical="bottom" textRotation="0" wrapText="false" indent="0" shrinkToFit="false"/>
      <protection locked="true" hidden="false"/>
    </xf>
    <xf numFmtId="164" fontId="0" fillId="4" borderId="45" xfId="0" applyFont="true" applyBorder="true" applyAlignment="true" applyProtection="false">
      <alignment horizontal="center" vertical="bottom" textRotation="0" wrapText="false" indent="0" shrinkToFit="false"/>
      <protection locked="true" hidden="false"/>
    </xf>
    <xf numFmtId="164" fontId="0" fillId="4" borderId="46" xfId="0" applyFont="true" applyBorder="true" applyAlignment="true" applyProtection="false">
      <alignment horizontal="general" vertical="bottom" textRotation="0" wrapText="true" indent="0" shrinkToFit="false"/>
      <protection locked="true" hidden="false"/>
    </xf>
    <xf numFmtId="164" fontId="0" fillId="4" borderId="47" xfId="0" applyFont="true" applyBorder="true" applyAlignment="true" applyProtection="false">
      <alignment horizontal="general" vertical="bottom"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2F2F2"/>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808080"/>
      <rgbColor rgb="FF9999FF"/>
      <rgbColor rgb="FF993366"/>
      <rgbColor rgb="FFE7E6E6"/>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B0F0"/>
      <rgbColor rgb="FFCCFFFF"/>
      <rgbColor rgb="FFC6EFCE"/>
      <rgbColor rgb="FFFFEB9C"/>
      <rgbColor rgb="FF99CCFF"/>
      <rgbColor rgb="FFFF99CC"/>
      <rgbColor rgb="FFCC99FF"/>
      <rgbColor rgb="FFFFC7CE"/>
      <rgbColor rgb="FF3366FF"/>
      <rgbColor rgb="FF33CCCC"/>
      <rgbColor rgb="FF99CC00"/>
      <rgbColor rgb="FFFFC000"/>
      <rgbColor rgb="FFFF9900"/>
      <rgbColor rgb="FFED7D31"/>
      <rgbColor rgb="FF595959"/>
      <rgbColor rgb="FFA5A5A5"/>
      <rgbColor rgb="FF003366"/>
      <rgbColor rgb="FF00B050"/>
      <rgbColor rgb="FF003300"/>
      <rgbColor rgb="FF333300"/>
      <rgbColor rgb="FF9C57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charts/chart11.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66201210187"/>
          <c:y val="0.124882687855847"/>
          <c:w val="0.793337322960303"/>
          <c:h val="0.647938434586748"/>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1C'!$D$8:$D$22</c:f>
              <c:numCache>
                <c:formatCode>General</c:formatCode>
                <c:ptCount val="15"/>
                <c:pt idx="0">
                  <c:v>-119.95</c:v>
                </c:pt>
                <c:pt idx="1">
                  <c:v>-120.18</c:v>
                </c:pt>
                <c:pt idx="2">
                  <c:v>-121.74</c:v>
                </c:pt>
                <c:pt idx="3">
                  <c:v>-127.55</c:v>
                </c:pt>
                <c:pt idx="4">
                  <c:v>-134.21</c:v>
                </c:pt>
                <c:pt idx="5">
                  <c:v>-129.16</c:v>
                </c:pt>
                <c:pt idx="6">
                  <c:v>-124.51</c:v>
                </c:pt>
                <c:pt idx="7">
                  <c:v>-123.35</c:v>
                </c:pt>
                <c:pt idx="8">
                  <c:v>-121.15</c:v>
                </c:pt>
                <c:pt idx="9">
                  <c:v>-117.1</c:v>
                </c:pt>
                <c:pt idx="10">
                  <c:v>-102.85</c:v>
                </c:pt>
                <c:pt idx="11">
                  <c:v>-74.24</c:v>
                </c:pt>
                <c:pt idx="12">
                  <c:v>-45.9</c:v>
                </c:pt>
                <c:pt idx="13">
                  <c:v>-21.8</c:v>
                </c:pt>
                <c:pt idx="14">
                  <c:v>0</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1C'!$G$8:$G$22</c:f>
              <c:numCache>
                <c:formatCode>General</c:formatCode>
                <c:ptCount val="15"/>
                <c:pt idx="0">
                  <c:v>-125.21</c:v>
                </c:pt>
                <c:pt idx="1">
                  <c:v>-125.675</c:v>
                </c:pt>
                <c:pt idx="2">
                  <c:v>-128.265</c:v>
                </c:pt>
                <c:pt idx="3">
                  <c:v>-135.77</c:v>
                </c:pt>
                <c:pt idx="4">
                  <c:v>-143.17</c:v>
                </c:pt>
                <c:pt idx="5">
                  <c:v>-137.14</c:v>
                </c:pt>
                <c:pt idx="6">
                  <c:v>-129.42</c:v>
                </c:pt>
                <c:pt idx="7">
                  <c:v>-125.85</c:v>
                </c:pt>
                <c:pt idx="8">
                  <c:v>-122.965</c:v>
                </c:pt>
                <c:pt idx="9">
                  <c:v>-119.925</c:v>
                </c:pt>
                <c:pt idx="10">
                  <c:v>-108.35</c:v>
                </c:pt>
                <c:pt idx="11">
                  <c:v>-81.265</c:v>
                </c:pt>
                <c:pt idx="12">
                  <c:v>-52.11</c:v>
                </c:pt>
                <c:pt idx="13">
                  <c:v>-25.095</c:v>
                </c:pt>
                <c:pt idx="14">
                  <c:v>0</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1C'!$J$8:$J$22</c:f>
              <c:numCache>
                <c:formatCode>General</c:formatCode>
                <c:ptCount val="15"/>
                <c:pt idx="0">
                  <c:v>-143.092</c:v>
                </c:pt>
                <c:pt idx="1">
                  <c:v>-143.642</c:v>
                </c:pt>
                <c:pt idx="2">
                  <c:v>-146.595</c:v>
                </c:pt>
                <c:pt idx="3">
                  <c:v>-154.922</c:v>
                </c:pt>
                <c:pt idx="4">
                  <c:v>-161.211</c:v>
                </c:pt>
                <c:pt idx="5">
                  <c:v>-149.944</c:v>
                </c:pt>
                <c:pt idx="6">
                  <c:v>-136.497</c:v>
                </c:pt>
                <c:pt idx="7">
                  <c:v>-128.531</c:v>
                </c:pt>
                <c:pt idx="8">
                  <c:v>-123.54</c:v>
                </c:pt>
                <c:pt idx="9">
                  <c:v>-121.104</c:v>
                </c:pt>
                <c:pt idx="10">
                  <c:v>-111.177</c:v>
                </c:pt>
                <c:pt idx="11">
                  <c:v>-84.104</c:v>
                </c:pt>
                <c:pt idx="12">
                  <c:v>-54.75</c:v>
                </c:pt>
                <c:pt idx="13">
                  <c:v>-26.918</c:v>
                </c:pt>
                <c:pt idx="14">
                  <c:v>0</c:v>
                </c:pt>
              </c:numCache>
            </c:numRef>
          </c:yVal>
          <c:smooth val="1"/>
        </c:ser>
        <c:ser>
          <c:idx val="3"/>
          <c:order val="3"/>
          <c:tx>
            <c:strRef>
              <c:f>'Supplementary Data 1C'!$K$4:$K$4</c:f>
              <c:strCache>
                <c:ptCount val="1"/>
                <c:pt idx="0">
                  <c:v>stack</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1C'!$M$8:$M$22</c:f>
              <c:numCache>
                <c:formatCode>General</c:formatCode>
                <c:ptCount val="15"/>
                <c:pt idx="0">
                  <c:v>-150.6185</c:v>
                </c:pt>
                <c:pt idx="1">
                  <c:v>-151.14</c:v>
                </c:pt>
                <c:pt idx="2">
                  <c:v>-153.991</c:v>
                </c:pt>
                <c:pt idx="3">
                  <c:v>-161.9425</c:v>
                </c:pt>
                <c:pt idx="4">
                  <c:v>-167.2905</c:v>
                </c:pt>
                <c:pt idx="5">
                  <c:v>-154.518</c:v>
                </c:pt>
                <c:pt idx="6">
                  <c:v>-139.5345</c:v>
                </c:pt>
                <c:pt idx="7">
                  <c:v>-130.5345</c:v>
                </c:pt>
                <c:pt idx="8">
                  <c:v>-125.0395</c:v>
                </c:pt>
                <c:pt idx="9">
                  <c:v>-122.5095</c:v>
                </c:pt>
                <c:pt idx="10">
                  <c:v>-112.641</c:v>
                </c:pt>
                <c:pt idx="11">
                  <c:v>-85.468</c:v>
                </c:pt>
                <c:pt idx="12">
                  <c:v>-55.5585</c:v>
                </c:pt>
                <c:pt idx="13">
                  <c:v>-27.1065</c:v>
                </c:pt>
                <c:pt idx="14">
                  <c:v>0</c:v>
                </c:pt>
              </c:numCache>
            </c:numRef>
          </c:yVal>
          <c:smooth val="1"/>
        </c:ser>
        <c:axId val="24213849"/>
        <c:axId val="55010601"/>
      </c:scatterChart>
      <c:valAx>
        <c:axId val="24213849"/>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55010601"/>
        <c:crosses val="autoZero"/>
        <c:crossBetween val="midCat"/>
      </c:valAx>
      <c:valAx>
        <c:axId val="55010601"/>
        <c:scaling>
          <c:orientation val="minMax"/>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24213849"/>
        <c:crosses val="autoZero"/>
        <c:crossBetween val="midCat"/>
        <c:majorUnit val="100"/>
      </c:valAx>
      <c:spPr>
        <a:solidFill>
          <a:srgbClr val="ffffff"/>
        </a:solidFill>
        <a:ln>
          <a:solidFill>
            <a:srgbClr val="808080"/>
          </a:solidFill>
        </a:ln>
      </c:spPr>
    </c:plotArea>
    <c:plotVisOnly val="1"/>
    <c:dispBlanksAs val="gap"/>
  </c:chart>
  <c:spPr>
    <a:noFill/>
    <a:ln w="9360">
      <a:noFill/>
    </a:ln>
  </c:spPr>
</c:chartSpace>
</file>

<file path=xl/charts/chart12.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26573471831"/>
          <c:y val="0.124831870876833"/>
          <c:w val="0.793256318156813"/>
          <c:h val="0.647921603791712"/>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1C'!$D$50:$D$64</c:f>
              <c:numCache>
                <c:formatCode>General</c:formatCode>
                <c:ptCount val="15"/>
                <c:pt idx="0">
                  <c:v>-77.62</c:v>
                </c:pt>
                <c:pt idx="1">
                  <c:v>-77.83</c:v>
                </c:pt>
                <c:pt idx="2">
                  <c:v>-79.48</c:v>
                </c:pt>
                <c:pt idx="3">
                  <c:v>-86.43</c:v>
                </c:pt>
                <c:pt idx="4">
                  <c:v>-96.99</c:v>
                </c:pt>
                <c:pt idx="5">
                  <c:v>-99.55</c:v>
                </c:pt>
                <c:pt idx="6">
                  <c:v>-101.8</c:v>
                </c:pt>
                <c:pt idx="7">
                  <c:v>-103.55</c:v>
                </c:pt>
                <c:pt idx="8">
                  <c:v>-102.39</c:v>
                </c:pt>
                <c:pt idx="9">
                  <c:v>-102.17</c:v>
                </c:pt>
                <c:pt idx="10">
                  <c:v>-94.99</c:v>
                </c:pt>
                <c:pt idx="11">
                  <c:v>-69.22</c:v>
                </c:pt>
                <c:pt idx="12">
                  <c:v>-39.6</c:v>
                </c:pt>
                <c:pt idx="13">
                  <c:v>-16.73</c:v>
                </c:pt>
                <c:pt idx="14">
                  <c:v>0</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1C'!$G$50:$G$64</c:f>
              <c:numCache>
                <c:formatCode>General</c:formatCode>
                <c:ptCount val="15"/>
                <c:pt idx="0">
                  <c:v>-94.655</c:v>
                </c:pt>
                <c:pt idx="1">
                  <c:v>-95.34</c:v>
                </c:pt>
                <c:pt idx="2">
                  <c:v>-99.055</c:v>
                </c:pt>
                <c:pt idx="3">
                  <c:v>-110.375</c:v>
                </c:pt>
                <c:pt idx="4">
                  <c:v>-125.9</c:v>
                </c:pt>
                <c:pt idx="5">
                  <c:v>-129.43</c:v>
                </c:pt>
                <c:pt idx="6">
                  <c:v>-128.395</c:v>
                </c:pt>
                <c:pt idx="7">
                  <c:v>-126.77</c:v>
                </c:pt>
                <c:pt idx="8">
                  <c:v>-123.825</c:v>
                </c:pt>
                <c:pt idx="9">
                  <c:v>-122.57</c:v>
                </c:pt>
                <c:pt idx="10">
                  <c:v>-114.55</c:v>
                </c:pt>
                <c:pt idx="11">
                  <c:v>-85.965</c:v>
                </c:pt>
                <c:pt idx="12">
                  <c:v>-51.05</c:v>
                </c:pt>
                <c:pt idx="13">
                  <c:v>-21.56</c:v>
                </c:pt>
                <c:pt idx="14">
                  <c:v>0</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1C'!$J$50:$J$64</c:f>
              <c:numCache>
                <c:formatCode>General</c:formatCode>
                <c:ptCount val="15"/>
                <c:pt idx="0">
                  <c:v>-117.17</c:v>
                </c:pt>
                <c:pt idx="1">
                  <c:v>-117.984</c:v>
                </c:pt>
                <c:pt idx="2">
                  <c:v>-122.103</c:v>
                </c:pt>
                <c:pt idx="3">
                  <c:v>-133.275</c:v>
                </c:pt>
                <c:pt idx="4">
                  <c:v>-145.933</c:v>
                </c:pt>
                <c:pt idx="5">
                  <c:v>-142.904</c:v>
                </c:pt>
                <c:pt idx="6">
                  <c:v>-136.177</c:v>
                </c:pt>
                <c:pt idx="7">
                  <c:v>-131.956</c:v>
                </c:pt>
                <c:pt idx="8">
                  <c:v>-127.759</c:v>
                </c:pt>
                <c:pt idx="9">
                  <c:v>-126.582</c:v>
                </c:pt>
                <c:pt idx="10">
                  <c:v>-120.247</c:v>
                </c:pt>
                <c:pt idx="11">
                  <c:v>-91.758</c:v>
                </c:pt>
                <c:pt idx="12">
                  <c:v>-55.98</c:v>
                </c:pt>
                <c:pt idx="13">
                  <c:v>-24.39</c:v>
                </c:pt>
                <c:pt idx="14">
                  <c:v>0</c:v>
                </c:pt>
              </c:numCache>
            </c:numRef>
          </c:yVal>
          <c:smooth val="1"/>
        </c:ser>
        <c:ser>
          <c:idx val="3"/>
          <c:order val="3"/>
          <c:tx>
            <c:strRef>
              <c:f>'Supplementary Data 1C'!$K$4:$K$4</c:f>
              <c:strCache>
                <c:ptCount val="1"/>
                <c:pt idx="0">
                  <c:v>stack</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1C'!$M$50:$M$64</c:f>
              <c:numCache>
                <c:formatCode>General</c:formatCode>
                <c:ptCount val="15"/>
                <c:pt idx="0">
                  <c:v>-131.3105</c:v>
                </c:pt>
                <c:pt idx="1">
                  <c:v>-132.137</c:v>
                </c:pt>
                <c:pt idx="2">
                  <c:v>-136.196</c:v>
                </c:pt>
                <c:pt idx="3">
                  <c:v>-147.124</c:v>
                </c:pt>
                <c:pt idx="4">
                  <c:v>-159.0145</c:v>
                </c:pt>
                <c:pt idx="5">
                  <c:v>-153.734</c:v>
                </c:pt>
                <c:pt idx="6">
                  <c:v>-144.075</c:v>
                </c:pt>
                <c:pt idx="7">
                  <c:v>-137.5955</c:v>
                </c:pt>
                <c:pt idx="8">
                  <c:v>-132.0155</c:v>
                </c:pt>
                <c:pt idx="9">
                  <c:v>-130.341</c:v>
                </c:pt>
                <c:pt idx="10">
                  <c:v>-124.0825</c:v>
                </c:pt>
                <c:pt idx="11">
                  <c:v>-95.3335</c:v>
                </c:pt>
                <c:pt idx="12">
                  <c:v>-58.7685</c:v>
                </c:pt>
                <c:pt idx="13">
                  <c:v>-25.9435</c:v>
                </c:pt>
                <c:pt idx="14">
                  <c:v>0</c:v>
                </c:pt>
              </c:numCache>
            </c:numRef>
          </c:yVal>
          <c:smooth val="1"/>
        </c:ser>
        <c:axId val="86845889"/>
        <c:axId val="30292101"/>
      </c:scatterChart>
      <c:valAx>
        <c:axId val="86845889"/>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30292101"/>
        <c:crosses val="autoZero"/>
        <c:crossBetween val="midCat"/>
      </c:valAx>
      <c:valAx>
        <c:axId val="30292101"/>
        <c:scaling>
          <c:orientation val="minMax"/>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86845889"/>
        <c:crosses val="autoZero"/>
        <c:crossBetween val="midCat"/>
        <c:majorUnit val="100"/>
      </c:valAx>
      <c:spPr>
        <a:solidFill>
          <a:srgbClr val="ffffff"/>
        </a:solidFill>
        <a:ln>
          <a:solidFill>
            <a:srgbClr val="808080"/>
          </a:solidFill>
        </a:ln>
      </c:spPr>
    </c:plotArea>
    <c:plotVisOnly val="1"/>
    <c:dispBlanksAs val="gap"/>
  </c:chart>
  <c:spPr>
    <a:noFill/>
    <a:ln w="9360">
      <a:noFill/>
    </a:ln>
  </c:spPr>
</c:chartSpace>
</file>

<file path=xl/charts/chart13.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26573471831"/>
          <c:y val="0.124943791353504"/>
          <c:w val="0.793256318156813"/>
          <c:h val="0.647909038350357"/>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1C'!$D$29:$D$43</c:f>
              <c:numCache>
                <c:formatCode>General</c:formatCode>
                <c:ptCount val="15"/>
                <c:pt idx="0">
                  <c:v>-107.7</c:v>
                </c:pt>
                <c:pt idx="1">
                  <c:v>-107.9</c:v>
                </c:pt>
                <c:pt idx="2">
                  <c:v>-109.26</c:v>
                </c:pt>
                <c:pt idx="3">
                  <c:v>-115.09</c:v>
                </c:pt>
                <c:pt idx="4">
                  <c:v>-123.99</c:v>
                </c:pt>
                <c:pt idx="5">
                  <c:v>-123.38</c:v>
                </c:pt>
                <c:pt idx="6">
                  <c:v>-123.65</c:v>
                </c:pt>
                <c:pt idx="7">
                  <c:v>-125.42</c:v>
                </c:pt>
                <c:pt idx="8">
                  <c:v>-124.37</c:v>
                </c:pt>
                <c:pt idx="9">
                  <c:v>-121.67</c:v>
                </c:pt>
                <c:pt idx="10">
                  <c:v>-107.36</c:v>
                </c:pt>
                <c:pt idx="11">
                  <c:v>-75.81</c:v>
                </c:pt>
                <c:pt idx="12">
                  <c:v>-44.19</c:v>
                </c:pt>
                <c:pt idx="13">
                  <c:v>-19.97</c:v>
                </c:pt>
                <c:pt idx="14">
                  <c:v>0</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1C'!$G$29:$G$43</c:f>
              <c:numCache>
                <c:formatCode>General</c:formatCode>
                <c:ptCount val="15"/>
                <c:pt idx="0">
                  <c:v>-117.265</c:v>
                </c:pt>
                <c:pt idx="1">
                  <c:v>-118.01</c:v>
                </c:pt>
                <c:pt idx="2">
                  <c:v>-121.115</c:v>
                </c:pt>
                <c:pt idx="3">
                  <c:v>-129.26</c:v>
                </c:pt>
                <c:pt idx="4">
                  <c:v>-139.18</c:v>
                </c:pt>
                <c:pt idx="5">
                  <c:v>-137.63</c:v>
                </c:pt>
                <c:pt idx="6">
                  <c:v>-137.285</c:v>
                </c:pt>
                <c:pt idx="7">
                  <c:v>-139.345</c:v>
                </c:pt>
                <c:pt idx="8">
                  <c:v>-138.67</c:v>
                </c:pt>
                <c:pt idx="9">
                  <c:v>-137.02</c:v>
                </c:pt>
                <c:pt idx="10">
                  <c:v>-124.345</c:v>
                </c:pt>
                <c:pt idx="11">
                  <c:v>-91.96</c:v>
                </c:pt>
                <c:pt idx="12">
                  <c:v>-56.335</c:v>
                </c:pt>
                <c:pt idx="13">
                  <c:v>-25.735</c:v>
                </c:pt>
                <c:pt idx="14">
                  <c:v>0</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1C'!$J$29:$J$43</c:f>
              <c:numCache>
                <c:formatCode>General</c:formatCode>
                <c:ptCount val="15"/>
                <c:pt idx="0">
                  <c:v>-134.768</c:v>
                </c:pt>
                <c:pt idx="1">
                  <c:v>-135.885</c:v>
                </c:pt>
                <c:pt idx="2">
                  <c:v>-139.895</c:v>
                </c:pt>
                <c:pt idx="3">
                  <c:v>-148.521</c:v>
                </c:pt>
                <c:pt idx="4">
                  <c:v>-156.212</c:v>
                </c:pt>
                <c:pt idx="5">
                  <c:v>-149.321</c:v>
                </c:pt>
                <c:pt idx="6">
                  <c:v>-144.122</c:v>
                </c:pt>
                <c:pt idx="7">
                  <c:v>-143.609</c:v>
                </c:pt>
                <c:pt idx="8">
                  <c:v>-141.859</c:v>
                </c:pt>
                <c:pt idx="9">
                  <c:v>-139.743</c:v>
                </c:pt>
                <c:pt idx="10">
                  <c:v>-126.745</c:v>
                </c:pt>
                <c:pt idx="11">
                  <c:v>-93.893</c:v>
                </c:pt>
                <c:pt idx="12">
                  <c:v>-58.638</c:v>
                </c:pt>
                <c:pt idx="13">
                  <c:v>-27.726</c:v>
                </c:pt>
                <c:pt idx="14">
                  <c:v>0</c:v>
                </c:pt>
              </c:numCache>
            </c:numRef>
          </c:yVal>
          <c:smooth val="1"/>
        </c:ser>
        <c:axId val="83499301"/>
        <c:axId val="31524156"/>
      </c:scatterChart>
      <c:valAx>
        <c:axId val="83499301"/>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31524156"/>
        <c:crosses val="autoZero"/>
        <c:crossBetween val="midCat"/>
      </c:valAx>
      <c:valAx>
        <c:axId val="31524156"/>
        <c:scaling>
          <c:orientation val="minMax"/>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83499301"/>
        <c:crosses val="autoZero"/>
        <c:crossBetween val="midCat"/>
        <c:majorUnit val="100"/>
      </c:valAx>
      <c:spPr>
        <a:solidFill>
          <a:srgbClr val="ffffff"/>
        </a:solidFill>
        <a:ln>
          <a:solidFill>
            <a:srgbClr val="808080"/>
          </a:solidFill>
        </a:ln>
      </c:spPr>
    </c:plotArea>
    <c:plotVisOnly val="1"/>
    <c:dispBlanksAs val="gap"/>
  </c:chart>
  <c:spPr>
    <a:noFill/>
    <a:ln w="9360">
      <a:noFill/>
    </a:ln>
  </c:spPr>
</c:chartSpace>
</file>

<file path=xl/charts/chart1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sz="1400" spc="-1" strike="noStrike">
                <a:solidFill>
                  <a:srgbClr val="595959"/>
                </a:solidFill>
                <a:uFill>
                  <a:solidFill>
                    <a:srgbClr val="ffffff"/>
                  </a:solidFill>
                </a:uFill>
                <a:latin typeface="Calibri"/>
              </a:defRPr>
            </a:pPr>
            <a:r>
              <a:rPr b="0" sz="1400" spc="-1" strike="noStrike">
                <a:solidFill>
                  <a:srgbClr val="595959"/>
                </a:solidFill>
                <a:uFill>
                  <a:solidFill>
                    <a:srgbClr val="ffffff"/>
                  </a:solidFill>
                </a:uFill>
                <a:latin typeface="Calibri"/>
              </a:rPr>
              <a:t>Chart Title</a:t>
            </a:r>
          </a:p>
        </c:rich>
      </c:tx>
      <c:overlay val="0"/>
    </c:title>
    <c:autoTitleDeleted val="0"/>
    <c:plotArea>
      <c:scatterChart>
        <c:scatterStyle val="lineMarker"/>
        <c:varyColors val="0"/>
        <c:ser>
          <c:idx val="0"/>
          <c:order val="0"/>
          <c:spPr>
            <a:solidFill>
              <a:srgbClr val="ed7d31"/>
            </a:solidFill>
            <a:ln w="19080">
              <a:solidFill>
                <a:srgbClr val="ed7d31"/>
              </a:solidFill>
              <a:round/>
            </a:ln>
          </c:spPr>
          <c:marker>
            <c:symbol val="circle"/>
            <c:size val="5"/>
            <c:spPr>
              <a:solidFill>
                <a:srgbClr val="ed7d31"/>
              </a:solidFill>
            </c:spPr>
          </c:marker>
          <c:dLbls>
            <c:dLblPos val="r"/>
            <c:showLegendKey val="0"/>
            <c:showVal val="0"/>
            <c:showCatName val="0"/>
            <c:showSerName val="0"/>
            <c:showPercent val="0"/>
            <c:showLeaderLines val="0"/>
          </c:dLbls>
          <c:yVal>
            <c:numRef>
              <c:f>'Supplementary Data 1C'!$AR$74:$AR$88</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yVal>
          <c:smooth val="1"/>
        </c:ser>
        <c:ser>
          <c:idx val="1"/>
          <c:order val="1"/>
          <c:spPr>
            <a:solidFill>
              <a:srgbClr val="a5a5a5"/>
            </a:solidFill>
            <a:ln w="19080">
              <a:solidFill>
                <a:srgbClr val="a5a5a5"/>
              </a:solidFill>
              <a:round/>
            </a:ln>
          </c:spPr>
          <c:marker>
            <c:symbol val="circle"/>
            <c:size val="5"/>
            <c:spPr>
              <a:solidFill>
                <a:srgbClr val="a5a5a5"/>
              </a:solidFill>
            </c:spPr>
          </c:marker>
          <c:dLbls>
            <c:dLblPos val="r"/>
            <c:showLegendKey val="0"/>
            <c:showVal val="0"/>
            <c:showCatName val="0"/>
            <c:showSerName val="0"/>
            <c:showPercent val="0"/>
            <c:showLeaderLines val="0"/>
          </c:dLbls>
          <c:yVal>
            <c:numRef>
              <c:f>'Supplementary Data 1C'!$AU$74:$AU$88</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yVal>
          <c:smooth val="1"/>
        </c:ser>
        <c:ser>
          <c:idx val="2"/>
          <c:order val="2"/>
          <c:spPr>
            <a:solidFill>
              <a:srgbClr val="ffc000"/>
            </a:solidFill>
            <a:ln w="1908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yVal>
            <c:numRef>
              <c:f>'Supplementary Data 1C'!$AX$74:$AX$88</c:f>
              <c:numCache>
                <c:formatCode>General</c:formatCode>
                <c:ptCount val="15"/>
                <c:pt idx="0">
                  <c:v/>
                </c:pt>
                <c:pt idx="1">
                  <c:v/>
                </c:pt>
                <c:pt idx="2">
                  <c:v/>
                </c:pt>
                <c:pt idx="3">
                  <c:v/>
                </c:pt>
                <c:pt idx="4">
                  <c:v/>
                </c:pt>
                <c:pt idx="5">
                  <c:v/>
                </c:pt>
                <c:pt idx="6">
                  <c:v/>
                </c:pt>
                <c:pt idx="7">
                  <c:v/>
                </c:pt>
                <c:pt idx="8">
                  <c:v/>
                </c:pt>
                <c:pt idx="9">
                  <c:v/>
                </c:pt>
                <c:pt idx="10">
                  <c:v/>
                </c:pt>
                <c:pt idx="11">
                  <c:v/>
                </c:pt>
                <c:pt idx="12">
                  <c:v/>
                </c:pt>
                <c:pt idx="13">
                  <c:v/>
                </c:pt>
                <c:pt idx="14">
                  <c:v/>
                </c:pt>
              </c:numCache>
            </c:numRef>
          </c:yVal>
          <c:smooth val="1"/>
        </c:ser>
        <c:axId val="48031929"/>
        <c:axId val="79818790"/>
      </c:scatterChart>
      <c:valAx>
        <c:axId val="48031929"/>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p>
            <a:pPr>
              <a:defRPr b="0" sz="900" spc="-1" strike="noStrike">
                <a:solidFill>
                  <a:srgbClr val="595959"/>
                </a:solidFill>
                <a:uFill>
                  <a:solidFill>
                    <a:srgbClr val="ffffff"/>
                  </a:solidFill>
                </a:uFill>
                <a:latin typeface="Calibri"/>
              </a:defRPr>
            </a:pPr>
          </a:p>
        </c:txPr>
        <c:crossAx val="79818790"/>
        <c:crosses val="autoZero"/>
        <c:crossBetween val="midCat"/>
      </c:valAx>
      <c:valAx>
        <c:axId val="79818790"/>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9360">
            <a:solidFill>
              <a:srgbClr val="bfbfbf"/>
            </a:solidFill>
            <a:round/>
          </a:ln>
        </c:spPr>
        <c:txPr>
          <a:bodyPr/>
          <a:p>
            <a:pPr>
              <a:defRPr b="0" sz="900" spc="-1" strike="noStrike">
                <a:solidFill>
                  <a:srgbClr val="595959"/>
                </a:solidFill>
                <a:uFill>
                  <a:solidFill>
                    <a:srgbClr val="ffffff"/>
                  </a:solidFill>
                </a:uFill>
                <a:latin typeface="Calibri"/>
              </a:defRPr>
            </a:pPr>
          </a:p>
        </c:txPr>
        <c:crossAx val="48031929"/>
        <c:crosses val="autoZero"/>
        <c:crossBetween val="midCat"/>
      </c:valAx>
      <c:spPr>
        <a:noFill/>
        <a:ln>
          <a:noFill/>
        </a:ln>
      </c:spPr>
    </c:plotArea>
    <c:plotVisOnly val="1"/>
    <c:dispBlanksAs val="gap"/>
  </c:chart>
  <c:spPr>
    <a:solidFill>
      <a:srgbClr val="ffffff"/>
    </a:solidFill>
    <a:ln w="9360">
      <a:solidFill>
        <a:srgbClr val="d9d9d9"/>
      </a:solidFill>
      <a:round/>
    </a:ln>
  </c:spPr>
</c:chartSpace>
</file>

<file path=xl/charts/chart15.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66666666667"/>
          <c:y val="0.124907338769459"/>
          <c:w val="0.793333333333333"/>
          <c:h val="0.647949098097356"/>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1C'!$B$50:$B$64</c:f>
              <c:numCache>
                <c:formatCode>General</c:formatCode>
                <c:ptCount val="15"/>
                <c:pt idx="0">
                  <c:v>94.95</c:v>
                </c:pt>
                <c:pt idx="1">
                  <c:v>94.54</c:v>
                </c:pt>
                <c:pt idx="2">
                  <c:v>91.59</c:v>
                </c:pt>
                <c:pt idx="3">
                  <c:v>80.18</c:v>
                </c:pt>
                <c:pt idx="4">
                  <c:v>53.5</c:v>
                </c:pt>
                <c:pt idx="5">
                  <c:v>20.25</c:v>
                </c:pt>
                <c:pt idx="6">
                  <c:v>0.08</c:v>
                </c:pt>
                <c:pt idx="7">
                  <c:v>-10.57</c:v>
                </c:pt>
                <c:pt idx="8">
                  <c:v>-17.57</c:v>
                </c:pt>
                <c:pt idx="9">
                  <c:v>-24.6</c:v>
                </c:pt>
                <c:pt idx="10">
                  <c:v>-39.35</c:v>
                </c:pt>
                <c:pt idx="11">
                  <c:v>-63.61</c:v>
                </c:pt>
                <c:pt idx="12">
                  <c:v>-85.9</c:v>
                </c:pt>
                <c:pt idx="13">
                  <c:v>-106.39</c:v>
                </c:pt>
                <c:pt idx="14">
                  <c:v>-119.12</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1C'!$E$50:$E$64</c:f>
              <c:numCache>
                <c:formatCode>General</c:formatCode>
                <c:ptCount val="15"/>
                <c:pt idx="0">
                  <c:v>94.845</c:v>
                </c:pt>
                <c:pt idx="1">
                  <c:v>93.78</c:v>
                </c:pt>
                <c:pt idx="2">
                  <c:v>89.2</c:v>
                </c:pt>
                <c:pt idx="3">
                  <c:v>76.35</c:v>
                </c:pt>
                <c:pt idx="4">
                  <c:v>50.69</c:v>
                </c:pt>
                <c:pt idx="5">
                  <c:v>21.63</c:v>
                </c:pt>
                <c:pt idx="6">
                  <c:v>2.98</c:v>
                </c:pt>
                <c:pt idx="7">
                  <c:v>-8.765</c:v>
                </c:pt>
                <c:pt idx="8">
                  <c:v>-16.57</c:v>
                </c:pt>
                <c:pt idx="9">
                  <c:v>-24.04</c:v>
                </c:pt>
                <c:pt idx="10">
                  <c:v>-38.385</c:v>
                </c:pt>
                <c:pt idx="11">
                  <c:v>-60.42</c:v>
                </c:pt>
                <c:pt idx="12">
                  <c:v>-81.325</c:v>
                </c:pt>
                <c:pt idx="13">
                  <c:v>-101.795</c:v>
                </c:pt>
                <c:pt idx="14">
                  <c:v>-116.63</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1C'!$H$50:$H$64</c:f>
              <c:numCache>
                <c:formatCode>General</c:formatCode>
                <c:ptCount val="15"/>
                <c:pt idx="0">
                  <c:v>94.814</c:v>
                </c:pt>
                <c:pt idx="1">
                  <c:v>93.576</c:v>
                </c:pt>
                <c:pt idx="2">
                  <c:v>88.932</c:v>
                </c:pt>
                <c:pt idx="3">
                  <c:v>77.071</c:v>
                </c:pt>
                <c:pt idx="4">
                  <c:v>54.472</c:v>
                </c:pt>
                <c:pt idx="5">
                  <c:v>26.785</c:v>
                </c:pt>
                <c:pt idx="6">
                  <c:v>5.869</c:v>
                </c:pt>
                <c:pt idx="7">
                  <c:v>-7.508</c:v>
                </c:pt>
                <c:pt idx="8">
                  <c:v>-16.014</c:v>
                </c:pt>
                <c:pt idx="9">
                  <c:v>-24.848</c:v>
                </c:pt>
                <c:pt idx="10">
                  <c:v>-39.441</c:v>
                </c:pt>
                <c:pt idx="11">
                  <c:v>-59.82</c:v>
                </c:pt>
                <c:pt idx="12">
                  <c:v>-80.485</c:v>
                </c:pt>
                <c:pt idx="13">
                  <c:v>-99.631</c:v>
                </c:pt>
                <c:pt idx="14">
                  <c:v>-114.865</c:v>
                </c:pt>
              </c:numCache>
            </c:numRef>
          </c:yVal>
          <c:smooth val="1"/>
        </c:ser>
        <c:ser>
          <c:idx val="3"/>
          <c:order val="3"/>
          <c:tx>
            <c:strRef>
              <c:f>'Supplementary Data 1C'!$K$4:$K$4</c:f>
              <c:strCache>
                <c:ptCount val="1"/>
                <c:pt idx="0">
                  <c:v>stack</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1C'!$K$50:$K$64</c:f>
              <c:numCache>
                <c:formatCode>General</c:formatCode>
                <c:ptCount val="15"/>
                <c:pt idx="0">
                  <c:v>94.8095</c:v>
                </c:pt>
                <c:pt idx="1">
                  <c:v>93.568</c:v>
                </c:pt>
                <c:pt idx="2">
                  <c:v>89.0565</c:v>
                </c:pt>
                <c:pt idx="3">
                  <c:v>77.308</c:v>
                </c:pt>
                <c:pt idx="4">
                  <c:v>55.544</c:v>
                </c:pt>
                <c:pt idx="5">
                  <c:v>28.896</c:v>
                </c:pt>
                <c:pt idx="6">
                  <c:v>7.873</c:v>
                </c:pt>
                <c:pt idx="7">
                  <c:v>-6.186</c:v>
                </c:pt>
                <c:pt idx="8">
                  <c:v>-15.308</c:v>
                </c:pt>
                <c:pt idx="9">
                  <c:v>-24.7995</c:v>
                </c:pt>
                <c:pt idx="10">
                  <c:v>-39.449</c:v>
                </c:pt>
                <c:pt idx="11">
                  <c:v>-59.4335</c:v>
                </c:pt>
                <c:pt idx="12">
                  <c:v>-79.726</c:v>
                </c:pt>
                <c:pt idx="13">
                  <c:v>-98.5595</c:v>
                </c:pt>
                <c:pt idx="14">
                  <c:v>-113.771</c:v>
                </c:pt>
              </c:numCache>
            </c:numRef>
          </c:yVal>
          <c:smooth val="1"/>
        </c:ser>
        <c:axId val="99402846"/>
        <c:axId val="21047510"/>
      </c:scatterChart>
      <c:valAx>
        <c:axId val="99402846"/>
        <c:scaling>
          <c:orientation val="minMax"/>
          <c:max val="8"/>
          <c:min val="3"/>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21047510"/>
        <c:crosses val="autoZero"/>
        <c:crossBetween val="midCat"/>
      </c:valAx>
      <c:valAx>
        <c:axId val="21047510"/>
        <c:scaling>
          <c:orientation val="minMax"/>
          <c:max val="100"/>
          <c:min val="-10"/>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99402846"/>
        <c:crosses val="autoZero"/>
        <c:crossBetween val="midCat"/>
      </c:valAx>
      <c:spPr>
        <a:solidFill>
          <a:srgbClr val="ffffff"/>
        </a:solidFill>
        <a:ln>
          <a:solidFill>
            <a:srgbClr val="808080"/>
          </a:solidFill>
        </a:ln>
      </c:spPr>
    </c:plotArea>
    <c:legend>
      <c:legendPos val="r"/>
      <c:layout>
        <c:manualLayout>
          <c:xMode val="edge"/>
          <c:yMode val="edge"/>
          <c:x val="0.775265456753072"/>
          <c:y val="0.195533254421629"/>
        </c:manualLayout>
      </c:layout>
      <c:overlay val="0"/>
      <c:spPr>
        <a:solidFill>
          <a:srgbClr val="ffffff"/>
        </a:solidFill>
        <a:ln>
          <a:noFill/>
        </a:ln>
      </c:spPr>
    </c:legend>
    <c:plotVisOnly val="1"/>
    <c:dispBlanksAs val="gap"/>
  </c:chart>
  <c:spPr>
    <a:noFill/>
    <a:ln w="9360">
      <a:noFill/>
    </a:ln>
  </c:spPr>
</c:chartSpace>
</file>

<file path=xl/charts/chart16.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39750347638"/>
          <c:y val="0.124907338769459"/>
          <c:w val="0.793325356530738"/>
          <c:h val="0.647949098097356"/>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1C'!$D$50:$D$64</c:f>
              <c:numCache>
                <c:formatCode>General</c:formatCode>
                <c:ptCount val="15"/>
                <c:pt idx="0">
                  <c:v>-77.62</c:v>
                </c:pt>
                <c:pt idx="1">
                  <c:v>-77.83</c:v>
                </c:pt>
                <c:pt idx="2">
                  <c:v>-79.48</c:v>
                </c:pt>
                <c:pt idx="3">
                  <c:v>-86.43</c:v>
                </c:pt>
                <c:pt idx="4">
                  <c:v>-96.99</c:v>
                </c:pt>
                <c:pt idx="5">
                  <c:v>-99.55</c:v>
                </c:pt>
                <c:pt idx="6">
                  <c:v>-101.8</c:v>
                </c:pt>
                <c:pt idx="7">
                  <c:v>-103.55</c:v>
                </c:pt>
                <c:pt idx="8">
                  <c:v>-102.39</c:v>
                </c:pt>
                <c:pt idx="9">
                  <c:v>-102.17</c:v>
                </c:pt>
                <c:pt idx="10">
                  <c:v>-94.99</c:v>
                </c:pt>
                <c:pt idx="11">
                  <c:v>-69.22</c:v>
                </c:pt>
                <c:pt idx="12">
                  <c:v>-39.6</c:v>
                </c:pt>
                <c:pt idx="13">
                  <c:v>-16.73</c:v>
                </c:pt>
                <c:pt idx="14">
                  <c:v>0</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1C'!$G$50:$G$64</c:f>
              <c:numCache>
                <c:formatCode>General</c:formatCode>
                <c:ptCount val="15"/>
                <c:pt idx="0">
                  <c:v>-94.655</c:v>
                </c:pt>
                <c:pt idx="1">
                  <c:v>-95.34</c:v>
                </c:pt>
                <c:pt idx="2">
                  <c:v>-99.055</c:v>
                </c:pt>
                <c:pt idx="3">
                  <c:v>-110.375</c:v>
                </c:pt>
                <c:pt idx="4">
                  <c:v>-125.9</c:v>
                </c:pt>
                <c:pt idx="5">
                  <c:v>-129.43</c:v>
                </c:pt>
                <c:pt idx="6">
                  <c:v>-128.395</c:v>
                </c:pt>
                <c:pt idx="7">
                  <c:v>-126.77</c:v>
                </c:pt>
                <c:pt idx="8">
                  <c:v>-123.825</c:v>
                </c:pt>
                <c:pt idx="9">
                  <c:v>-122.57</c:v>
                </c:pt>
                <c:pt idx="10">
                  <c:v>-114.55</c:v>
                </c:pt>
                <c:pt idx="11">
                  <c:v>-85.965</c:v>
                </c:pt>
                <c:pt idx="12">
                  <c:v>-51.05</c:v>
                </c:pt>
                <c:pt idx="13">
                  <c:v>-21.56</c:v>
                </c:pt>
                <c:pt idx="14">
                  <c:v>0</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1C'!$J$50:$J$64</c:f>
              <c:numCache>
                <c:formatCode>General</c:formatCode>
                <c:ptCount val="15"/>
                <c:pt idx="0">
                  <c:v>-117.17</c:v>
                </c:pt>
                <c:pt idx="1">
                  <c:v>-117.984</c:v>
                </c:pt>
                <c:pt idx="2">
                  <c:v>-122.103</c:v>
                </c:pt>
                <c:pt idx="3">
                  <c:v>-133.275</c:v>
                </c:pt>
                <c:pt idx="4">
                  <c:v>-145.933</c:v>
                </c:pt>
                <c:pt idx="5">
                  <c:v>-142.904</c:v>
                </c:pt>
                <c:pt idx="6">
                  <c:v>-136.177</c:v>
                </c:pt>
                <c:pt idx="7">
                  <c:v>-131.956</c:v>
                </c:pt>
                <c:pt idx="8">
                  <c:v>-127.759</c:v>
                </c:pt>
                <c:pt idx="9">
                  <c:v>-126.582</c:v>
                </c:pt>
                <c:pt idx="10">
                  <c:v>-120.247</c:v>
                </c:pt>
                <c:pt idx="11">
                  <c:v>-91.758</c:v>
                </c:pt>
                <c:pt idx="12">
                  <c:v>-55.98</c:v>
                </c:pt>
                <c:pt idx="13">
                  <c:v>-24.39</c:v>
                </c:pt>
                <c:pt idx="14">
                  <c:v>0</c:v>
                </c:pt>
              </c:numCache>
            </c:numRef>
          </c:yVal>
          <c:smooth val="1"/>
        </c:ser>
        <c:ser>
          <c:idx val="3"/>
          <c:order val="3"/>
          <c:tx>
            <c:strRef>
              <c:f>'Supplementary Data 1C'!$K$4:$K$4</c:f>
              <c:strCache>
                <c:ptCount val="1"/>
                <c:pt idx="0">
                  <c:v>stack</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1C'!$M$50:$M$64</c:f>
              <c:numCache>
                <c:formatCode>General</c:formatCode>
                <c:ptCount val="15"/>
                <c:pt idx="0">
                  <c:v>-131.3105</c:v>
                </c:pt>
                <c:pt idx="1">
                  <c:v>-132.137</c:v>
                </c:pt>
                <c:pt idx="2">
                  <c:v>-136.196</c:v>
                </c:pt>
                <c:pt idx="3">
                  <c:v>-147.124</c:v>
                </c:pt>
                <c:pt idx="4">
                  <c:v>-159.0145</c:v>
                </c:pt>
                <c:pt idx="5">
                  <c:v>-153.734</c:v>
                </c:pt>
                <c:pt idx="6">
                  <c:v>-144.075</c:v>
                </c:pt>
                <c:pt idx="7">
                  <c:v>-137.5955</c:v>
                </c:pt>
                <c:pt idx="8">
                  <c:v>-132.0155</c:v>
                </c:pt>
                <c:pt idx="9">
                  <c:v>-130.341</c:v>
                </c:pt>
                <c:pt idx="10">
                  <c:v>-124.0825</c:v>
                </c:pt>
                <c:pt idx="11">
                  <c:v>-95.3335</c:v>
                </c:pt>
                <c:pt idx="12">
                  <c:v>-58.7685</c:v>
                </c:pt>
                <c:pt idx="13">
                  <c:v>-25.9435</c:v>
                </c:pt>
                <c:pt idx="14">
                  <c:v>0</c:v>
                </c:pt>
              </c:numCache>
            </c:numRef>
          </c:yVal>
          <c:smooth val="1"/>
        </c:ser>
        <c:axId val="82261731"/>
        <c:axId val="13851658"/>
      </c:scatterChart>
      <c:valAx>
        <c:axId val="82261731"/>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13851658"/>
        <c:crosses val="autoZero"/>
        <c:crossBetween val="midCat"/>
      </c:valAx>
      <c:valAx>
        <c:axId val="13851658"/>
        <c:scaling>
          <c:orientation val="minMax"/>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82261731"/>
        <c:crosses val="autoZero"/>
        <c:crossBetween val="midCat"/>
        <c:majorUnit val="100"/>
      </c:valAx>
      <c:spPr>
        <a:solidFill>
          <a:srgbClr val="ffffff"/>
        </a:solidFill>
        <a:ln>
          <a:solidFill>
            <a:srgbClr val="808080"/>
          </a:solidFill>
        </a:ln>
      </c:spPr>
    </c:plotArea>
    <c:plotVisOnly val="1"/>
    <c:dispBlanksAs val="gap"/>
  </c:chart>
  <c:spPr>
    <a:noFill/>
    <a:ln w="9360">
      <a:noFill/>
    </a:ln>
  </c:spPr>
</c:chartSpace>
</file>

<file path=xl/charts/chart17.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66666666667"/>
          <c:y val="0.124907338769459"/>
          <c:w val="0.793333333333333"/>
          <c:h val="0.647949098097356"/>
        </c:manualLayout>
      </c:layout>
      <c:scatterChart>
        <c:scatterStyle val="lineMarker"/>
        <c:varyColors val="0"/>
        <c:ser>
          <c:idx val="0"/>
          <c:order val="0"/>
          <c:tx>
            <c:strRef>
              <c:f>'Supplementary Data 1C'!$B$4:$B$4</c:f>
              <c:strCache>
                <c:ptCount val="1"/>
                <c:pt idx="0">
                  <c:v>monomer</c:v>
                </c:pt>
              </c:strCache>
            </c:strRef>
          </c:tx>
          <c:spPr>
            <a:solidFill>
              <a:srgbClr val="ff0000"/>
            </a:solidFill>
            <a:ln w="50760">
              <a:solidFill>
                <a:srgbClr val="ff0000"/>
              </a:solidFill>
              <a:round/>
            </a:ln>
          </c:spPr>
          <c:marker>
            <c:symbol val="circle"/>
            <c:size val="5"/>
            <c:spPr>
              <a:solidFill>
                <a:srgbClr val="ff0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1C'!$D$8:$D$22</c:f>
              <c:numCache>
                <c:formatCode>General</c:formatCode>
                <c:ptCount val="15"/>
                <c:pt idx="0">
                  <c:v>-119.95</c:v>
                </c:pt>
                <c:pt idx="1">
                  <c:v>-120.18</c:v>
                </c:pt>
                <c:pt idx="2">
                  <c:v>-121.74</c:v>
                </c:pt>
                <c:pt idx="3">
                  <c:v>-127.55</c:v>
                </c:pt>
                <c:pt idx="4">
                  <c:v>-134.21</c:v>
                </c:pt>
                <c:pt idx="5">
                  <c:v>-129.16</c:v>
                </c:pt>
                <c:pt idx="6">
                  <c:v>-124.51</c:v>
                </c:pt>
                <c:pt idx="7">
                  <c:v>-123.35</c:v>
                </c:pt>
                <c:pt idx="8">
                  <c:v>-121.15</c:v>
                </c:pt>
                <c:pt idx="9">
                  <c:v>-117.1</c:v>
                </c:pt>
                <c:pt idx="10">
                  <c:v>-102.85</c:v>
                </c:pt>
                <c:pt idx="11">
                  <c:v>-74.24</c:v>
                </c:pt>
                <c:pt idx="12">
                  <c:v>-45.9</c:v>
                </c:pt>
                <c:pt idx="13">
                  <c:v>-21.8</c:v>
                </c:pt>
                <c:pt idx="14">
                  <c:v>0</c:v>
                </c:pt>
              </c:numCache>
            </c:numRef>
          </c:yVal>
          <c:smooth val="1"/>
        </c:ser>
        <c:ser>
          <c:idx val="1"/>
          <c:order val="1"/>
          <c:tx>
            <c:strRef>
              <c:f>'Supplementary Data 1C'!$E$4:$E$4</c:f>
              <c:strCache>
                <c:ptCount val="1"/>
                <c:pt idx="0">
                  <c:v>dimer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1C'!$G$8:$G$22</c:f>
              <c:numCache>
                <c:formatCode>General</c:formatCode>
                <c:ptCount val="15"/>
                <c:pt idx="0">
                  <c:v>-125.21</c:v>
                </c:pt>
                <c:pt idx="1">
                  <c:v>-125.675</c:v>
                </c:pt>
                <c:pt idx="2">
                  <c:v>-128.265</c:v>
                </c:pt>
                <c:pt idx="3">
                  <c:v>-135.77</c:v>
                </c:pt>
                <c:pt idx="4">
                  <c:v>-143.17</c:v>
                </c:pt>
                <c:pt idx="5">
                  <c:v>-137.14</c:v>
                </c:pt>
                <c:pt idx="6">
                  <c:v>-129.42</c:v>
                </c:pt>
                <c:pt idx="7">
                  <c:v>-125.85</c:v>
                </c:pt>
                <c:pt idx="8">
                  <c:v>-122.965</c:v>
                </c:pt>
                <c:pt idx="9">
                  <c:v>-119.925</c:v>
                </c:pt>
                <c:pt idx="10">
                  <c:v>-108.35</c:v>
                </c:pt>
                <c:pt idx="11">
                  <c:v>-81.265</c:v>
                </c:pt>
                <c:pt idx="12">
                  <c:v>-52.11</c:v>
                </c:pt>
                <c:pt idx="13">
                  <c:v>-25.095</c:v>
                </c:pt>
                <c:pt idx="14">
                  <c:v>0</c:v>
                </c:pt>
              </c:numCache>
            </c:numRef>
          </c:yVal>
          <c:smooth val="1"/>
        </c:ser>
        <c:ser>
          <c:idx val="2"/>
          <c:order val="2"/>
          <c:tx>
            <c:strRef>
              <c:f>'Supplementary Data 1C'!$H$4:$H$4</c:f>
              <c:strCache>
                <c:ptCount val="1"/>
                <c:pt idx="0">
                  <c:v>decamer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1C'!$J$8:$J$22</c:f>
              <c:numCache>
                <c:formatCode>General</c:formatCode>
                <c:ptCount val="15"/>
                <c:pt idx="0">
                  <c:v>-143.092</c:v>
                </c:pt>
                <c:pt idx="1">
                  <c:v>-143.642</c:v>
                </c:pt>
                <c:pt idx="2">
                  <c:v>-146.595</c:v>
                </c:pt>
                <c:pt idx="3">
                  <c:v>-154.922</c:v>
                </c:pt>
                <c:pt idx="4">
                  <c:v>-161.211</c:v>
                </c:pt>
                <c:pt idx="5">
                  <c:v>-149.944</c:v>
                </c:pt>
                <c:pt idx="6">
                  <c:v>-136.497</c:v>
                </c:pt>
                <c:pt idx="7">
                  <c:v>-128.531</c:v>
                </c:pt>
                <c:pt idx="8">
                  <c:v>-123.54</c:v>
                </c:pt>
                <c:pt idx="9">
                  <c:v>-121.104</c:v>
                </c:pt>
                <c:pt idx="10">
                  <c:v>-111.177</c:v>
                </c:pt>
                <c:pt idx="11">
                  <c:v>-84.104</c:v>
                </c:pt>
                <c:pt idx="12">
                  <c:v>-54.75</c:v>
                </c:pt>
                <c:pt idx="13">
                  <c:v>-26.918</c:v>
                </c:pt>
                <c:pt idx="14">
                  <c:v>0</c:v>
                </c:pt>
              </c:numCache>
            </c:numRef>
          </c:yVal>
          <c:smooth val="1"/>
        </c:ser>
        <c:ser>
          <c:idx val="3"/>
          <c:order val="3"/>
          <c:tx>
            <c:strRef>
              <c:f>'Supplementary Data 1C'!$K$4:$K$4</c:f>
              <c:strCache>
                <c:ptCount val="1"/>
                <c:pt idx="0">
                  <c:v>stack</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1C'!$M$8:$M$22</c:f>
              <c:numCache>
                <c:formatCode>General</c:formatCode>
                <c:ptCount val="15"/>
                <c:pt idx="0">
                  <c:v>-150.6185</c:v>
                </c:pt>
                <c:pt idx="1">
                  <c:v>-151.14</c:v>
                </c:pt>
                <c:pt idx="2">
                  <c:v>-153.991</c:v>
                </c:pt>
                <c:pt idx="3">
                  <c:v>-161.9425</c:v>
                </c:pt>
                <c:pt idx="4">
                  <c:v>-167.2905</c:v>
                </c:pt>
                <c:pt idx="5">
                  <c:v>-154.518</c:v>
                </c:pt>
                <c:pt idx="6">
                  <c:v>-139.5345</c:v>
                </c:pt>
                <c:pt idx="7">
                  <c:v>-130.5345</c:v>
                </c:pt>
                <c:pt idx="8">
                  <c:v>-125.0395</c:v>
                </c:pt>
                <c:pt idx="9">
                  <c:v>-122.5095</c:v>
                </c:pt>
                <c:pt idx="10">
                  <c:v>-112.641</c:v>
                </c:pt>
                <c:pt idx="11">
                  <c:v>-85.468</c:v>
                </c:pt>
                <c:pt idx="12">
                  <c:v>-55.5585</c:v>
                </c:pt>
                <c:pt idx="13">
                  <c:v>-27.1065</c:v>
                </c:pt>
                <c:pt idx="14">
                  <c:v>0</c:v>
                </c:pt>
              </c:numCache>
            </c:numRef>
          </c:yVal>
          <c:smooth val="1"/>
        </c:ser>
        <c:axId val="67406174"/>
        <c:axId val="34438418"/>
      </c:scatterChart>
      <c:valAx>
        <c:axId val="67406174"/>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34438418"/>
        <c:crosses val="autoZero"/>
        <c:crossBetween val="midCat"/>
      </c:valAx>
      <c:valAx>
        <c:axId val="34438418"/>
        <c:scaling>
          <c:orientation val="minMax"/>
          <c:max val="0"/>
          <c:min val="-200"/>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Normalized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67406174"/>
        <c:crosses val="autoZero"/>
        <c:crossBetween val="midCat"/>
        <c:majorUnit val="100"/>
      </c:valAx>
      <c:spPr>
        <a:solidFill>
          <a:srgbClr val="ffffff"/>
        </a:solidFill>
        <a:ln>
          <a:solidFill>
            <a:srgbClr val="808080"/>
          </a:solidFill>
        </a:ln>
      </c:spPr>
    </c:plotArea>
    <c:plotVisOnly val="1"/>
    <c:dispBlanksAs val="gap"/>
  </c:chart>
  <c:spPr>
    <a:noFill/>
    <a:ln w="9360">
      <a:noFill/>
    </a:ln>
  </c:spPr>
</c:chartSpace>
</file>

<file path=xl/charts/chart18.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8463513018"/>
          <c:y val="0.124884466916762"/>
          <c:w val="0.793312664599793"/>
          <c:h val="0.64796389930952"/>
        </c:manualLayout>
      </c:layout>
      <c:scatterChart>
        <c:scatterStyle val="lineMarker"/>
        <c:varyColors val="0"/>
        <c:ser>
          <c:idx val="0"/>
          <c:order val="0"/>
          <c:tx>
            <c:strRef>
              <c:f>"dimer-monomer"</c:f>
              <c:strCache>
                <c:ptCount val="1"/>
                <c:pt idx="0">
                  <c:v>dimer-monomer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1C'!$BM$8:$BM$22</c:f>
              <c:numCache>
                <c:formatCode>General</c:formatCode>
                <c:ptCount val="15"/>
                <c:pt idx="0">
                  <c:v>-17.035</c:v>
                </c:pt>
                <c:pt idx="1">
                  <c:v>-17.51</c:v>
                </c:pt>
                <c:pt idx="2">
                  <c:v>-19.575</c:v>
                </c:pt>
                <c:pt idx="3">
                  <c:v>-23.945</c:v>
                </c:pt>
                <c:pt idx="4">
                  <c:v>-28.91</c:v>
                </c:pt>
                <c:pt idx="5">
                  <c:v>-29.88</c:v>
                </c:pt>
                <c:pt idx="6">
                  <c:v>-26.595</c:v>
                </c:pt>
                <c:pt idx="7">
                  <c:v>-23.22</c:v>
                </c:pt>
                <c:pt idx="8">
                  <c:v>-21.435</c:v>
                </c:pt>
                <c:pt idx="9">
                  <c:v>-20.4</c:v>
                </c:pt>
                <c:pt idx="10">
                  <c:v>-19.56</c:v>
                </c:pt>
                <c:pt idx="11">
                  <c:v>-16.745</c:v>
                </c:pt>
                <c:pt idx="12">
                  <c:v>-11.45</c:v>
                </c:pt>
                <c:pt idx="13">
                  <c:v>-4.82999999999998</c:v>
                </c:pt>
                <c:pt idx="14">
                  <c:v>0</c:v>
                </c:pt>
              </c:numCache>
            </c:numRef>
          </c:yVal>
          <c:smooth val="1"/>
        </c:ser>
        <c:ser>
          <c:idx val="1"/>
          <c:order val="1"/>
          <c:tx>
            <c:strRef>
              <c:f>"decamer-monomer"</c:f>
              <c:strCache>
                <c:ptCount val="1"/>
                <c:pt idx="0">
                  <c:v>decamer-monomer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1C'!$BP$8:$BP$22</c:f>
              <c:numCache>
                <c:formatCode>General</c:formatCode>
                <c:ptCount val="15"/>
                <c:pt idx="0">
                  <c:v>-39.55</c:v>
                </c:pt>
                <c:pt idx="1">
                  <c:v>-40.154</c:v>
                </c:pt>
                <c:pt idx="2">
                  <c:v>-42.623</c:v>
                </c:pt>
                <c:pt idx="3">
                  <c:v>-46.845</c:v>
                </c:pt>
                <c:pt idx="4">
                  <c:v>-48.943</c:v>
                </c:pt>
                <c:pt idx="5">
                  <c:v>-43.354</c:v>
                </c:pt>
                <c:pt idx="6">
                  <c:v>-34.377</c:v>
                </c:pt>
                <c:pt idx="7">
                  <c:v>-28.406</c:v>
                </c:pt>
                <c:pt idx="8">
                  <c:v>-25.369</c:v>
                </c:pt>
                <c:pt idx="9">
                  <c:v>-24.412</c:v>
                </c:pt>
                <c:pt idx="10">
                  <c:v>-25.257</c:v>
                </c:pt>
                <c:pt idx="11">
                  <c:v>-22.538</c:v>
                </c:pt>
                <c:pt idx="12">
                  <c:v>-16.38</c:v>
                </c:pt>
                <c:pt idx="13">
                  <c:v>-7.66000000000002</c:v>
                </c:pt>
                <c:pt idx="14">
                  <c:v>0</c:v>
                </c:pt>
              </c:numCache>
            </c:numRef>
          </c:yVal>
          <c:smooth val="1"/>
        </c:ser>
        <c:ser>
          <c:idx val="2"/>
          <c:order val="2"/>
          <c:tx>
            <c:strRef>
              <c:f>"stack-monomer"</c:f>
              <c:strCache>
                <c:ptCount val="1"/>
                <c:pt idx="0">
                  <c:v>stack-monomer</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1C'!$BS$8:$BS$22</c:f>
              <c:numCache>
                <c:formatCode>General</c:formatCode>
                <c:ptCount val="15"/>
                <c:pt idx="0">
                  <c:v>-53.6905</c:v>
                </c:pt>
                <c:pt idx="1">
                  <c:v>-54.307</c:v>
                </c:pt>
                <c:pt idx="2">
                  <c:v>-56.716</c:v>
                </c:pt>
                <c:pt idx="3">
                  <c:v>-60.694</c:v>
                </c:pt>
                <c:pt idx="4">
                  <c:v>-62.0245</c:v>
                </c:pt>
                <c:pt idx="5">
                  <c:v>-54.184</c:v>
                </c:pt>
                <c:pt idx="6">
                  <c:v>-42.275</c:v>
                </c:pt>
                <c:pt idx="7">
                  <c:v>-34.0455</c:v>
                </c:pt>
                <c:pt idx="8">
                  <c:v>-29.6255</c:v>
                </c:pt>
                <c:pt idx="9">
                  <c:v>-28.171</c:v>
                </c:pt>
                <c:pt idx="10">
                  <c:v>-29.0925</c:v>
                </c:pt>
                <c:pt idx="11">
                  <c:v>-26.1135</c:v>
                </c:pt>
                <c:pt idx="12">
                  <c:v>-19.1685</c:v>
                </c:pt>
                <c:pt idx="13">
                  <c:v>-9.2135</c:v>
                </c:pt>
                <c:pt idx="14">
                  <c:v>0</c:v>
                </c:pt>
              </c:numCache>
            </c:numRef>
          </c:yVal>
          <c:smooth val="1"/>
        </c:ser>
        <c:axId val="57407668"/>
        <c:axId val="29479521"/>
      </c:scatterChart>
      <c:valAx>
        <c:axId val="57407668"/>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29479521"/>
        <c:crosses val="autoZero"/>
        <c:crossBetween val="midCat"/>
      </c:valAx>
      <c:valAx>
        <c:axId val="29479521"/>
        <c:scaling>
          <c:orientation val="minMax"/>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changes in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57407668"/>
        <c:crosses val="autoZero"/>
        <c:crossBetween val="midCat"/>
      </c:valAx>
      <c:spPr>
        <a:solidFill>
          <a:srgbClr val="ffffff"/>
        </a:solidFill>
        <a:ln>
          <a:solidFill>
            <a:srgbClr val="808080"/>
          </a:solidFill>
        </a:ln>
      </c:spPr>
    </c:plotArea>
    <c:plotVisOnly val="1"/>
    <c:dispBlanksAs val="gap"/>
  </c:chart>
  <c:spPr>
    <a:noFill/>
    <a:ln w="9360">
      <a:noFill/>
    </a:ln>
  </c:spPr>
</c:chartSpace>
</file>

<file path=xl/charts/chart19.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26573471831"/>
          <c:y val="0.124885364406322"/>
          <c:w val="0.793288677474679"/>
          <c:h val="0.647947348546151"/>
        </c:manualLayout>
      </c:layout>
      <c:scatterChart>
        <c:scatterStyle val="lineMarker"/>
        <c:varyColors val="0"/>
        <c:ser>
          <c:idx val="0"/>
          <c:order val="0"/>
          <c:tx>
            <c:strRef>
              <c:f>"dimer-monomer"</c:f>
              <c:strCache>
                <c:ptCount val="1"/>
                <c:pt idx="0">
                  <c:v>dimer-monomer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1C'!$AR$8:$AR$22</c:f>
              <c:numCache>
                <c:formatCode>General</c:formatCode>
                <c:ptCount val="15"/>
                <c:pt idx="0">
                  <c:v>-5.26000000000002</c:v>
                </c:pt>
                <c:pt idx="1">
                  <c:v>-5.49500000000002</c:v>
                </c:pt>
                <c:pt idx="2">
                  <c:v>-6.52500000000003</c:v>
                </c:pt>
                <c:pt idx="3">
                  <c:v>-8.22000000000003</c:v>
                </c:pt>
                <c:pt idx="4">
                  <c:v>-8.96000000000004</c:v>
                </c:pt>
                <c:pt idx="5">
                  <c:v>-7.98000000000005</c:v>
                </c:pt>
                <c:pt idx="6">
                  <c:v>-4.91000000000003</c:v>
                </c:pt>
                <c:pt idx="7">
                  <c:v>-2.5</c:v>
                </c:pt>
                <c:pt idx="8">
                  <c:v>-1.81500000000001</c:v>
                </c:pt>
                <c:pt idx="9">
                  <c:v>-2.82500000000002</c:v>
                </c:pt>
                <c:pt idx="10">
                  <c:v>-5.5</c:v>
                </c:pt>
                <c:pt idx="11">
                  <c:v>-7.02500000000003</c:v>
                </c:pt>
                <c:pt idx="12">
                  <c:v>-6.21000000000004</c:v>
                </c:pt>
                <c:pt idx="13">
                  <c:v>-3.29500000000002</c:v>
                </c:pt>
                <c:pt idx="14">
                  <c:v>0</c:v>
                </c:pt>
              </c:numCache>
            </c:numRef>
          </c:yVal>
          <c:smooth val="1"/>
        </c:ser>
        <c:ser>
          <c:idx val="1"/>
          <c:order val="1"/>
          <c:tx>
            <c:strRef>
              <c:f>"decamer-monomer"</c:f>
              <c:strCache>
                <c:ptCount val="1"/>
                <c:pt idx="0">
                  <c:v>decamer-monomer</c:v>
                </c:pt>
              </c:strCache>
            </c:strRef>
          </c:tx>
          <c:spPr>
            <a:solidFill>
              <a:srgbClr val="00b050"/>
            </a:solidFill>
            <a:ln w="50760">
              <a:solidFill>
                <a:srgbClr val="00b050"/>
              </a:solidFill>
              <a:round/>
            </a:ln>
          </c:spPr>
          <c:marker>
            <c:symbol val="circle"/>
            <c:size val="5"/>
            <c:spPr>
              <a:solidFill>
                <a:srgbClr val="00b05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1C'!$AU$8:$AU$22</c:f>
              <c:numCache>
                <c:formatCode>General</c:formatCode>
                <c:ptCount val="15"/>
                <c:pt idx="0">
                  <c:v>-23.142</c:v>
                </c:pt>
                <c:pt idx="1">
                  <c:v>-23.462</c:v>
                </c:pt>
                <c:pt idx="2">
                  <c:v>-24.855</c:v>
                </c:pt>
                <c:pt idx="3">
                  <c:v>-27.372</c:v>
                </c:pt>
                <c:pt idx="4">
                  <c:v>-27.001</c:v>
                </c:pt>
                <c:pt idx="5">
                  <c:v>-20.784</c:v>
                </c:pt>
                <c:pt idx="6">
                  <c:v>-11.987</c:v>
                </c:pt>
                <c:pt idx="7">
                  <c:v>-5.18100000000001</c:v>
                </c:pt>
                <c:pt idx="8">
                  <c:v>-2.39000000000001</c:v>
                </c:pt>
                <c:pt idx="9">
                  <c:v>-4.00400000000001</c:v>
                </c:pt>
                <c:pt idx="10">
                  <c:v>-8.327</c:v>
                </c:pt>
                <c:pt idx="11">
                  <c:v>-9.86400000000002</c:v>
                </c:pt>
                <c:pt idx="12">
                  <c:v>-8.85000000000002</c:v>
                </c:pt>
                <c:pt idx="13">
                  <c:v>-5.118</c:v>
                </c:pt>
                <c:pt idx="14">
                  <c:v>0</c:v>
                </c:pt>
              </c:numCache>
            </c:numRef>
          </c:yVal>
          <c:smooth val="1"/>
        </c:ser>
        <c:ser>
          <c:idx val="2"/>
          <c:order val="2"/>
          <c:tx>
            <c:strRef>
              <c:f>"stack-monomer"</c:f>
              <c:strCache>
                <c:ptCount val="1"/>
                <c:pt idx="0">
                  <c:v>stack-monomer</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1C'!$AX$8:$AX$22</c:f>
              <c:numCache>
                <c:formatCode>General</c:formatCode>
                <c:ptCount val="15"/>
                <c:pt idx="0">
                  <c:v>-30.6685</c:v>
                </c:pt>
                <c:pt idx="1">
                  <c:v>-30.96</c:v>
                </c:pt>
                <c:pt idx="2">
                  <c:v>-32.251</c:v>
                </c:pt>
                <c:pt idx="3">
                  <c:v>-34.3925</c:v>
                </c:pt>
                <c:pt idx="4">
                  <c:v>-33.0805</c:v>
                </c:pt>
                <c:pt idx="5">
                  <c:v>-25.358</c:v>
                </c:pt>
                <c:pt idx="6">
                  <c:v>-15.0245</c:v>
                </c:pt>
                <c:pt idx="7">
                  <c:v>-7.18449999999999</c:v>
                </c:pt>
                <c:pt idx="8">
                  <c:v>-3.88950000000001</c:v>
                </c:pt>
                <c:pt idx="9">
                  <c:v>-5.40949999999998</c:v>
                </c:pt>
                <c:pt idx="10">
                  <c:v>-9.791</c:v>
                </c:pt>
                <c:pt idx="11">
                  <c:v>-11.228</c:v>
                </c:pt>
                <c:pt idx="12">
                  <c:v>-9.65850000000003</c:v>
                </c:pt>
                <c:pt idx="13">
                  <c:v>-5.30650000000002</c:v>
                </c:pt>
                <c:pt idx="14">
                  <c:v>0</c:v>
                </c:pt>
              </c:numCache>
            </c:numRef>
          </c:yVal>
          <c:smooth val="1"/>
        </c:ser>
        <c:axId val="70843977"/>
        <c:axId val="17234284"/>
      </c:scatterChart>
      <c:valAx>
        <c:axId val="70843977"/>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17234284"/>
        <c:crosses val="autoZero"/>
        <c:crossBetween val="midCat"/>
      </c:valAx>
      <c:valAx>
        <c:axId val="17234284"/>
        <c:scaling>
          <c:orientation val="minMax"/>
          <c:min val="-70"/>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changes in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70843977"/>
        <c:crosses val="autoZero"/>
        <c:crossBetween val="midCat"/>
      </c:valAx>
      <c:spPr>
        <a:solidFill>
          <a:srgbClr val="ffffff"/>
        </a:solidFill>
        <a:ln>
          <a:solidFill>
            <a:srgbClr val="808080"/>
          </a:solidFill>
        </a:ln>
      </c:spPr>
    </c:plotArea>
    <c:plotVisOnly val="1"/>
    <c:dispBlanksAs val="gap"/>
  </c:chart>
  <c:spPr>
    <a:noFill/>
    <a:ln w="9360">
      <a:noFill/>
    </a:ln>
  </c:spPr>
</c:chartSpace>
</file>

<file path=xl/charts/chart20.xml><?xml version="1.0" encoding="utf-8"?>
<c:chartSpace xmlns:c="http://schemas.openxmlformats.org/drawingml/2006/chart" xmlns:a="http://schemas.openxmlformats.org/drawingml/2006/main" xmlns:r="http://schemas.openxmlformats.org/officeDocument/2006/relationships">
  <c:lang val="en-US"/>
  <c:roundedCorners val="0"/>
  <c:chart>
    <c:plotArea>
      <c:layout>
        <c:manualLayout>
          <c:layoutTarget val="inner"/>
          <c:xMode val="edge"/>
          <c:yMode val="edge"/>
          <c:x val="0.179636646264452"/>
          <c:y val="0.124884114086274"/>
          <c:w val="0.793289938145665"/>
          <c:h val="0.647924960462453"/>
        </c:manualLayout>
      </c:layout>
      <c:scatterChart>
        <c:scatterStyle val="lineMarker"/>
        <c:varyColors val="0"/>
        <c:ser>
          <c:idx val="0"/>
          <c:order val="0"/>
          <c:tx>
            <c:strRef>
              <c:f>"dimer-monomer"</c:f>
              <c:strCache>
                <c:ptCount val="1"/>
                <c:pt idx="0">
                  <c:v>dimer-monomer</c:v>
                </c:pt>
              </c:strCache>
            </c:strRef>
          </c:tx>
          <c:spPr>
            <a:solidFill>
              <a:srgbClr val="ffc000"/>
            </a:solidFill>
            <a:ln w="50760">
              <a:solidFill>
                <a:srgbClr val="ffc000"/>
              </a:solidFill>
              <a:round/>
            </a:ln>
          </c:spPr>
          <c:marker>
            <c:symbol val="circle"/>
            <c:size val="5"/>
            <c:spPr>
              <a:solidFill>
                <a:srgbClr val="ffc00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1C'!$BD$8:$BD$22</c:f>
              <c:numCache>
                <c:formatCode>General</c:formatCode>
                <c:ptCount val="15"/>
                <c:pt idx="0">
                  <c:v>-9.56500000000001</c:v>
                </c:pt>
                <c:pt idx="1">
                  <c:v>-10.11</c:v>
                </c:pt>
                <c:pt idx="2">
                  <c:v>-11.855</c:v>
                </c:pt>
                <c:pt idx="3">
                  <c:v>-14.17</c:v>
                </c:pt>
                <c:pt idx="4">
                  <c:v>-15.19</c:v>
                </c:pt>
                <c:pt idx="5">
                  <c:v>-14.25</c:v>
                </c:pt>
                <c:pt idx="6">
                  <c:v>-13.635</c:v>
                </c:pt>
                <c:pt idx="7">
                  <c:v>-13.925</c:v>
                </c:pt>
                <c:pt idx="8">
                  <c:v>-14.3</c:v>
                </c:pt>
                <c:pt idx="9">
                  <c:v>-15.35</c:v>
                </c:pt>
                <c:pt idx="10">
                  <c:v>-16.985</c:v>
                </c:pt>
                <c:pt idx="11">
                  <c:v>-16.15</c:v>
                </c:pt>
                <c:pt idx="12">
                  <c:v>-12.145</c:v>
                </c:pt>
                <c:pt idx="13">
                  <c:v>-5.76500000000002</c:v>
                </c:pt>
                <c:pt idx="14">
                  <c:v>0</c:v>
                </c:pt>
              </c:numCache>
            </c:numRef>
          </c:yVal>
          <c:smooth val="1"/>
        </c:ser>
        <c:ser>
          <c:idx val="1"/>
          <c:order val="1"/>
          <c:tx>
            <c:strRef>
              <c:f>"decamer-monomer"</c:f>
              <c:strCache>
                <c:ptCount val="1"/>
                <c:pt idx="0">
                  <c:v>decamer-monomer</c:v>
                </c:pt>
              </c:strCache>
            </c:strRef>
          </c:tx>
          <c:spPr>
            <a:solidFill>
              <a:srgbClr val="00b0f0"/>
            </a:solidFill>
            <a:ln w="50760">
              <a:solidFill>
                <a:srgbClr val="00b0f0"/>
              </a:solidFill>
              <a:round/>
            </a:ln>
          </c:spPr>
          <c:marker>
            <c:symbol val="circle"/>
            <c:size val="5"/>
            <c:spPr>
              <a:solidFill>
                <a:srgbClr val="00b0f0"/>
              </a:solidFill>
            </c:spPr>
          </c:marker>
          <c:dLbls>
            <c:dLblPos val="r"/>
            <c:showLegendKey val="0"/>
            <c:showVal val="0"/>
            <c:showCatName val="0"/>
            <c:showSerName val="0"/>
            <c:showPercent val="0"/>
            <c:showLeaderLines val="0"/>
          </c:dLbls>
          <c:xVal>
            <c:numRef>
              <c:f>'Supplementary Data 1C'!$A$8:$A$22</c:f>
              <c:numCache>
                <c:formatCode>General</c:formatCode>
                <c:ptCount val="15"/>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numCache>
            </c:numRef>
          </c:xVal>
          <c:yVal>
            <c:numRef>
              <c:f>'Supplementary Data 1C'!$BG$8:$BG$22</c:f>
              <c:numCache>
                <c:formatCode>General</c:formatCode>
                <c:ptCount val="15"/>
                <c:pt idx="0">
                  <c:v>-27.068</c:v>
                </c:pt>
                <c:pt idx="1">
                  <c:v>-27.985</c:v>
                </c:pt>
                <c:pt idx="2">
                  <c:v>-30.635</c:v>
                </c:pt>
                <c:pt idx="3">
                  <c:v>-33.431</c:v>
                </c:pt>
                <c:pt idx="4">
                  <c:v>-32.222</c:v>
                </c:pt>
                <c:pt idx="5">
                  <c:v>-25.941</c:v>
                </c:pt>
                <c:pt idx="6">
                  <c:v>-20.472</c:v>
                </c:pt>
                <c:pt idx="7">
                  <c:v>-18.189</c:v>
                </c:pt>
                <c:pt idx="8">
                  <c:v>-17.489</c:v>
                </c:pt>
                <c:pt idx="9">
                  <c:v>-18.073</c:v>
                </c:pt>
                <c:pt idx="10">
                  <c:v>-19.385</c:v>
                </c:pt>
                <c:pt idx="11">
                  <c:v>-18.083</c:v>
                </c:pt>
                <c:pt idx="12">
                  <c:v>-14.448</c:v>
                </c:pt>
                <c:pt idx="13">
                  <c:v>-7.75599999999998</c:v>
                </c:pt>
                <c:pt idx="14">
                  <c:v>0</c:v>
                </c:pt>
              </c:numCache>
            </c:numRef>
          </c:yVal>
          <c:smooth val="1"/>
        </c:ser>
        <c:axId val="95890511"/>
        <c:axId val="85811765"/>
      </c:scatterChart>
      <c:valAx>
        <c:axId val="95890511"/>
        <c:scaling>
          <c:orientation val="minMax"/>
        </c:scaling>
        <c:delete val="0"/>
        <c:axPos val="b"/>
        <c:majorGridlines>
          <c:spPr>
            <a:ln w="9360">
              <a:solidFill>
                <a:srgbClr val="808080"/>
              </a:solidFill>
              <a:round/>
            </a:ln>
          </c:spPr>
        </c:majorGridlines>
        <c:minorGridlines>
          <c:spPr>
            <a:ln w="9360">
              <a:solidFill>
                <a:srgbClr val="f2f2f2"/>
              </a:solidFill>
              <a:round/>
            </a:ln>
          </c:spPr>
        </c:minorGridlines>
        <c:title>
          <c:tx>
            <c:rich>
              <a:bodyPr rot="0"/>
              <a:lstStyle/>
              <a:p>
                <a:pPr>
                  <a:defRPr b="0" sz="2200" spc="-1" strike="noStrike">
                    <a:solidFill>
                      <a:srgbClr val="000000"/>
                    </a:solidFill>
                    <a:uFill>
                      <a:solidFill>
                        <a:srgbClr val="ffffff"/>
                      </a:solidFill>
                    </a:uFill>
                    <a:latin typeface="Calibri"/>
                  </a:defRPr>
                </a:pPr>
                <a:r>
                  <a:rPr b="0" sz="2200" spc="-1" strike="noStrike">
                    <a:solidFill>
                      <a:srgbClr val="000000"/>
                    </a:solidFill>
                    <a:uFill>
                      <a:solidFill>
                        <a:srgbClr val="ffffff"/>
                      </a:solidFill>
                    </a:uFill>
                    <a:latin typeface="Calibri"/>
                  </a:rPr>
                  <a:t>pH</a:t>
                </a:r>
              </a:p>
            </c:rich>
          </c:tx>
          <c:overlay val="0"/>
        </c:title>
        <c:numFmt formatCode="General" sourceLinked="0"/>
        <c:majorTickMark val="none"/>
        <c:minorTickMark val="none"/>
        <c:tickLblPos val="low"/>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85811765"/>
        <c:crosses val="autoZero"/>
        <c:crossBetween val="midCat"/>
      </c:valAx>
      <c:valAx>
        <c:axId val="85811765"/>
        <c:scaling>
          <c:orientation val="minMax"/>
          <c:min val="-70"/>
        </c:scaling>
        <c:delete val="0"/>
        <c:axPos val="l"/>
        <c:majorGridlines>
          <c:spPr>
            <a:ln w="9360">
              <a:solidFill>
                <a:srgbClr val="808080"/>
              </a:solidFill>
              <a:round/>
            </a:ln>
          </c:spPr>
        </c:majorGridlines>
        <c:title>
          <c:tx>
            <c:rich>
              <a:bodyPr rot="-5400000"/>
              <a:lstStyle/>
              <a:p>
                <a:pPr>
                  <a:defRPr b="0" sz="2200" spc="-1" strike="noStrike">
                    <a:solidFill>
                      <a:srgbClr val="000000"/>
                    </a:solidFill>
                    <a:uFill>
                      <a:solidFill>
                        <a:srgbClr val="ffffff"/>
                      </a:solidFill>
                    </a:uFill>
                    <a:latin typeface="Arial"/>
                  </a:defRPr>
                </a:pPr>
                <a:r>
                  <a:rPr b="0" sz="2200" spc="-1" strike="noStrike">
                    <a:solidFill>
                      <a:srgbClr val="000000"/>
                    </a:solidFill>
                    <a:uFill>
                      <a:solidFill>
                        <a:srgbClr val="ffffff"/>
                      </a:solidFill>
                    </a:uFill>
                    <a:latin typeface="Arial"/>
                  </a:rPr>
                  <a:t>changes in free energy of folding (kcal/mol)
</a:t>
                </a:r>
              </a:p>
            </c:rich>
          </c:tx>
          <c:overlay val="0"/>
        </c:title>
        <c:numFmt formatCode="General" sourceLinked="0"/>
        <c:majorTickMark val="none"/>
        <c:minorTickMark val="none"/>
        <c:tickLblPos val="nextTo"/>
        <c:spPr>
          <a:ln w="9360">
            <a:solidFill>
              <a:srgbClr val="808080"/>
            </a:solidFill>
            <a:round/>
          </a:ln>
        </c:spPr>
        <c:txPr>
          <a:bodyPr/>
          <a:p>
            <a:pPr>
              <a:defRPr b="0" sz="2000" spc="-1" strike="noStrike">
                <a:solidFill>
                  <a:srgbClr val="000000"/>
                </a:solidFill>
                <a:uFill>
                  <a:solidFill>
                    <a:srgbClr val="ffffff"/>
                  </a:solidFill>
                </a:uFill>
                <a:latin typeface="Arial"/>
              </a:defRPr>
            </a:pPr>
          </a:p>
        </c:txPr>
        <c:crossAx val="95890511"/>
        <c:crosses val="autoZero"/>
        <c:crossBetween val="midCat"/>
      </c:valAx>
      <c:spPr>
        <a:solidFill>
          <a:srgbClr val="ffffff"/>
        </a:solidFill>
        <a:ln>
          <a:solidFill>
            <a:srgbClr val="808080"/>
          </a:solidFill>
        </a:ln>
      </c:spPr>
    </c:plotArea>
    <c:plotVisOnly val="1"/>
    <c:dispBlanksAs val="gap"/>
  </c:chart>
  <c:spPr>
    <a:noFill/>
    <a:ln w="9360">
      <a:noFill/>
    </a:ln>
  </c:spPr>
</c:chartSpace>
</file>

<file path=xl/drawings/_rels/drawing1.xml.rels><?xml version="1.0" encoding="UTF-8"?>
<Relationships xmlns="http://schemas.openxmlformats.org/package/2006/relationships"><Relationship Id="rId1" Type="http://schemas.openxmlformats.org/officeDocument/2006/relationships/chart" Target="../charts/chart11.xml"/><Relationship Id="rId2" Type="http://schemas.openxmlformats.org/officeDocument/2006/relationships/chart" Target="../charts/chart12.xml"/><Relationship Id="rId3" Type="http://schemas.openxmlformats.org/officeDocument/2006/relationships/chart" Target="../charts/chart13.xml"/><Relationship Id="rId4" Type="http://schemas.openxmlformats.org/officeDocument/2006/relationships/chart" Target="../charts/chart14.xml"/><Relationship Id="rId5" Type="http://schemas.openxmlformats.org/officeDocument/2006/relationships/chart" Target="../charts/chart15.xml"/><Relationship Id="rId6" Type="http://schemas.openxmlformats.org/officeDocument/2006/relationships/chart" Target="../charts/chart16.xml"/><Relationship Id="rId7" Type="http://schemas.openxmlformats.org/officeDocument/2006/relationships/chart" Target="../charts/chart17.xml"/><Relationship Id="rId8" Type="http://schemas.openxmlformats.org/officeDocument/2006/relationships/chart" Target="../charts/chart18.xml"/><Relationship Id="rId9" Type="http://schemas.openxmlformats.org/officeDocument/2006/relationships/chart" Target="../charts/chart19.xml"/><Relationship Id="rId10" Type="http://schemas.openxmlformats.org/officeDocument/2006/relationships/chart" Target="../charts/chart20.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16</xdr:col>
      <xdr:colOff>91440</xdr:colOff>
      <xdr:row>0</xdr:row>
      <xdr:rowOff>623160</xdr:rowOff>
    </xdr:from>
    <xdr:to>
      <xdr:col>25</xdr:col>
      <xdr:colOff>460800</xdr:colOff>
      <xdr:row>13</xdr:row>
      <xdr:rowOff>1440</xdr:rowOff>
    </xdr:to>
    <xdr:graphicFrame>
      <xdr:nvGraphicFramePr>
        <xdr:cNvPr id="0" name="Graphique 2"/>
        <xdr:cNvGraphicFramePr/>
      </xdr:nvGraphicFramePr>
      <xdr:xfrm>
        <a:off x="20903400" y="623160"/>
        <a:ext cx="10827720" cy="57535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625680</xdr:colOff>
      <xdr:row>35</xdr:row>
      <xdr:rowOff>173880</xdr:rowOff>
    </xdr:from>
    <xdr:to>
      <xdr:col>25</xdr:col>
      <xdr:colOff>129960</xdr:colOff>
      <xdr:row>60</xdr:row>
      <xdr:rowOff>193320</xdr:rowOff>
    </xdr:to>
    <xdr:graphicFrame>
      <xdr:nvGraphicFramePr>
        <xdr:cNvPr id="1" name="Graphique 13"/>
        <xdr:cNvGraphicFramePr/>
      </xdr:nvGraphicFramePr>
      <xdr:xfrm>
        <a:off x="20275560" y="11502000"/>
        <a:ext cx="11124720" cy="56203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683640</xdr:colOff>
      <xdr:row>10</xdr:row>
      <xdr:rowOff>101520</xdr:rowOff>
    </xdr:from>
    <xdr:to>
      <xdr:col>25</xdr:col>
      <xdr:colOff>187920</xdr:colOff>
      <xdr:row>35</xdr:row>
      <xdr:rowOff>168120</xdr:rowOff>
    </xdr:to>
    <xdr:graphicFrame>
      <xdr:nvGraphicFramePr>
        <xdr:cNvPr id="2" name="Graphique 15"/>
        <xdr:cNvGraphicFramePr/>
      </xdr:nvGraphicFramePr>
      <xdr:xfrm>
        <a:off x="20333520" y="5892480"/>
        <a:ext cx="11124720" cy="560376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51</xdr:col>
      <xdr:colOff>46440</xdr:colOff>
      <xdr:row>105</xdr:row>
      <xdr:rowOff>46440</xdr:rowOff>
    </xdr:from>
    <xdr:to>
      <xdr:col>61</xdr:col>
      <xdr:colOff>429480</xdr:colOff>
      <xdr:row>147</xdr:row>
      <xdr:rowOff>95400</xdr:rowOff>
    </xdr:to>
    <xdr:graphicFrame>
      <xdr:nvGraphicFramePr>
        <xdr:cNvPr id="3" name="Graphique 17"/>
        <xdr:cNvGraphicFramePr/>
      </xdr:nvGraphicFramePr>
      <xdr:xfrm>
        <a:off x="61530120" y="26119440"/>
        <a:ext cx="12003480" cy="85831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38</xdr:col>
      <xdr:colOff>406440</xdr:colOff>
      <xdr:row>116</xdr:row>
      <xdr:rowOff>97200</xdr:rowOff>
    </xdr:from>
    <xdr:to>
      <xdr:col>47</xdr:col>
      <xdr:colOff>747720</xdr:colOff>
      <xdr:row>145</xdr:row>
      <xdr:rowOff>31680</xdr:rowOff>
    </xdr:to>
    <xdr:graphicFrame>
      <xdr:nvGraphicFramePr>
        <xdr:cNvPr id="4" name="Graphique 18"/>
        <xdr:cNvGraphicFramePr/>
      </xdr:nvGraphicFramePr>
      <xdr:xfrm>
        <a:off x="46783440" y="28405440"/>
        <a:ext cx="10799640" cy="582732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36</xdr:col>
      <xdr:colOff>660240</xdr:colOff>
      <xdr:row>150</xdr:row>
      <xdr:rowOff>198720</xdr:rowOff>
    </xdr:from>
    <xdr:to>
      <xdr:col>46</xdr:col>
      <xdr:colOff>171720</xdr:colOff>
      <xdr:row>179</xdr:row>
      <xdr:rowOff>133200</xdr:rowOff>
    </xdr:to>
    <xdr:graphicFrame>
      <xdr:nvGraphicFramePr>
        <xdr:cNvPr id="5" name="Graphique 19"/>
        <xdr:cNvGraphicFramePr/>
      </xdr:nvGraphicFramePr>
      <xdr:xfrm>
        <a:off x="44713080" y="35415720"/>
        <a:ext cx="11131920" cy="582732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25</xdr:col>
      <xdr:colOff>431640</xdr:colOff>
      <xdr:row>150</xdr:row>
      <xdr:rowOff>147960</xdr:rowOff>
    </xdr:from>
    <xdr:to>
      <xdr:col>34</xdr:col>
      <xdr:colOff>772920</xdr:colOff>
      <xdr:row>179</xdr:row>
      <xdr:rowOff>82440</xdr:rowOff>
    </xdr:to>
    <xdr:graphicFrame>
      <xdr:nvGraphicFramePr>
        <xdr:cNvPr id="6" name="Graphique 21"/>
        <xdr:cNvGraphicFramePr/>
      </xdr:nvGraphicFramePr>
      <xdr:xfrm>
        <a:off x="31701960" y="35364960"/>
        <a:ext cx="10799640" cy="582732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26</xdr:col>
      <xdr:colOff>15480</xdr:colOff>
      <xdr:row>34</xdr:row>
      <xdr:rowOff>9720</xdr:rowOff>
    </xdr:from>
    <xdr:to>
      <xdr:col>35</xdr:col>
      <xdr:colOff>355680</xdr:colOff>
      <xdr:row>64</xdr:row>
      <xdr:rowOff>14040</xdr:rowOff>
    </xdr:to>
    <xdr:graphicFrame>
      <xdr:nvGraphicFramePr>
        <xdr:cNvPr id="7" name="Graphique 23"/>
        <xdr:cNvGraphicFramePr/>
      </xdr:nvGraphicFramePr>
      <xdr:xfrm>
        <a:off x="32447880" y="11134800"/>
        <a:ext cx="10798560" cy="662112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25</xdr:col>
      <xdr:colOff>766080</xdr:colOff>
      <xdr:row>0</xdr:row>
      <xdr:rowOff>435960</xdr:rowOff>
    </xdr:from>
    <xdr:to>
      <xdr:col>35</xdr:col>
      <xdr:colOff>270360</xdr:colOff>
      <xdr:row>16</xdr:row>
      <xdr:rowOff>162360</xdr:rowOff>
    </xdr:to>
    <xdr:graphicFrame>
      <xdr:nvGraphicFramePr>
        <xdr:cNvPr id="8" name="Graphique 24"/>
        <xdr:cNvGraphicFramePr/>
      </xdr:nvGraphicFramePr>
      <xdr:xfrm>
        <a:off x="32036400" y="435960"/>
        <a:ext cx="11124720" cy="667296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25</xdr:col>
      <xdr:colOff>654120</xdr:colOff>
      <xdr:row>8</xdr:row>
      <xdr:rowOff>98280</xdr:rowOff>
    </xdr:from>
    <xdr:to>
      <xdr:col>35</xdr:col>
      <xdr:colOff>149760</xdr:colOff>
      <xdr:row>38</xdr:row>
      <xdr:rowOff>145800</xdr:rowOff>
    </xdr:to>
    <xdr:graphicFrame>
      <xdr:nvGraphicFramePr>
        <xdr:cNvPr id="9" name="Graphique 20"/>
        <xdr:cNvGraphicFramePr/>
      </xdr:nvGraphicFramePr>
      <xdr:xfrm>
        <a:off x="31924440" y="5482800"/>
        <a:ext cx="11116080" cy="660096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AF165"/>
  <sheetViews>
    <sheetView windowProtection="false" showFormulas="false" showGridLines="true" showRowColHeaders="true" showZeros="true" rightToLeft="false" tabSelected="false" showOutlineSymbols="true" defaultGridColor="true" view="normal" topLeftCell="A124" colorId="64" zoomScale="90" zoomScaleNormal="90" zoomScalePageLayoutView="100" workbookViewId="0">
      <selection pane="topLeft" activeCell="A1" activeCellId="0" sqref="A1"/>
    </sheetView>
  </sheetViews>
  <sheetFormatPr defaultRowHeight="16"/>
  <cols>
    <col collapsed="false" hidden="false" max="1" min="1" style="0" width="37.7259259259259"/>
    <col collapsed="false" hidden="false" max="2" min="2" style="0" width="38.5111111111111"/>
  </cols>
  <sheetData>
    <row r="1" customFormat="false" ht="15" hidden="false" customHeight="false" outlineLevel="0" collapsed="false">
      <c r="A1" s="1" t="s">
        <v>0</v>
      </c>
      <c r="B1" s="1"/>
      <c r="C1" s="1"/>
      <c r="D1" s="1"/>
      <c r="E1" s="1"/>
      <c r="F1" s="1"/>
      <c r="G1" s="1"/>
      <c r="H1" s="1"/>
      <c r="I1" s="1"/>
      <c r="J1" s="1"/>
      <c r="K1" s="1"/>
      <c r="L1" s="1"/>
      <c r="M1" s="1"/>
      <c r="N1" s="1"/>
      <c r="O1" s="1"/>
      <c r="P1" s="1"/>
      <c r="Q1" s="1"/>
    </row>
    <row r="3" customFormat="false" ht="16" hidden="false" customHeight="false" outlineLevel="0" collapsed="false">
      <c r="A3" s="2" t="s">
        <v>1</v>
      </c>
      <c r="B3" s="3"/>
      <c r="C3" s="3"/>
      <c r="D3" s="3"/>
      <c r="E3" s="3"/>
      <c r="F3" s="3"/>
      <c r="G3" s="3"/>
      <c r="H3" s="3"/>
      <c r="I3" s="3"/>
      <c r="J3" s="3"/>
      <c r="K3" s="3"/>
      <c r="L3" s="3"/>
      <c r="M3" s="3"/>
      <c r="N3" s="3"/>
      <c r="O3" s="3"/>
      <c r="P3" s="3"/>
      <c r="Q3" s="3"/>
      <c r="R3" s="3"/>
      <c r="S3" s="3"/>
      <c r="T3" s="3"/>
      <c r="U3" s="3"/>
      <c r="V3" s="3"/>
      <c r="W3" s="3"/>
      <c r="X3" s="3"/>
      <c r="Y3" s="3"/>
      <c r="Z3" s="3"/>
      <c r="AA3" s="4"/>
    </row>
    <row r="4" customFormat="false" ht="16" hidden="false" customHeight="false" outlineLevel="0" collapsed="false">
      <c r="A4" s="5"/>
      <c r="B4" s="6"/>
      <c r="C4" s="6"/>
      <c r="D4" s="6"/>
      <c r="E4" s="6"/>
      <c r="F4" s="6"/>
      <c r="G4" s="6"/>
      <c r="H4" s="6"/>
      <c r="I4" s="6"/>
      <c r="J4" s="6"/>
      <c r="K4" s="6"/>
      <c r="L4" s="6"/>
      <c r="M4" s="6"/>
      <c r="N4" s="6"/>
      <c r="O4" s="6"/>
      <c r="P4" s="6"/>
      <c r="Q4" s="6"/>
      <c r="R4" s="6"/>
      <c r="S4" s="6"/>
      <c r="T4" s="6"/>
      <c r="U4" s="6"/>
      <c r="V4" s="6"/>
      <c r="W4" s="6"/>
      <c r="X4" s="6"/>
      <c r="Y4" s="6"/>
      <c r="Z4" s="6"/>
      <c r="AA4" s="7"/>
    </row>
    <row r="5" customFormat="false" ht="68" hidden="false" customHeight="false" outlineLevel="0" collapsed="false">
      <c r="A5" s="5"/>
      <c r="B5" s="8" t="s">
        <v>2</v>
      </c>
      <c r="C5" s="8" t="s">
        <v>3</v>
      </c>
      <c r="D5" s="8" t="s">
        <v>4</v>
      </c>
      <c r="E5" s="8" t="s">
        <v>5</v>
      </c>
      <c r="F5" s="8" t="s">
        <v>6</v>
      </c>
      <c r="G5" s="8" t="s">
        <v>7</v>
      </c>
      <c r="H5" s="8" t="s">
        <v>8</v>
      </c>
      <c r="I5" s="8" t="s">
        <v>9</v>
      </c>
      <c r="J5" s="8" t="s">
        <v>10</v>
      </c>
      <c r="K5" s="8" t="s">
        <v>11</v>
      </c>
      <c r="L5" s="8" t="s">
        <v>12</v>
      </c>
      <c r="M5" s="6"/>
      <c r="N5" s="9" t="s">
        <v>13</v>
      </c>
      <c r="O5" s="9" t="s">
        <v>14</v>
      </c>
      <c r="P5" s="9" t="s">
        <v>15</v>
      </c>
      <c r="Q5" s="9" t="s">
        <v>16</v>
      </c>
      <c r="R5" s="6"/>
      <c r="S5" s="9" t="s">
        <v>17</v>
      </c>
      <c r="T5" s="9" t="s">
        <v>18</v>
      </c>
      <c r="U5" s="6"/>
      <c r="V5" s="6"/>
      <c r="W5" s="6"/>
      <c r="X5" s="6"/>
      <c r="Y5" s="6"/>
      <c r="Z5" s="6"/>
      <c r="AA5" s="7"/>
    </row>
    <row r="6" customFormat="false" ht="17" hidden="false" customHeight="false" outlineLevel="0" collapsed="false">
      <c r="A6" s="5"/>
      <c r="B6" s="9" t="s">
        <v>19</v>
      </c>
      <c r="C6" s="10" t="n">
        <v>32204</v>
      </c>
      <c r="D6" s="10" t="n">
        <v>32190</v>
      </c>
      <c r="E6" s="10" t="n">
        <v>32205</v>
      </c>
      <c r="F6" s="10" t="n">
        <v>32189</v>
      </c>
      <c r="G6" s="10" t="n">
        <v>32219</v>
      </c>
      <c r="H6" s="10" t="n">
        <v>32186</v>
      </c>
      <c r="I6" s="10" t="n">
        <v>32205</v>
      </c>
      <c r="J6" s="10" t="n">
        <v>32184</v>
      </c>
      <c r="K6" s="10" t="n">
        <v>32198</v>
      </c>
      <c r="L6" s="10" t="n">
        <v>32204</v>
      </c>
      <c r="M6" s="6"/>
      <c r="N6" s="10" t="n">
        <f aca="false">AVERAGE(C6:L6)</f>
        <v>32198.4</v>
      </c>
      <c r="O6" s="10" t="s">
        <v>20</v>
      </c>
      <c r="P6" s="10" t="n">
        <f aca="false">STDEVA(C6:L6)</f>
        <v>11.0272390016722</v>
      </c>
      <c r="Q6" s="10" t="n">
        <f aca="false">P6/N6*100</f>
        <v>0.034247785609447</v>
      </c>
      <c r="R6" s="6"/>
      <c r="S6" s="6"/>
      <c r="T6" s="6"/>
      <c r="U6" s="6"/>
      <c r="V6" s="6"/>
      <c r="W6" s="6"/>
      <c r="X6" s="6"/>
      <c r="Y6" s="6"/>
      <c r="Z6" s="6"/>
      <c r="AA6" s="7"/>
    </row>
    <row r="7" customFormat="false" ht="17" hidden="false" customHeight="false" outlineLevel="0" collapsed="false">
      <c r="A7" s="5"/>
      <c r="B7" s="9" t="s">
        <v>21</v>
      </c>
      <c r="C7" s="11" t="n">
        <f aca="false">C6+D6-C8-D8</f>
        <v>54184</v>
      </c>
      <c r="D7" s="11"/>
      <c r="E7" s="11" t="n">
        <f aca="false">E6+F6-E8-F8</f>
        <v>54207</v>
      </c>
      <c r="F7" s="11"/>
      <c r="G7" s="11" t="n">
        <f aca="false">G6+H6-G8-H8</f>
        <v>54230</v>
      </c>
      <c r="H7" s="11"/>
      <c r="I7" s="11" t="n">
        <f aca="false">I6+J6-I8-J8</f>
        <v>54230</v>
      </c>
      <c r="J7" s="11"/>
      <c r="K7" s="11" t="n">
        <f aca="false">K6+L6-K8-L8</f>
        <v>54305</v>
      </c>
      <c r="L7" s="11"/>
      <c r="M7" s="6"/>
      <c r="N7" s="10" t="n">
        <f aca="false">AVERAGE(C7:L7)</f>
        <v>54231.2</v>
      </c>
      <c r="O7" s="10" t="s">
        <v>20</v>
      </c>
      <c r="P7" s="10" t="n">
        <f aca="false">STDEVA(C7:L7)</f>
        <v>45.4499724972414</v>
      </c>
      <c r="Q7" s="10" t="n">
        <f aca="false">P7/N7*100</f>
        <v>0.0838077942166897</v>
      </c>
      <c r="R7" s="6"/>
      <c r="S7" s="6"/>
      <c r="T7" s="6"/>
      <c r="U7" s="6"/>
      <c r="V7" s="6"/>
      <c r="W7" s="6"/>
      <c r="X7" s="6"/>
      <c r="Y7" s="6"/>
      <c r="Z7" s="6"/>
      <c r="AA7" s="7"/>
    </row>
    <row r="8" customFormat="false" ht="17" hidden="false" customHeight="false" outlineLevel="0" collapsed="false">
      <c r="A8" s="5"/>
      <c r="B8" s="9" t="s">
        <v>22</v>
      </c>
      <c r="C8" s="10" t="n">
        <v>5115</v>
      </c>
      <c r="D8" s="10" t="n">
        <v>5095</v>
      </c>
      <c r="E8" s="10" t="n">
        <v>5093</v>
      </c>
      <c r="F8" s="10" t="n">
        <v>5094</v>
      </c>
      <c r="G8" s="10" t="n">
        <v>5083</v>
      </c>
      <c r="H8" s="10" t="n">
        <v>5092</v>
      </c>
      <c r="I8" s="10" t="n">
        <v>5084</v>
      </c>
      <c r="J8" s="10" t="n">
        <v>5075</v>
      </c>
      <c r="K8" s="10" t="n">
        <v>5046</v>
      </c>
      <c r="L8" s="10" t="n">
        <v>5051</v>
      </c>
      <c r="M8" s="6"/>
      <c r="N8" s="10" t="n">
        <f aca="false">AVERAGE(C8:L8)</f>
        <v>5082.8</v>
      </c>
      <c r="O8" s="10" t="n">
        <f aca="false">N8/$N$6*100</f>
        <v>15.7858775591334</v>
      </c>
      <c r="P8" s="10" t="n">
        <f aca="false">STDEVA(C8:L8)</f>
        <v>20.8901890848312</v>
      </c>
      <c r="Q8" s="10" t="n">
        <f aca="false">P8/N8*100</f>
        <v>0.410997660439741</v>
      </c>
      <c r="R8" s="6"/>
      <c r="S8" s="10" t="n">
        <f aca="false">AVERAGE(C17:L17)</f>
        <v>64</v>
      </c>
      <c r="T8" s="10" t="n">
        <f aca="false">AVERAGE(C18:L18)</f>
        <v>2.6</v>
      </c>
      <c r="U8" s="6"/>
      <c r="V8" s="6"/>
      <c r="W8" s="6"/>
      <c r="X8" s="6"/>
      <c r="Y8" s="6"/>
      <c r="Z8" s="6"/>
      <c r="AA8" s="7"/>
    </row>
    <row r="9" customFormat="false" ht="34" hidden="false" customHeight="false" outlineLevel="0" collapsed="false">
      <c r="A9" s="5"/>
      <c r="B9" s="9" t="s">
        <v>23</v>
      </c>
      <c r="C9" s="10" t="n">
        <f aca="false">P22+U22</f>
        <v>2385</v>
      </c>
      <c r="D9" s="10" t="n">
        <f aca="false">D22+G22</f>
        <v>2454</v>
      </c>
      <c r="E9" s="10" t="n">
        <f aca="false">F22+L22</f>
        <v>2441</v>
      </c>
      <c r="F9" s="10" t="n">
        <f aca="false">N22+R22</f>
        <v>2405</v>
      </c>
      <c r="G9" s="10" t="n">
        <f aca="false">I22+V22</f>
        <v>2406</v>
      </c>
      <c r="H9" s="10" t="n">
        <f aca="false">H22+S22</f>
        <v>2421</v>
      </c>
      <c r="I9" s="10" t="n">
        <f aca="false">O22+E22</f>
        <v>2431</v>
      </c>
      <c r="J9" s="10" t="n">
        <f aca="false">C22+Q22</f>
        <v>2413</v>
      </c>
      <c r="K9" s="10" t="n">
        <f aca="false">J22+K22</f>
        <v>2436</v>
      </c>
      <c r="L9" s="10" t="n">
        <f aca="false">M22+T22</f>
        <v>2400</v>
      </c>
      <c r="M9" s="6"/>
      <c r="N9" s="10" t="n">
        <f aca="false">AVERAGE(C9:L9)</f>
        <v>2419.2</v>
      </c>
      <c r="O9" s="10" t="n">
        <f aca="false">N9/$N$6*100</f>
        <v>7.5134168157424</v>
      </c>
      <c r="P9" s="10" t="n">
        <f aca="false">STDEVA(C9:L9)</f>
        <v>21.2487908152702</v>
      </c>
      <c r="Q9" s="10" t="n">
        <f aca="false">P9/N9*100</f>
        <v>0.87833956743015</v>
      </c>
      <c r="R9" s="6"/>
      <c r="S9" s="10" t="n">
        <f aca="false">AVERAGE(C23:V23)</f>
        <v>5.4</v>
      </c>
      <c r="T9" s="10" t="n">
        <f aca="false">AVERAGE(C24:V24)</f>
        <v>10.3</v>
      </c>
      <c r="U9" s="6"/>
      <c r="V9" s="6"/>
      <c r="W9" s="6" t="s">
        <v>20</v>
      </c>
      <c r="X9" s="6"/>
      <c r="Y9" s="6"/>
      <c r="Z9" s="6"/>
      <c r="AA9" s="7"/>
    </row>
    <row r="10" customFormat="false" ht="17" hidden="false" customHeight="false" outlineLevel="0" collapsed="false">
      <c r="A10" s="5"/>
      <c r="B10" s="9" t="s">
        <v>24</v>
      </c>
      <c r="C10" s="10" t="n">
        <f aca="false">K29</f>
        <v>177</v>
      </c>
      <c r="D10" s="10" t="n">
        <f aca="false">D29</f>
        <v>194</v>
      </c>
      <c r="E10" s="10" t="n">
        <f aca="false">H29</f>
        <v>186</v>
      </c>
      <c r="F10" s="10" t="n">
        <f aca="false">F29</f>
        <v>190</v>
      </c>
      <c r="G10" s="10" t="n">
        <f aca="false">I29</f>
        <v>185</v>
      </c>
      <c r="H10" s="10" t="n">
        <f aca="false">L29</f>
        <v>176</v>
      </c>
      <c r="I10" s="10" t="n">
        <f aca="false">C29</f>
        <v>194</v>
      </c>
      <c r="J10" s="10" t="n">
        <f aca="false">G29</f>
        <v>185</v>
      </c>
      <c r="K10" s="10" t="n">
        <f aca="false">E29</f>
        <v>190</v>
      </c>
      <c r="L10" s="10" t="n">
        <f aca="false">J29</f>
        <v>185</v>
      </c>
      <c r="M10" s="6"/>
      <c r="N10" s="10" t="n">
        <f aca="false">AVERAGE(C10:L10)</f>
        <v>186.2</v>
      </c>
      <c r="O10" s="10" t="n">
        <f aca="false">N10/$N$6*100</f>
        <v>0.578289604452395</v>
      </c>
      <c r="P10" s="10" t="n">
        <f aca="false">STDEVA(C10:L10)</f>
        <v>6.17881685905787</v>
      </c>
      <c r="Q10" s="10" t="n">
        <f aca="false">P10/N10*100</f>
        <v>3.31837640121261</v>
      </c>
      <c r="R10" s="6"/>
      <c r="S10" s="6"/>
      <c r="T10" s="6"/>
      <c r="U10" s="6"/>
      <c r="V10" s="6"/>
      <c r="W10" s="6"/>
      <c r="X10" s="6"/>
      <c r="Y10" s="6"/>
      <c r="Z10" s="6"/>
      <c r="AA10" s="7"/>
    </row>
    <row r="11" customFormat="false" ht="17" hidden="false" customHeight="false" outlineLevel="0" collapsed="false">
      <c r="A11" s="5"/>
      <c r="B11" s="9" t="s">
        <v>25</v>
      </c>
      <c r="C11" s="10" t="n">
        <f aca="false">SUM(C9:C10)</f>
        <v>2562</v>
      </c>
      <c r="D11" s="10" t="n">
        <f aca="false">SUM(D9:D10)</f>
        <v>2648</v>
      </c>
      <c r="E11" s="10" t="n">
        <f aca="false">SUM(E9:E10)</f>
        <v>2627</v>
      </c>
      <c r="F11" s="10" t="n">
        <f aca="false">SUM(F9:F10)</f>
        <v>2595</v>
      </c>
      <c r="G11" s="10" t="n">
        <f aca="false">SUM(G9:G10)</f>
        <v>2591</v>
      </c>
      <c r="H11" s="10" t="n">
        <f aca="false">SUM(H9:H10)</f>
        <v>2597</v>
      </c>
      <c r="I11" s="10" t="n">
        <f aca="false">SUM(I9:I10)</f>
        <v>2625</v>
      </c>
      <c r="J11" s="10" t="n">
        <f aca="false">SUM(J9:J10)</f>
        <v>2598</v>
      </c>
      <c r="K11" s="10" t="n">
        <f aca="false">SUM(K9:K10)</f>
        <v>2626</v>
      </c>
      <c r="L11" s="10" t="n">
        <f aca="false">SUM(L9:L10)</f>
        <v>2585</v>
      </c>
      <c r="M11" s="6"/>
      <c r="N11" s="10" t="n">
        <f aca="false">AVERAGE(C11:L11)</f>
        <v>2605.4</v>
      </c>
      <c r="O11" s="10" t="n">
        <f aca="false">N11/($N$7)*100</f>
        <v>4.80424552656036</v>
      </c>
      <c r="P11" s="10" t="n">
        <f aca="false">STDEVA(C11:L11)</f>
        <v>25.4523519978453</v>
      </c>
      <c r="Q11" s="10" t="n">
        <f aca="false">P11/N11*100</f>
        <v>0.976907653252681</v>
      </c>
      <c r="R11" s="6"/>
      <c r="S11" s="6"/>
      <c r="T11" s="6"/>
      <c r="U11" s="6"/>
      <c r="V11" s="6"/>
      <c r="W11" s="6"/>
      <c r="X11" s="6"/>
      <c r="Y11" s="6"/>
      <c r="Z11" s="6"/>
      <c r="AA11" s="7"/>
    </row>
    <row r="12" customFormat="false" ht="17" hidden="false" customHeight="false" outlineLevel="0" collapsed="false">
      <c r="A12" s="5"/>
      <c r="B12" s="9" t="s">
        <v>26</v>
      </c>
      <c r="C12" s="10" t="n">
        <f aca="false">SUM(C8:C10)</f>
        <v>7677</v>
      </c>
      <c r="D12" s="10" t="n">
        <f aca="false">SUM(D8:D10)</f>
        <v>7743</v>
      </c>
      <c r="E12" s="10" t="n">
        <f aca="false">SUM(E8:E10)</f>
        <v>7720</v>
      </c>
      <c r="F12" s="10" t="n">
        <f aca="false">SUM(F8:F10)</f>
        <v>7689</v>
      </c>
      <c r="G12" s="10" t="n">
        <f aca="false">SUM(G8:G10)</f>
        <v>7674</v>
      </c>
      <c r="H12" s="10" t="n">
        <f aca="false">SUM(H8:H10)</f>
        <v>7689</v>
      </c>
      <c r="I12" s="10" t="n">
        <f aca="false">SUM(I8:I10)</f>
        <v>7709</v>
      </c>
      <c r="J12" s="10" t="n">
        <f aca="false">SUM(J8:J10)</f>
        <v>7673</v>
      </c>
      <c r="K12" s="10" t="n">
        <f aca="false">SUM(K8:K10)</f>
        <v>7672</v>
      </c>
      <c r="L12" s="10" t="n">
        <f aca="false">SUM(L8:L10)</f>
        <v>7636</v>
      </c>
      <c r="M12" s="6"/>
      <c r="N12" s="10" t="n">
        <f aca="false">AVERAGE(C12:L12)</f>
        <v>7688.2</v>
      </c>
      <c r="O12" s="10" t="n">
        <f aca="false">N12/$N$6*100</f>
        <v>23.8775839793282</v>
      </c>
      <c r="P12" s="10" t="n">
        <f aca="false">STDEVA(C12:L12)</f>
        <v>29.8023116180235</v>
      </c>
      <c r="Q12" s="10" t="n">
        <f aca="false">P12/N12*100</f>
        <v>0.387637049218588</v>
      </c>
      <c r="R12" s="6"/>
      <c r="S12" s="6"/>
      <c r="T12" s="6"/>
      <c r="U12" s="6"/>
      <c r="V12" s="6"/>
      <c r="W12" s="6"/>
      <c r="X12" s="6"/>
      <c r="Y12" s="6"/>
      <c r="Z12" s="6"/>
      <c r="AA12" s="7"/>
    </row>
    <row r="13" customFormat="false" ht="16" hidden="false" customHeight="false" outlineLevel="0" collapsed="false">
      <c r="A13" s="5"/>
      <c r="B13" s="6"/>
      <c r="C13" s="6"/>
      <c r="D13" s="6"/>
      <c r="E13" s="6"/>
      <c r="F13" s="6"/>
      <c r="G13" s="6"/>
      <c r="H13" s="6"/>
      <c r="I13" s="6"/>
      <c r="J13" s="6"/>
      <c r="K13" s="6"/>
      <c r="L13" s="6"/>
      <c r="M13" s="6"/>
      <c r="N13" s="6"/>
      <c r="O13" s="6"/>
      <c r="P13" s="6"/>
      <c r="Q13" s="6"/>
      <c r="R13" s="6"/>
      <c r="S13" s="6"/>
      <c r="T13" s="6"/>
      <c r="U13" s="6"/>
      <c r="V13" s="6"/>
      <c r="W13" s="6"/>
      <c r="X13" s="6"/>
      <c r="Y13" s="6"/>
      <c r="Z13" s="6"/>
      <c r="AA13" s="7"/>
    </row>
    <row r="14" customFormat="false" ht="16" hidden="false" customHeight="false" outlineLevel="0" collapsed="false">
      <c r="A14" s="5"/>
      <c r="B14" s="6"/>
      <c r="C14" s="6"/>
      <c r="D14" s="6"/>
      <c r="E14" s="6"/>
      <c r="F14" s="6"/>
      <c r="G14" s="6"/>
      <c r="H14" s="6"/>
      <c r="I14" s="6"/>
      <c r="J14" s="6"/>
      <c r="K14" s="6"/>
      <c r="L14" s="6"/>
      <c r="M14" s="6"/>
      <c r="N14" s="6"/>
      <c r="O14" s="6"/>
      <c r="P14" s="6"/>
      <c r="Q14" s="6"/>
      <c r="R14" s="6"/>
      <c r="S14" s="6"/>
      <c r="T14" s="6"/>
      <c r="U14" s="6"/>
      <c r="V14" s="6"/>
      <c r="W14" s="6"/>
      <c r="X14" s="6"/>
      <c r="Y14" s="6"/>
      <c r="Z14" s="6"/>
      <c r="AA14" s="7"/>
    </row>
    <row r="15" customFormat="false" ht="16" hidden="false" customHeight="false" outlineLevel="0" collapsed="false">
      <c r="A15" s="12" t="s">
        <v>27</v>
      </c>
      <c r="B15" s="8" t="s">
        <v>2</v>
      </c>
      <c r="C15" s="10" t="s">
        <v>3</v>
      </c>
      <c r="D15" s="10" t="s">
        <v>4</v>
      </c>
      <c r="E15" s="10" t="s">
        <v>5</v>
      </c>
      <c r="F15" s="10" t="s">
        <v>6</v>
      </c>
      <c r="G15" s="10" t="s">
        <v>7</v>
      </c>
      <c r="H15" s="10" t="s">
        <v>8</v>
      </c>
      <c r="I15" s="10" t="s">
        <v>9</v>
      </c>
      <c r="J15" s="10" t="s">
        <v>10</v>
      </c>
      <c r="K15" s="10" t="s">
        <v>11</v>
      </c>
      <c r="L15" s="10" t="s">
        <v>12</v>
      </c>
      <c r="M15" s="6"/>
      <c r="N15" s="6"/>
      <c r="O15" s="6"/>
      <c r="P15" s="6"/>
      <c r="Q15" s="6"/>
      <c r="R15" s="6"/>
      <c r="S15" s="6"/>
      <c r="T15" s="6"/>
      <c r="U15" s="6"/>
      <c r="V15" s="6"/>
      <c r="W15" s="6"/>
      <c r="X15" s="8" t="s">
        <v>28</v>
      </c>
      <c r="Y15" s="8" t="s">
        <v>29</v>
      </c>
      <c r="Z15" s="8" t="s">
        <v>30</v>
      </c>
      <c r="AA15" s="7"/>
    </row>
    <row r="16" customFormat="false" ht="16" hidden="false" customHeight="false" outlineLevel="0" collapsed="false">
      <c r="A16" s="13"/>
      <c r="B16" s="14" t="s">
        <v>31</v>
      </c>
      <c r="C16" s="10" t="n">
        <v>5115</v>
      </c>
      <c r="D16" s="10" t="n">
        <v>5095</v>
      </c>
      <c r="E16" s="10" t="n">
        <v>5093</v>
      </c>
      <c r="F16" s="10" t="n">
        <v>5094</v>
      </c>
      <c r="G16" s="10" t="n">
        <v>5083</v>
      </c>
      <c r="H16" s="10" t="n">
        <v>5092</v>
      </c>
      <c r="I16" s="10" t="n">
        <v>5084</v>
      </c>
      <c r="J16" s="10" t="n">
        <v>5075</v>
      </c>
      <c r="K16" s="10" t="n">
        <v>5046</v>
      </c>
      <c r="L16" s="10" t="n">
        <v>5051</v>
      </c>
      <c r="M16" s="6"/>
      <c r="N16" s="6"/>
      <c r="O16" s="6"/>
      <c r="P16" s="6"/>
      <c r="Q16" s="6"/>
      <c r="R16" s="6"/>
      <c r="S16" s="6"/>
      <c r="T16" s="6"/>
      <c r="U16" s="6"/>
      <c r="V16" s="6"/>
      <c r="W16" s="6"/>
      <c r="X16" s="14" t="n">
        <f aca="false">AVERAGE(C16:L16)</f>
        <v>5082.8</v>
      </c>
      <c r="Y16" s="14" t="n">
        <f aca="false">X16*5</f>
        <v>25414</v>
      </c>
      <c r="Z16" s="14" t="n">
        <f aca="false">STDEVA(C16:L16)</f>
        <v>20.8901890848312</v>
      </c>
      <c r="AA16" s="7"/>
    </row>
    <row r="17" customFormat="false" ht="16" hidden="false" customHeight="false" outlineLevel="0" collapsed="false">
      <c r="A17" s="13"/>
      <c r="B17" s="15" t="s">
        <v>32</v>
      </c>
      <c r="C17" s="11" t="n">
        <v>61</v>
      </c>
      <c r="D17" s="11"/>
      <c r="E17" s="11" t="n">
        <v>65</v>
      </c>
      <c r="F17" s="11"/>
      <c r="G17" s="11" t="n">
        <v>64</v>
      </c>
      <c r="H17" s="11"/>
      <c r="I17" s="11" t="n">
        <v>65</v>
      </c>
      <c r="J17" s="11"/>
      <c r="K17" s="11" t="n">
        <v>65</v>
      </c>
      <c r="L17" s="11"/>
      <c r="M17" s="6"/>
      <c r="N17" s="6"/>
      <c r="O17" s="6"/>
      <c r="P17" s="6"/>
      <c r="Q17" s="6"/>
      <c r="R17" s="6"/>
      <c r="S17" s="6"/>
      <c r="T17" s="6"/>
      <c r="U17" s="6"/>
      <c r="V17" s="6"/>
      <c r="W17" s="6"/>
      <c r="X17" s="15" t="n">
        <f aca="false">AVERAGE(C17:L17)</f>
        <v>64</v>
      </c>
      <c r="Y17" s="15" t="n">
        <f aca="false">X17*5</f>
        <v>320</v>
      </c>
      <c r="Z17" s="15" t="n">
        <f aca="false">STDEVA(C17:L17)</f>
        <v>1.73205080756888</v>
      </c>
      <c r="AA17" s="7"/>
    </row>
    <row r="18" customFormat="false" ht="16" hidden="false" customHeight="false" outlineLevel="0" collapsed="false">
      <c r="A18" s="13"/>
      <c r="B18" s="16" t="s">
        <v>33</v>
      </c>
      <c r="C18" s="11" t="n">
        <v>4</v>
      </c>
      <c r="D18" s="11"/>
      <c r="E18" s="11" t="n">
        <v>2</v>
      </c>
      <c r="F18" s="11"/>
      <c r="G18" s="11" t="n">
        <v>2</v>
      </c>
      <c r="H18" s="11"/>
      <c r="I18" s="11" t="n">
        <v>3</v>
      </c>
      <c r="J18" s="11"/>
      <c r="K18" s="11" t="n">
        <v>2</v>
      </c>
      <c r="L18" s="11"/>
      <c r="M18" s="6"/>
      <c r="N18" s="6"/>
      <c r="O18" s="6"/>
      <c r="P18" s="6"/>
      <c r="Q18" s="6"/>
      <c r="R18" s="6"/>
      <c r="S18" s="6"/>
      <c r="T18" s="6"/>
      <c r="U18" s="6"/>
      <c r="V18" s="6"/>
      <c r="W18" s="6"/>
      <c r="X18" s="16" t="n">
        <f aca="false">AVERAGE(C18:L18)</f>
        <v>2.6</v>
      </c>
      <c r="Y18" s="16" t="n">
        <f aca="false">X18*5</f>
        <v>13</v>
      </c>
      <c r="Z18" s="16" t="n">
        <f aca="false">STDEVA(C18:L18)</f>
        <v>0.894427190999916</v>
      </c>
      <c r="AA18" s="7"/>
    </row>
    <row r="19" customFormat="false" ht="16" hidden="false" customHeight="false" outlineLevel="0" collapsed="false">
      <c r="A19" s="13"/>
      <c r="B19" s="8" t="s">
        <v>34</v>
      </c>
      <c r="C19" s="11" t="n">
        <v>-61.1</v>
      </c>
      <c r="D19" s="11"/>
      <c r="E19" s="11" t="n">
        <v>-60.6</v>
      </c>
      <c r="F19" s="11"/>
      <c r="G19" s="11" t="n">
        <v>-60.4</v>
      </c>
      <c r="H19" s="11"/>
      <c r="I19" s="11" t="n">
        <v>-60.7</v>
      </c>
      <c r="J19" s="11"/>
      <c r="K19" s="11" t="n">
        <v>-60.8</v>
      </c>
      <c r="L19" s="11"/>
      <c r="M19" s="6"/>
      <c r="N19" s="6"/>
      <c r="O19" s="6"/>
      <c r="P19" s="6"/>
      <c r="Q19" s="6"/>
      <c r="R19" s="6"/>
      <c r="S19" s="6"/>
      <c r="T19" s="6"/>
      <c r="U19" s="6"/>
      <c r="V19" s="6"/>
      <c r="W19" s="6"/>
      <c r="X19" s="17" t="n">
        <f aca="false">AVERAGE(C19:L19)</f>
        <v>-60.72</v>
      </c>
      <c r="Y19" s="17" t="s">
        <v>20</v>
      </c>
      <c r="Z19" s="17" t="n">
        <f aca="false">STDEVA(C19:L19)</f>
        <v>0.258843582110896</v>
      </c>
      <c r="AA19" s="7"/>
    </row>
    <row r="20" customFormat="false" ht="16" hidden="false" customHeight="false" outlineLevel="0" collapsed="false">
      <c r="A20" s="5"/>
      <c r="B20" s="6"/>
      <c r="C20" s="6"/>
      <c r="D20" s="6"/>
      <c r="E20" s="6"/>
      <c r="F20" s="6"/>
      <c r="G20" s="6"/>
      <c r="H20" s="6"/>
      <c r="I20" s="6"/>
      <c r="J20" s="6"/>
      <c r="K20" s="6"/>
      <c r="L20" s="6"/>
      <c r="M20" s="6"/>
      <c r="N20" s="6"/>
      <c r="O20" s="6"/>
      <c r="P20" s="6"/>
      <c r="Q20" s="6"/>
      <c r="R20" s="6"/>
      <c r="S20" s="6"/>
      <c r="T20" s="6"/>
      <c r="U20" s="6"/>
      <c r="V20" s="6"/>
      <c r="W20" s="6"/>
      <c r="X20" s="6"/>
      <c r="Y20" s="6"/>
      <c r="Z20" s="6"/>
      <c r="AA20" s="7"/>
    </row>
    <row r="21" customFormat="false" ht="16" hidden="false" customHeight="false" outlineLevel="0" collapsed="false">
      <c r="A21" s="12" t="s">
        <v>35</v>
      </c>
      <c r="B21" s="8" t="s">
        <v>2</v>
      </c>
      <c r="C21" s="10" t="s">
        <v>10</v>
      </c>
      <c r="D21" s="10" t="s">
        <v>4</v>
      </c>
      <c r="E21" s="10" t="s">
        <v>9</v>
      </c>
      <c r="F21" s="10" t="s">
        <v>5</v>
      </c>
      <c r="G21" s="10" t="s">
        <v>4</v>
      </c>
      <c r="H21" s="10" t="s">
        <v>8</v>
      </c>
      <c r="I21" s="10" t="s">
        <v>7</v>
      </c>
      <c r="J21" s="10" t="s">
        <v>11</v>
      </c>
      <c r="K21" s="10" t="s">
        <v>11</v>
      </c>
      <c r="L21" s="10" t="s">
        <v>5</v>
      </c>
      <c r="M21" s="10" t="s">
        <v>12</v>
      </c>
      <c r="N21" s="10" t="s">
        <v>6</v>
      </c>
      <c r="O21" s="10" t="s">
        <v>9</v>
      </c>
      <c r="P21" s="10" t="s">
        <v>3</v>
      </c>
      <c r="Q21" s="10" t="s">
        <v>36</v>
      </c>
      <c r="R21" s="10" t="s">
        <v>6</v>
      </c>
      <c r="S21" s="10" t="s">
        <v>8</v>
      </c>
      <c r="T21" s="10" t="s">
        <v>12</v>
      </c>
      <c r="U21" s="10" t="s">
        <v>3</v>
      </c>
      <c r="V21" s="10" t="s">
        <v>7</v>
      </c>
      <c r="W21" s="6"/>
      <c r="X21" s="8" t="s">
        <v>28</v>
      </c>
      <c r="Y21" s="8" t="s">
        <v>29</v>
      </c>
      <c r="Z21" s="8" t="s">
        <v>30</v>
      </c>
      <c r="AA21" s="7"/>
    </row>
    <row r="22" customFormat="false" ht="16" hidden="false" customHeight="false" outlineLevel="0" collapsed="false">
      <c r="A22" s="13"/>
      <c r="B22" s="14" t="s">
        <v>31</v>
      </c>
      <c r="C22" s="10" t="n">
        <v>1193</v>
      </c>
      <c r="D22" s="10" t="n">
        <v>1264</v>
      </c>
      <c r="E22" s="10" t="n">
        <v>1192</v>
      </c>
      <c r="F22" s="10" t="n">
        <v>1260</v>
      </c>
      <c r="G22" s="10" t="n">
        <v>1190</v>
      </c>
      <c r="H22" s="10" t="n">
        <v>1261</v>
      </c>
      <c r="I22" s="10" t="n">
        <v>1254</v>
      </c>
      <c r="J22" s="10" t="n">
        <v>1189</v>
      </c>
      <c r="K22" s="10" t="n">
        <v>1247</v>
      </c>
      <c r="L22" s="10" t="n">
        <v>1181</v>
      </c>
      <c r="M22" s="10" t="n">
        <v>1181</v>
      </c>
      <c r="N22" s="10" t="n">
        <v>1244</v>
      </c>
      <c r="O22" s="10" t="n">
        <v>1239</v>
      </c>
      <c r="P22" s="10" t="n">
        <v>1176</v>
      </c>
      <c r="Q22" s="10" t="n">
        <v>1220</v>
      </c>
      <c r="R22" s="10" t="n">
        <v>1161</v>
      </c>
      <c r="S22" s="10" t="n">
        <v>1160</v>
      </c>
      <c r="T22" s="10" t="n">
        <v>1219</v>
      </c>
      <c r="U22" s="10" t="n">
        <v>1209</v>
      </c>
      <c r="V22" s="10" t="n">
        <v>1152</v>
      </c>
      <c r="W22" s="6"/>
      <c r="X22" s="14" t="n">
        <f aca="false">AVERAGE(C22:L22)</f>
        <v>1223.1</v>
      </c>
      <c r="Y22" s="14" t="n">
        <f aca="false">X22*5</f>
        <v>6115.5</v>
      </c>
      <c r="Z22" s="14" t="n">
        <f aca="false">STDEVA(C22:L22)</f>
        <v>36.3637487372001</v>
      </c>
      <c r="AA22" s="7"/>
    </row>
    <row r="23" customFormat="false" ht="16" hidden="false" customHeight="false" outlineLevel="0" collapsed="false">
      <c r="A23" s="13"/>
      <c r="B23" s="15" t="s">
        <v>32</v>
      </c>
      <c r="C23" s="11" t="n">
        <v>5</v>
      </c>
      <c r="D23" s="11"/>
      <c r="E23" s="11" t="n">
        <v>7</v>
      </c>
      <c r="F23" s="11"/>
      <c r="G23" s="11" t="n">
        <v>7</v>
      </c>
      <c r="H23" s="11"/>
      <c r="I23" s="11" t="n">
        <v>5</v>
      </c>
      <c r="J23" s="11"/>
      <c r="K23" s="11" t="n">
        <v>5</v>
      </c>
      <c r="L23" s="11"/>
      <c r="M23" s="11" t="n">
        <v>5</v>
      </c>
      <c r="N23" s="11"/>
      <c r="O23" s="11" t="n">
        <v>5</v>
      </c>
      <c r="P23" s="11"/>
      <c r="Q23" s="11" t="n">
        <v>5</v>
      </c>
      <c r="R23" s="11"/>
      <c r="S23" s="11" t="n">
        <v>5</v>
      </c>
      <c r="T23" s="11"/>
      <c r="U23" s="11" t="n">
        <v>5</v>
      </c>
      <c r="V23" s="11"/>
      <c r="W23" s="6"/>
      <c r="X23" s="15" t="n">
        <f aca="false">AVERAGE(C23:L23)</f>
        <v>5.8</v>
      </c>
      <c r="Y23" s="15" t="n">
        <f aca="false">X23*5</f>
        <v>29</v>
      </c>
      <c r="Z23" s="15" t="n">
        <f aca="false">STDEVA(C23:L23)</f>
        <v>1.09544511501033</v>
      </c>
      <c r="AA23" s="7"/>
    </row>
    <row r="24" customFormat="false" ht="16" hidden="false" customHeight="false" outlineLevel="0" collapsed="false">
      <c r="A24" s="13"/>
      <c r="B24" s="16" t="s">
        <v>33</v>
      </c>
      <c r="C24" s="11" t="n">
        <v>10</v>
      </c>
      <c r="D24" s="11"/>
      <c r="E24" s="11" t="n">
        <v>11</v>
      </c>
      <c r="F24" s="11"/>
      <c r="G24" s="11" t="n">
        <v>10</v>
      </c>
      <c r="H24" s="11"/>
      <c r="I24" s="11" t="n">
        <v>11</v>
      </c>
      <c r="J24" s="11"/>
      <c r="K24" s="11" t="n">
        <v>10</v>
      </c>
      <c r="L24" s="11"/>
      <c r="M24" s="11" t="n">
        <v>11</v>
      </c>
      <c r="N24" s="11"/>
      <c r="O24" s="11" t="n">
        <v>10</v>
      </c>
      <c r="P24" s="11"/>
      <c r="Q24" s="11" t="n">
        <v>10</v>
      </c>
      <c r="R24" s="11"/>
      <c r="S24" s="11" t="n">
        <v>10</v>
      </c>
      <c r="T24" s="11"/>
      <c r="U24" s="11" t="n">
        <v>10</v>
      </c>
      <c r="V24" s="11"/>
      <c r="W24" s="6"/>
      <c r="X24" s="16" t="n">
        <f aca="false">AVERAGE(C24:L24)</f>
        <v>10.4</v>
      </c>
      <c r="Y24" s="16" t="n">
        <f aca="false">X24*5</f>
        <v>52</v>
      </c>
      <c r="Z24" s="16" t="n">
        <f aca="false">STDEVA(C24:L24)</f>
        <v>0.547722557505166</v>
      </c>
      <c r="AA24" s="7"/>
    </row>
    <row r="25" customFormat="false" ht="16" hidden="false" customHeight="false" outlineLevel="0" collapsed="false">
      <c r="A25" s="13"/>
      <c r="B25" s="8" t="s">
        <v>34</v>
      </c>
      <c r="C25" s="11" t="n">
        <v>-3.8</v>
      </c>
      <c r="D25" s="11"/>
      <c r="E25" s="11" t="n">
        <v>-3.9</v>
      </c>
      <c r="F25" s="11"/>
      <c r="G25" s="11" t="n">
        <v>-3.8</v>
      </c>
      <c r="H25" s="11"/>
      <c r="I25" s="11" t="n">
        <v>-4</v>
      </c>
      <c r="J25" s="11"/>
      <c r="K25" s="11" t="n">
        <v>-3.9</v>
      </c>
      <c r="L25" s="11"/>
      <c r="M25" s="11" t="n">
        <v>-4.1</v>
      </c>
      <c r="N25" s="11"/>
      <c r="O25" s="11" t="n">
        <v>-4</v>
      </c>
      <c r="P25" s="11"/>
      <c r="Q25" s="11" t="n">
        <v>-4</v>
      </c>
      <c r="R25" s="11"/>
      <c r="S25" s="11" t="n">
        <v>-4.2</v>
      </c>
      <c r="T25" s="11"/>
      <c r="U25" s="11" t="n">
        <v>-4.1</v>
      </c>
      <c r="V25" s="11"/>
      <c r="W25" s="6"/>
      <c r="X25" s="17" t="n">
        <f aca="false">AVERAGE(C25:L25)</f>
        <v>-3.88</v>
      </c>
      <c r="Y25" s="17" t="s">
        <v>20</v>
      </c>
      <c r="Z25" s="17" t="n">
        <f aca="false">STDEVA(C25:L25)</f>
        <v>0.0836660026534076</v>
      </c>
      <c r="AA25" s="7"/>
    </row>
    <row r="26" customFormat="false" ht="16" hidden="false" customHeight="false" outlineLevel="0" collapsed="false">
      <c r="A26" s="5"/>
      <c r="B26" s="6"/>
      <c r="C26" s="6"/>
      <c r="D26" s="6"/>
      <c r="E26" s="6"/>
      <c r="F26" s="6"/>
      <c r="G26" s="6"/>
      <c r="H26" s="6"/>
      <c r="I26" s="6"/>
      <c r="J26" s="6"/>
      <c r="K26" s="6"/>
      <c r="L26" s="6"/>
      <c r="M26" s="6"/>
      <c r="N26" s="6"/>
      <c r="O26" s="6"/>
      <c r="P26" s="6"/>
      <c r="Q26" s="6"/>
      <c r="R26" s="6"/>
      <c r="S26" s="6"/>
      <c r="T26" s="6"/>
      <c r="U26" s="6"/>
      <c r="V26" s="6"/>
      <c r="W26" s="6"/>
      <c r="X26" s="6"/>
      <c r="Y26" s="6"/>
      <c r="Z26" s="6"/>
      <c r="AA26" s="7"/>
    </row>
    <row r="27" customFormat="false" ht="16" hidden="false" customHeight="false" outlineLevel="0" collapsed="false">
      <c r="A27" s="5"/>
      <c r="B27" s="6"/>
      <c r="C27" s="6"/>
      <c r="D27" s="6"/>
      <c r="E27" s="6"/>
      <c r="F27" s="6"/>
      <c r="G27" s="6"/>
      <c r="H27" s="6"/>
      <c r="I27" s="6"/>
      <c r="J27" s="6"/>
      <c r="K27" s="6"/>
      <c r="L27" s="6"/>
      <c r="M27" s="6"/>
      <c r="N27" s="6"/>
      <c r="O27" s="6"/>
      <c r="P27" s="6"/>
      <c r="Q27" s="6"/>
      <c r="R27" s="6"/>
      <c r="S27" s="6"/>
      <c r="T27" s="6"/>
      <c r="U27" s="6"/>
      <c r="V27" s="6"/>
      <c r="W27" s="6"/>
      <c r="X27" s="6"/>
      <c r="Y27" s="6"/>
      <c r="Z27" s="6"/>
      <c r="AA27" s="7"/>
    </row>
    <row r="28" customFormat="false" ht="16" hidden="false" customHeight="false" outlineLevel="0" collapsed="false">
      <c r="A28" s="12" t="s">
        <v>37</v>
      </c>
      <c r="B28" s="8" t="s">
        <v>2</v>
      </c>
      <c r="C28" s="10" t="s">
        <v>9</v>
      </c>
      <c r="D28" s="10" t="s">
        <v>4</v>
      </c>
      <c r="E28" s="10" t="s">
        <v>11</v>
      </c>
      <c r="F28" s="10" t="s">
        <v>6</v>
      </c>
      <c r="G28" s="10" t="s">
        <v>10</v>
      </c>
      <c r="H28" s="10" t="s">
        <v>5</v>
      </c>
      <c r="I28" s="10" t="s">
        <v>7</v>
      </c>
      <c r="J28" s="10" t="s">
        <v>12</v>
      </c>
      <c r="K28" s="10" t="s">
        <v>3</v>
      </c>
      <c r="L28" s="10" t="s">
        <v>8</v>
      </c>
      <c r="M28" s="6"/>
      <c r="N28" s="6"/>
      <c r="O28" s="6"/>
      <c r="P28" s="6"/>
      <c r="Q28" s="6"/>
      <c r="R28" s="6"/>
      <c r="S28" s="6"/>
      <c r="T28" s="6"/>
      <c r="U28" s="6"/>
      <c r="V28" s="6"/>
      <c r="W28" s="6"/>
      <c r="X28" s="8" t="s">
        <v>28</v>
      </c>
      <c r="Y28" s="8" t="s">
        <v>29</v>
      </c>
      <c r="Z28" s="8" t="s">
        <v>30</v>
      </c>
      <c r="AA28" s="7"/>
    </row>
    <row r="29" customFormat="false" ht="16" hidden="false" customHeight="false" outlineLevel="0" collapsed="false">
      <c r="A29" s="18"/>
      <c r="B29" s="14" t="s">
        <v>31</v>
      </c>
      <c r="C29" s="10" t="n">
        <v>194</v>
      </c>
      <c r="D29" s="10" t="n">
        <v>194</v>
      </c>
      <c r="E29" s="10" t="n">
        <v>190</v>
      </c>
      <c r="F29" s="10" t="n">
        <v>190</v>
      </c>
      <c r="G29" s="10" t="n">
        <v>185</v>
      </c>
      <c r="H29" s="10" t="n">
        <v>186</v>
      </c>
      <c r="I29" s="10" t="n">
        <v>185</v>
      </c>
      <c r="J29" s="10" t="n">
        <v>185</v>
      </c>
      <c r="K29" s="10" t="n">
        <v>177</v>
      </c>
      <c r="L29" s="10" t="n">
        <v>176</v>
      </c>
      <c r="M29" s="6"/>
      <c r="N29" s="6"/>
      <c r="O29" s="6"/>
      <c r="P29" s="6"/>
      <c r="Q29" s="6"/>
      <c r="R29" s="6"/>
      <c r="S29" s="6"/>
      <c r="T29" s="6"/>
      <c r="U29" s="6"/>
      <c r="V29" s="6"/>
      <c r="W29" s="6"/>
      <c r="X29" s="14" t="n">
        <f aca="false">AVERAGE(C29:L29)</f>
        <v>186.2</v>
      </c>
      <c r="Y29" s="14" t="n">
        <f aca="false">X29*5</f>
        <v>931</v>
      </c>
      <c r="Z29" s="14" t="n">
        <f aca="false">STDEVA(C29:L29)</f>
        <v>6.17881685905787</v>
      </c>
      <c r="AA29" s="7"/>
    </row>
    <row r="30" customFormat="false" ht="16" hidden="false" customHeight="false" outlineLevel="0" collapsed="false">
      <c r="A30" s="18"/>
      <c r="B30" s="15" t="s">
        <v>32</v>
      </c>
      <c r="C30" s="11" t="n">
        <v>0</v>
      </c>
      <c r="D30" s="11"/>
      <c r="E30" s="11" t="n">
        <v>0</v>
      </c>
      <c r="F30" s="11"/>
      <c r="G30" s="11" t="n">
        <v>0</v>
      </c>
      <c r="H30" s="11"/>
      <c r="I30" s="11" t="n">
        <v>0</v>
      </c>
      <c r="J30" s="11"/>
      <c r="K30" s="11" t="n">
        <v>0</v>
      </c>
      <c r="L30" s="11"/>
      <c r="M30" s="6"/>
      <c r="N30" s="6"/>
      <c r="O30" s="6"/>
      <c r="P30" s="6"/>
      <c r="Q30" s="6"/>
      <c r="R30" s="6"/>
      <c r="S30" s="6"/>
      <c r="T30" s="6"/>
      <c r="U30" s="6"/>
      <c r="V30" s="6"/>
      <c r="W30" s="6"/>
      <c r="X30" s="15" t="n">
        <f aca="false">AVERAGE(C30:L30)</f>
        <v>0</v>
      </c>
      <c r="Y30" s="15" t="n">
        <f aca="false">X30*5</f>
        <v>0</v>
      </c>
      <c r="Z30" s="15" t="n">
        <f aca="false">STDEVA(C30:L30)</f>
        <v>0</v>
      </c>
      <c r="AA30" s="7"/>
    </row>
    <row r="31" customFormat="false" ht="16" hidden="false" customHeight="false" outlineLevel="0" collapsed="false">
      <c r="A31" s="18"/>
      <c r="B31" s="16" t="s">
        <v>33</v>
      </c>
      <c r="C31" s="11" t="n">
        <v>0</v>
      </c>
      <c r="D31" s="11"/>
      <c r="E31" s="11" t="n">
        <v>0</v>
      </c>
      <c r="F31" s="11"/>
      <c r="G31" s="11" t="n">
        <v>0</v>
      </c>
      <c r="H31" s="11"/>
      <c r="I31" s="11" t="n">
        <v>0</v>
      </c>
      <c r="J31" s="11"/>
      <c r="K31" s="11" t="n">
        <v>0</v>
      </c>
      <c r="L31" s="11"/>
      <c r="M31" s="6"/>
      <c r="N31" s="6"/>
      <c r="O31" s="6"/>
      <c r="P31" s="6"/>
      <c r="Q31" s="6"/>
      <c r="R31" s="6"/>
      <c r="S31" s="6"/>
      <c r="T31" s="6"/>
      <c r="U31" s="6"/>
      <c r="V31" s="6"/>
      <c r="W31" s="6"/>
      <c r="X31" s="16" t="n">
        <f aca="false">AVERAGE(C31:L31)</f>
        <v>0</v>
      </c>
      <c r="Y31" s="16" t="n">
        <f aca="false">X31*5</f>
        <v>0</v>
      </c>
      <c r="Z31" s="16" t="n">
        <f aca="false">STDEVA(C31:L31)</f>
        <v>0</v>
      </c>
      <c r="AA31" s="7"/>
    </row>
    <row r="32" customFormat="false" ht="16" hidden="false" customHeight="false" outlineLevel="0" collapsed="false">
      <c r="A32" s="18"/>
      <c r="B32" s="8" t="s">
        <v>34</v>
      </c>
      <c r="C32" s="11" t="n">
        <v>-3.3</v>
      </c>
      <c r="D32" s="11"/>
      <c r="E32" s="11" t="n">
        <v>-3.3</v>
      </c>
      <c r="F32" s="11"/>
      <c r="G32" s="11" t="n">
        <v>-3.3</v>
      </c>
      <c r="H32" s="11"/>
      <c r="I32" s="11" t="n">
        <v>-3.2</v>
      </c>
      <c r="J32" s="11"/>
      <c r="K32" s="11" t="n">
        <v>-3</v>
      </c>
      <c r="L32" s="11"/>
      <c r="M32" s="6"/>
      <c r="N32" s="6"/>
      <c r="O32" s="6"/>
      <c r="P32" s="6"/>
      <c r="Q32" s="6"/>
      <c r="R32" s="6"/>
      <c r="S32" s="6"/>
      <c r="T32" s="6"/>
      <c r="U32" s="6"/>
      <c r="V32" s="6"/>
      <c r="W32" s="6"/>
      <c r="X32" s="17" t="n">
        <f aca="false">AVERAGE(C32:L32)</f>
        <v>-3.22</v>
      </c>
      <c r="Y32" s="17" t="s">
        <v>20</v>
      </c>
      <c r="Z32" s="17" t="n">
        <f aca="false">STDEVA(C32:L32)</f>
        <v>0.130384048104053</v>
      </c>
      <c r="AA32" s="7"/>
    </row>
    <row r="33" customFormat="false" ht="16" hidden="false" customHeight="false" outlineLevel="0" collapsed="false">
      <c r="A33" s="18"/>
      <c r="B33" s="17"/>
      <c r="C33" s="19"/>
      <c r="D33" s="19"/>
      <c r="E33" s="19"/>
      <c r="F33" s="19"/>
      <c r="G33" s="19"/>
      <c r="H33" s="19"/>
      <c r="I33" s="19"/>
      <c r="J33" s="19"/>
      <c r="K33" s="19"/>
      <c r="L33" s="19"/>
      <c r="M33" s="20"/>
      <c r="N33" s="20"/>
      <c r="O33" s="20"/>
      <c r="P33" s="20"/>
      <c r="Q33" s="20"/>
      <c r="R33" s="20"/>
      <c r="S33" s="20"/>
      <c r="T33" s="20"/>
      <c r="U33" s="20"/>
      <c r="V33" s="20"/>
      <c r="W33" s="20"/>
      <c r="X33" s="20"/>
      <c r="Y33" s="20"/>
      <c r="Z33" s="20"/>
      <c r="AA33" s="21"/>
    </row>
    <row r="34" customFormat="false" ht="16" hidden="false" customHeight="false" outlineLevel="0" collapsed="false">
      <c r="A34" s="6"/>
      <c r="B34" s="6"/>
      <c r="C34" s="6"/>
      <c r="D34" s="6"/>
      <c r="E34" s="6"/>
      <c r="F34" s="6"/>
      <c r="G34" s="6"/>
      <c r="H34" s="6"/>
      <c r="I34" s="6"/>
      <c r="J34" s="6"/>
      <c r="K34" s="6"/>
      <c r="L34" s="6"/>
      <c r="M34" s="6"/>
      <c r="N34" s="6"/>
      <c r="O34" s="6"/>
      <c r="P34" s="6"/>
      <c r="Q34" s="6"/>
      <c r="R34" s="6"/>
      <c r="S34" s="6"/>
      <c r="T34" s="6"/>
      <c r="U34" s="6"/>
      <c r="V34" s="6"/>
    </row>
    <row r="35" customFormat="false" ht="16" hidden="false" customHeight="false" outlineLevel="0" collapsed="false">
      <c r="A35" s="6"/>
      <c r="B35" s="6"/>
      <c r="C35" s="6"/>
      <c r="D35" s="6"/>
      <c r="E35" s="6"/>
      <c r="F35" s="6"/>
      <c r="G35" s="6"/>
      <c r="H35" s="6"/>
      <c r="I35" s="6"/>
      <c r="J35" s="6"/>
      <c r="K35" s="6"/>
      <c r="L35" s="6"/>
      <c r="M35" s="6"/>
      <c r="N35" s="6"/>
      <c r="O35" s="6"/>
      <c r="P35" s="6"/>
      <c r="Q35" s="6"/>
      <c r="R35" s="6"/>
      <c r="S35" s="6"/>
      <c r="T35" s="6"/>
      <c r="U35" s="6"/>
      <c r="V35" s="6"/>
    </row>
    <row r="36" s="6" customFormat="true" ht="16" hidden="false" customHeight="false" outlineLevel="0" collapsed="false">
      <c r="C36" s="22"/>
      <c r="D36" s="22"/>
      <c r="E36" s="22"/>
      <c r="F36" s="22"/>
      <c r="G36" s="22"/>
      <c r="H36" s="22"/>
      <c r="I36" s="22"/>
      <c r="J36" s="22"/>
      <c r="K36" s="22"/>
      <c r="L36" s="22"/>
    </row>
    <row r="38" customFormat="false" ht="16" hidden="false" customHeight="false" outlineLevel="0" collapsed="false">
      <c r="A38" s="2" t="s">
        <v>38</v>
      </c>
      <c r="B38" s="3"/>
      <c r="C38" s="3"/>
      <c r="D38" s="3"/>
      <c r="E38" s="3"/>
      <c r="F38" s="3"/>
      <c r="G38" s="3"/>
      <c r="H38" s="3"/>
      <c r="I38" s="3"/>
      <c r="J38" s="3"/>
      <c r="K38" s="3"/>
      <c r="L38" s="3"/>
      <c r="M38" s="3"/>
      <c r="N38" s="3"/>
      <c r="O38" s="3"/>
      <c r="P38" s="3"/>
      <c r="Q38" s="3"/>
      <c r="R38" s="3"/>
      <c r="S38" s="3"/>
      <c r="T38" s="3"/>
      <c r="U38" s="3"/>
      <c r="V38" s="3"/>
      <c r="W38" s="3"/>
      <c r="X38" s="3"/>
      <c r="Y38" s="3"/>
      <c r="Z38" s="3"/>
      <c r="AA38" s="4"/>
    </row>
    <row r="39" customFormat="false" ht="16" hidden="false" customHeight="false" outlineLevel="0" collapsed="false">
      <c r="A39" s="5"/>
      <c r="B39" s="6"/>
      <c r="C39" s="6"/>
      <c r="D39" s="6"/>
      <c r="E39" s="6"/>
      <c r="F39" s="6"/>
      <c r="G39" s="6"/>
      <c r="H39" s="6"/>
      <c r="I39" s="6"/>
      <c r="J39" s="6"/>
      <c r="K39" s="6"/>
      <c r="L39" s="6"/>
      <c r="M39" s="6"/>
      <c r="N39" s="6"/>
      <c r="O39" s="6"/>
      <c r="P39" s="6"/>
      <c r="Q39" s="6"/>
      <c r="R39" s="6"/>
      <c r="S39" s="6"/>
      <c r="T39" s="6"/>
      <c r="U39" s="6"/>
      <c r="V39" s="6"/>
      <c r="W39" s="6"/>
      <c r="X39" s="6"/>
      <c r="Y39" s="6"/>
      <c r="Z39" s="6"/>
      <c r="AA39" s="7"/>
    </row>
    <row r="40" customFormat="false" ht="68" hidden="false" customHeight="false" outlineLevel="0" collapsed="false">
      <c r="A40" s="5"/>
      <c r="B40" s="8" t="s">
        <v>2</v>
      </c>
      <c r="C40" s="8" t="s">
        <v>6</v>
      </c>
      <c r="D40" s="8" t="s">
        <v>5</v>
      </c>
      <c r="E40" s="8" t="s">
        <v>39</v>
      </c>
      <c r="F40" s="8" t="s">
        <v>40</v>
      </c>
      <c r="G40" s="8" t="s">
        <v>41</v>
      </c>
      <c r="H40" s="8" t="s">
        <v>42</v>
      </c>
      <c r="I40" s="8" t="s">
        <v>43</v>
      </c>
      <c r="J40" s="8" t="s">
        <v>44</v>
      </c>
      <c r="K40" s="8" t="s">
        <v>45</v>
      </c>
      <c r="L40" s="8" t="s">
        <v>46</v>
      </c>
      <c r="M40" s="6"/>
      <c r="N40" s="9" t="s">
        <v>13</v>
      </c>
      <c r="O40" s="9" t="s">
        <v>14</v>
      </c>
      <c r="P40" s="9" t="s">
        <v>15</v>
      </c>
      <c r="Q40" s="9" t="s">
        <v>16</v>
      </c>
      <c r="R40" s="6"/>
      <c r="S40" s="9" t="s">
        <v>17</v>
      </c>
      <c r="T40" s="9" t="s">
        <v>18</v>
      </c>
      <c r="U40" s="6"/>
      <c r="V40" s="6"/>
      <c r="W40" s="6"/>
      <c r="X40" s="6"/>
      <c r="Y40" s="6"/>
      <c r="Z40" s="6"/>
      <c r="AA40" s="7"/>
    </row>
    <row r="41" customFormat="false" ht="17" hidden="false" customHeight="false" outlineLevel="0" collapsed="false">
      <c r="A41" s="5"/>
      <c r="B41" s="9" t="s">
        <v>19</v>
      </c>
      <c r="C41" s="10" t="n">
        <v>32204</v>
      </c>
      <c r="D41" s="10" t="n">
        <v>32190</v>
      </c>
      <c r="E41" s="10" t="n">
        <v>32205</v>
      </c>
      <c r="F41" s="10" t="n">
        <v>32189</v>
      </c>
      <c r="G41" s="10" t="n">
        <v>32219</v>
      </c>
      <c r="H41" s="10" t="n">
        <v>32186</v>
      </c>
      <c r="I41" s="10" t="n">
        <v>32205</v>
      </c>
      <c r="J41" s="10" t="n">
        <v>32184</v>
      </c>
      <c r="K41" s="10" t="n">
        <v>32198</v>
      </c>
      <c r="L41" s="10" t="n">
        <v>32204</v>
      </c>
      <c r="M41" s="6"/>
      <c r="N41" s="10" t="n">
        <f aca="false">AVERAGE(C41:L41)</f>
        <v>32198.4</v>
      </c>
      <c r="O41" s="10" t="s">
        <v>20</v>
      </c>
      <c r="P41" s="10" t="n">
        <f aca="false">STDEVA(C41:L41)</f>
        <v>11.0272390016722</v>
      </c>
      <c r="Q41" s="10" t="n">
        <f aca="false">P41/N41*100</f>
        <v>0.034247785609447</v>
      </c>
      <c r="R41" s="6"/>
      <c r="S41" s="6"/>
      <c r="T41" s="6"/>
      <c r="U41" s="6"/>
      <c r="V41" s="6"/>
      <c r="W41" s="6"/>
      <c r="X41" s="6"/>
      <c r="Y41" s="6"/>
      <c r="Z41" s="6"/>
      <c r="AA41" s="7"/>
    </row>
    <row r="42" customFormat="false" ht="17" hidden="false" customHeight="false" outlineLevel="0" collapsed="false">
      <c r="A42" s="5"/>
      <c r="B42" s="9" t="s">
        <v>21</v>
      </c>
      <c r="C42" s="11" t="n">
        <f aca="false">C41+D41-C43-D43</f>
        <v>54094</v>
      </c>
      <c r="D42" s="11"/>
      <c r="E42" s="11" t="n">
        <f aca="false">E41+F41-E43-F43</f>
        <v>54103</v>
      </c>
      <c r="F42" s="11"/>
      <c r="G42" s="11" t="n">
        <f aca="false">G41+H41-G43-H43</f>
        <v>54125</v>
      </c>
      <c r="H42" s="11"/>
      <c r="I42" s="11" t="n">
        <f aca="false">I41+J41-I43-J43</f>
        <v>54150</v>
      </c>
      <c r="J42" s="11"/>
      <c r="K42" s="11" t="n">
        <f aca="false">K41+L41-K43-L43</f>
        <v>54222</v>
      </c>
      <c r="L42" s="11"/>
      <c r="M42" s="6"/>
      <c r="N42" s="10" t="n">
        <f aca="false">AVERAGE(C42:L42)</f>
        <v>54138.8</v>
      </c>
      <c r="O42" s="10" t="s">
        <v>20</v>
      </c>
      <c r="P42" s="10" t="n">
        <f aca="false">STDEVA(C42:L42)</f>
        <v>51.3000974657944</v>
      </c>
      <c r="Q42" s="10" t="n">
        <f aca="false">P42/N42*100</f>
        <v>0.0947566208815015</v>
      </c>
      <c r="R42" s="6"/>
      <c r="S42" s="6"/>
      <c r="T42" s="6"/>
      <c r="U42" s="6"/>
      <c r="V42" s="6"/>
      <c r="W42" s="6"/>
      <c r="X42" s="6"/>
      <c r="Y42" s="6"/>
      <c r="Z42" s="6"/>
      <c r="AA42" s="7"/>
    </row>
    <row r="43" customFormat="false" ht="17" hidden="false" customHeight="false" outlineLevel="0" collapsed="false">
      <c r="A43" s="5"/>
      <c r="B43" s="9" t="s">
        <v>22</v>
      </c>
      <c r="C43" s="10" t="n">
        <v>5149</v>
      </c>
      <c r="D43" s="10" t="n">
        <v>5151</v>
      </c>
      <c r="E43" s="10" t="n">
        <v>5151</v>
      </c>
      <c r="F43" s="10" t="n">
        <v>5140</v>
      </c>
      <c r="G43" s="10" t="n">
        <v>5144</v>
      </c>
      <c r="H43" s="10" t="n">
        <v>5136</v>
      </c>
      <c r="I43" s="10" t="n">
        <v>5119</v>
      </c>
      <c r="J43" s="10" t="n">
        <v>5120</v>
      </c>
      <c r="K43" s="10" t="n">
        <v>5102</v>
      </c>
      <c r="L43" s="10" t="n">
        <v>5078</v>
      </c>
      <c r="M43" s="6"/>
      <c r="N43" s="10" t="n">
        <f aca="false">AVERAGE(C43:L43)</f>
        <v>5129</v>
      </c>
      <c r="O43" s="10" t="n">
        <f aca="false">N43/$N$41*100</f>
        <v>15.9293629497118</v>
      </c>
      <c r="P43" s="10" t="n">
        <f aca="false">STDEVA(C43:L43)</f>
        <v>24.2074368738204</v>
      </c>
      <c r="Q43" s="10" t="n">
        <f aca="false">P43/N43*100</f>
        <v>0.471971863400671</v>
      </c>
      <c r="R43" s="6"/>
      <c r="S43" s="10" t="n">
        <f aca="false">AVERAGE(C52:L52)</f>
        <v>69</v>
      </c>
      <c r="T43" s="10" t="n">
        <f aca="false">AVERAGE(C53:L53)</f>
        <v>6.8</v>
      </c>
      <c r="U43" s="6"/>
      <c r="V43" s="6"/>
      <c r="W43" s="6"/>
      <c r="X43" s="6"/>
      <c r="Y43" s="6"/>
      <c r="Z43" s="6"/>
      <c r="AA43" s="7"/>
    </row>
    <row r="44" customFormat="false" ht="34" hidden="false" customHeight="false" outlineLevel="0" collapsed="false">
      <c r="A44" s="5"/>
      <c r="B44" s="9" t="s">
        <v>23</v>
      </c>
      <c r="C44" s="10" t="n">
        <f aca="false">SUM(I57,S57)</f>
        <v>2331</v>
      </c>
      <c r="D44" s="10" t="n">
        <f aca="false">SUM(C57,O57)</f>
        <v>2356</v>
      </c>
      <c r="E44" s="10" t="n">
        <f aca="false">SUM(Q57,T57)</f>
        <v>2326</v>
      </c>
      <c r="F44" s="10" t="n">
        <f aca="false">SUM(M57,D57)</f>
        <v>2376</v>
      </c>
      <c r="G44" s="10" t="n">
        <f aca="false">SUM(K57,R57)</f>
        <v>2335</v>
      </c>
      <c r="H44" s="10" t="n">
        <f aca="false">SUM(N57,U57)</f>
        <v>2322</v>
      </c>
      <c r="I44" s="10" t="n">
        <f aca="false">SUM(L57,E57)</f>
        <v>2362</v>
      </c>
      <c r="J44" s="10" t="n">
        <f aca="false">SUM(V57,H57)</f>
        <v>2335</v>
      </c>
      <c r="K44" s="10" t="n">
        <f aca="false">SUM(G57,P57)</f>
        <v>2344</v>
      </c>
      <c r="L44" s="10" t="n">
        <f aca="false">SUM(F57,J57)</f>
        <v>2359</v>
      </c>
      <c r="M44" s="6"/>
      <c r="N44" s="10" t="n">
        <f aca="false">AVERAGE(C44:L44)</f>
        <v>2344.6</v>
      </c>
      <c r="O44" s="10" t="n">
        <f aca="false">N44/$N$41*100</f>
        <v>7.28172828463526</v>
      </c>
      <c r="P44" s="10" t="n">
        <f aca="false">STDEVA(C44:L44)</f>
        <v>17.802621529801</v>
      </c>
      <c r="Q44" s="10" t="n">
        <f aca="false">P44/N44*100</f>
        <v>0.759303144664377</v>
      </c>
      <c r="R44" s="6"/>
      <c r="S44" s="10" t="n">
        <f aca="false">AVERAGE(C58:V58)</f>
        <v>10</v>
      </c>
      <c r="T44" s="10" t="n">
        <f aca="false">AVERAGE(C59:V59)</f>
        <v>12.3</v>
      </c>
      <c r="U44" s="6"/>
      <c r="V44" s="6"/>
      <c r="W44" s="6"/>
      <c r="X44" s="6"/>
      <c r="Y44" s="6"/>
      <c r="Z44" s="6"/>
      <c r="AA44" s="7"/>
    </row>
    <row r="45" customFormat="false" ht="17" hidden="false" customHeight="false" outlineLevel="0" collapsed="false">
      <c r="A45" s="5"/>
      <c r="B45" s="9" t="s">
        <v>24</v>
      </c>
      <c r="C45" s="10" t="n">
        <f aca="false">C64</f>
        <v>204</v>
      </c>
      <c r="D45" s="10" t="n">
        <f aca="false">E64</f>
        <v>202</v>
      </c>
      <c r="E45" s="10" t="n">
        <f aca="false">G64</f>
        <v>197</v>
      </c>
      <c r="F45" s="10" t="n">
        <f aca="false">D64</f>
        <v>206</v>
      </c>
      <c r="G45" s="10" t="n">
        <f aca="false">I64</f>
        <v>194</v>
      </c>
      <c r="H45" s="10" t="n">
        <f aca="false">H64</f>
        <v>195</v>
      </c>
      <c r="I45" s="10" t="n">
        <f aca="false">K64</f>
        <v>192</v>
      </c>
      <c r="J45" s="10" t="n">
        <f aca="false">J64</f>
        <v>195</v>
      </c>
      <c r="K45" s="10" t="n">
        <f aca="false">L64</f>
        <v>191</v>
      </c>
      <c r="L45" s="10" t="n">
        <f aca="false">F64</f>
        <v>200</v>
      </c>
      <c r="M45" s="6"/>
      <c r="N45" s="10" t="n">
        <f aca="false">AVERAGE(C45:L45)</f>
        <v>197.6</v>
      </c>
      <c r="O45" s="10" t="n">
        <f aca="false">N45/$N$41*100</f>
        <v>0.613695090439276</v>
      </c>
      <c r="P45" s="10" t="n">
        <f aca="false">STDEVA(C45:L45)</f>
        <v>5.14673575083168</v>
      </c>
      <c r="Q45" s="10" t="n">
        <f aca="false">P45/N45*100</f>
        <v>2.60462335568405</v>
      </c>
      <c r="R45" s="6"/>
      <c r="S45" s="10" t="n">
        <v>0</v>
      </c>
      <c r="T45" s="10" t="n">
        <v>3.8</v>
      </c>
      <c r="U45" s="6"/>
      <c r="V45" s="6"/>
      <c r="W45" s="6"/>
      <c r="X45" s="6"/>
      <c r="Y45" s="6"/>
      <c r="Z45" s="6"/>
      <c r="AA45" s="7"/>
    </row>
    <row r="46" customFormat="false" ht="17" hidden="false" customHeight="false" outlineLevel="0" collapsed="false">
      <c r="A46" s="5"/>
      <c r="B46" s="9" t="s">
        <v>25</v>
      </c>
      <c r="C46" s="10" t="n">
        <f aca="false">SUM(C44:C45)</f>
        <v>2535</v>
      </c>
      <c r="D46" s="10" t="n">
        <f aca="false">SUM(D44:D45)</f>
        <v>2558</v>
      </c>
      <c r="E46" s="10" t="n">
        <f aca="false">SUM(E44:E45)</f>
        <v>2523</v>
      </c>
      <c r="F46" s="10" t="n">
        <f aca="false">SUM(F44:F45)</f>
        <v>2582</v>
      </c>
      <c r="G46" s="10" t="n">
        <f aca="false">SUM(G44:G45)</f>
        <v>2529</v>
      </c>
      <c r="H46" s="10" t="n">
        <f aca="false">SUM(H44:H45)</f>
        <v>2517</v>
      </c>
      <c r="I46" s="10" t="n">
        <f aca="false">SUM(I44:I45)</f>
        <v>2554</v>
      </c>
      <c r="J46" s="10" t="n">
        <f aca="false">SUM(J44:J45)</f>
        <v>2530</v>
      </c>
      <c r="K46" s="10" t="n">
        <f aca="false">SUM(K44:K45)</f>
        <v>2535</v>
      </c>
      <c r="L46" s="10" t="n">
        <f aca="false">SUM(L44:L45)</f>
        <v>2559</v>
      </c>
      <c r="M46" s="6"/>
      <c r="N46" s="10" t="n">
        <f aca="false">AVERAGE(C46:L46)</f>
        <v>2542.2</v>
      </c>
      <c r="O46" s="10" t="n">
        <f aca="false">N46/($N$42)*100</f>
        <v>4.69570806888959</v>
      </c>
      <c r="P46" s="10" t="n">
        <f aca="false">STDEVA(C46:L46)</f>
        <v>20.2363808797698</v>
      </c>
      <c r="Q46" s="10" t="n">
        <f aca="false">P46/N46*100</f>
        <v>0.79601844385846</v>
      </c>
      <c r="R46" s="6"/>
      <c r="S46" s="10" t="s">
        <v>47</v>
      </c>
      <c r="T46" s="10" t="s">
        <v>47</v>
      </c>
      <c r="U46" s="6"/>
      <c r="V46" s="6"/>
      <c r="W46" s="6"/>
      <c r="X46" s="6"/>
      <c r="Y46" s="6"/>
      <c r="Z46" s="6"/>
      <c r="AA46" s="7"/>
    </row>
    <row r="47" customFormat="false" ht="17" hidden="false" customHeight="false" outlineLevel="0" collapsed="false">
      <c r="A47" s="5"/>
      <c r="B47" s="9" t="s">
        <v>26</v>
      </c>
      <c r="C47" s="10" t="n">
        <f aca="false">SUM(C43:C45)</f>
        <v>7684</v>
      </c>
      <c r="D47" s="10" t="n">
        <f aca="false">SUM(D43:D45)</f>
        <v>7709</v>
      </c>
      <c r="E47" s="10" t="n">
        <f aca="false">SUM(E43:E45)</f>
        <v>7674</v>
      </c>
      <c r="F47" s="10" t="n">
        <f aca="false">SUM(F43:F45)</f>
        <v>7722</v>
      </c>
      <c r="G47" s="10" t="n">
        <f aca="false">SUM(G43:G45)</f>
        <v>7673</v>
      </c>
      <c r="H47" s="10" t="n">
        <f aca="false">SUM(H43:H45)</f>
        <v>7653</v>
      </c>
      <c r="I47" s="10" t="n">
        <f aca="false">SUM(I43:I45)</f>
        <v>7673</v>
      </c>
      <c r="J47" s="10" t="n">
        <f aca="false">SUM(J43:J45)</f>
        <v>7650</v>
      </c>
      <c r="K47" s="10" t="n">
        <f aca="false">SUM(K43:K45)</f>
        <v>7637</v>
      </c>
      <c r="L47" s="10" t="n">
        <f aca="false">SUM(L43:L45)</f>
        <v>7637</v>
      </c>
      <c r="M47" s="6"/>
      <c r="N47" s="10" t="n">
        <f aca="false">AVERAGE(C47:L47)</f>
        <v>7671.2</v>
      </c>
      <c r="O47" s="10" t="n">
        <f aca="false">N47/$N$41*100</f>
        <v>23.8247863247863</v>
      </c>
      <c r="P47" s="10" t="n">
        <f aca="false">STDEVA(C47:L47)</f>
        <v>28.4948338397604</v>
      </c>
      <c r="Q47" s="10" t="n">
        <f aca="false">P47/N47*100</f>
        <v>0.37145210449161</v>
      </c>
      <c r="R47" s="6"/>
      <c r="S47" s="10" t="s">
        <v>47</v>
      </c>
      <c r="T47" s="10" t="s">
        <v>47</v>
      </c>
      <c r="U47" s="6"/>
      <c r="V47" s="6"/>
      <c r="W47" s="6"/>
      <c r="X47" s="6"/>
      <c r="Y47" s="6"/>
      <c r="Z47" s="6"/>
      <c r="AA47" s="7"/>
    </row>
    <row r="48" customFormat="false" ht="17" hidden="false" customHeight="false" outlineLevel="0" collapsed="false">
      <c r="A48" s="5"/>
      <c r="B48" s="9" t="s">
        <v>48</v>
      </c>
      <c r="C48" s="6"/>
      <c r="D48" s="6"/>
      <c r="E48" s="6"/>
      <c r="F48" s="6"/>
      <c r="G48" s="6"/>
      <c r="H48" s="6"/>
      <c r="I48" s="6"/>
      <c r="J48" s="6"/>
      <c r="K48" s="6"/>
      <c r="L48" s="6"/>
      <c r="M48" s="6"/>
      <c r="N48" s="10" t="n">
        <f aca="false">SUM(X51,X57,X64,X70,X57)</f>
        <v>8015</v>
      </c>
      <c r="O48" s="10" t="n">
        <f aca="false">N48/$N$41*100</f>
        <v>24.8925412442854</v>
      </c>
      <c r="P48" s="10" t="n">
        <f aca="false">SUM(Z51,Z57,Z64,Z70,Z57)</f>
        <v>155.688303114579</v>
      </c>
      <c r="Q48" s="10" t="n">
        <f aca="false">P48/N48*100</f>
        <v>1.94246167329481</v>
      </c>
      <c r="R48" s="6"/>
      <c r="S48" s="10" t="n">
        <f aca="false">SUM(X71)</f>
        <v>0.4</v>
      </c>
      <c r="T48" s="10" t="n">
        <f aca="false">X72</f>
        <v>4</v>
      </c>
      <c r="U48" s="6"/>
      <c r="V48" s="6"/>
      <c r="W48" s="6"/>
      <c r="X48" s="6"/>
      <c r="Y48" s="6"/>
      <c r="Z48" s="6"/>
      <c r="AA48" s="7"/>
    </row>
    <row r="49" customFormat="false" ht="16" hidden="false" customHeight="false" outlineLevel="0" collapsed="false">
      <c r="A49" s="5"/>
      <c r="B49" s="6"/>
      <c r="C49" s="6"/>
      <c r="D49" s="6"/>
      <c r="E49" s="6"/>
      <c r="F49" s="6"/>
      <c r="G49" s="6"/>
      <c r="H49" s="6"/>
      <c r="I49" s="6"/>
      <c r="J49" s="6"/>
      <c r="K49" s="6"/>
      <c r="L49" s="6"/>
      <c r="M49" s="6"/>
      <c r="N49" s="6"/>
      <c r="O49" s="6"/>
      <c r="P49" s="6"/>
      <c r="Q49" s="6"/>
      <c r="R49" s="6"/>
      <c r="U49" s="6"/>
      <c r="V49" s="6"/>
      <c r="W49" s="6"/>
      <c r="X49" s="6"/>
      <c r="Y49" s="6"/>
      <c r="Z49" s="6"/>
      <c r="AA49" s="7"/>
    </row>
    <row r="50" customFormat="false" ht="16" hidden="false" customHeight="false" outlineLevel="0" collapsed="false">
      <c r="A50" s="12" t="s">
        <v>27</v>
      </c>
      <c r="B50" s="8" t="s">
        <v>2</v>
      </c>
      <c r="C50" s="8" t="s">
        <v>6</v>
      </c>
      <c r="D50" s="8" t="s">
        <v>5</v>
      </c>
      <c r="E50" s="8" t="s">
        <v>39</v>
      </c>
      <c r="F50" s="8" t="s">
        <v>40</v>
      </c>
      <c r="G50" s="8" t="s">
        <v>41</v>
      </c>
      <c r="H50" s="8" t="s">
        <v>42</v>
      </c>
      <c r="I50" s="8" t="s">
        <v>43</v>
      </c>
      <c r="J50" s="8" t="s">
        <v>44</v>
      </c>
      <c r="K50" s="8" t="s">
        <v>45</v>
      </c>
      <c r="L50" s="8" t="s">
        <v>46</v>
      </c>
      <c r="M50" s="6"/>
      <c r="N50" s="6"/>
      <c r="O50" s="6"/>
      <c r="P50" s="6"/>
      <c r="Q50" s="6"/>
      <c r="R50" s="6"/>
      <c r="S50" s="6"/>
      <c r="T50" s="6"/>
      <c r="U50" s="6"/>
      <c r="V50" s="6"/>
      <c r="W50" s="6"/>
      <c r="X50" s="8" t="s">
        <v>28</v>
      </c>
      <c r="Y50" s="8" t="s">
        <v>29</v>
      </c>
      <c r="Z50" s="8" t="s">
        <v>30</v>
      </c>
      <c r="AA50" s="7"/>
    </row>
    <row r="51" customFormat="false" ht="16" hidden="false" customHeight="false" outlineLevel="0" collapsed="false">
      <c r="A51" s="13"/>
      <c r="B51" s="14" t="s">
        <v>31</v>
      </c>
      <c r="C51" s="10" t="n">
        <v>5149</v>
      </c>
      <c r="D51" s="10" t="n">
        <v>5151</v>
      </c>
      <c r="E51" s="10" t="n">
        <v>5151</v>
      </c>
      <c r="F51" s="10" t="n">
        <v>5140</v>
      </c>
      <c r="G51" s="10" t="n">
        <v>5144</v>
      </c>
      <c r="H51" s="10" t="n">
        <v>5136</v>
      </c>
      <c r="I51" s="10" t="n">
        <v>5119</v>
      </c>
      <c r="J51" s="10" t="n">
        <v>5120</v>
      </c>
      <c r="K51" s="10" t="n">
        <v>5102</v>
      </c>
      <c r="L51" s="10" t="n">
        <v>5078</v>
      </c>
      <c r="M51" s="6"/>
      <c r="N51" s="6"/>
      <c r="O51" s="6"/>
      <c r="P51" s="6"/>
      <c r="Q51" s="6"/>
      <c r="R51" s="6"/>
      <c r="S51" s="6"/>
      <c r="T51" s="6"/>
      <c r="U51" s="6"/>
      <c r="V51" s="6"/>
      <c r="W51" s="6"/>
      <c r="X51" s="14" t="n">
        <f aca="false">AVERAGE(C51:L51)</f>
        <v>5129</v>
      </c>
      <c r="Y51" s="14" t="n">
        <f aca="false">X51*5</f>
        <v>25645</v>
      </c>
      <c r="Z51" s="14" t="n">
        <f aca="false">STDEVA(C51:L51)</f>
        <v>24.2074368738204</v>
      </c>
      <c r="AA51" s="7"/>
    </row>
    <row r="52" customFormat="false" ht="16" hidden="false" customHeight="false" outlineLevel="0" collapsed="false">
      <c r="A52" s="13"/>
      <c r="B52" s="15" t="s">
        <v>32</v>
      </c>
      <c r="C52" s="11" t="n">
        <v>71</v>
      </c>
      <c r="D52" s="11"/>
      <c r="E52" s="11" t="n">
        <v>69</v>
      </c>
      <c r="F52" s="11"/>
      <c r="G52" s="11" t="n">
        <v>73</v>
      </c>
      <c r="H52" s="11"/>
      <c r="I52" s="11" t="n">
        <v>69</v>
      </c>
      <c r="J52" s="11"/>
      <c r="K52" s="11" t="n">
        <v>63</v>
      </c>
      <c r="L52" s="11"/>
      <c r="M52" s="6"/>
      <c r="N52" s="6"/>
      <c r="O52" s="6"/>
      <c r="P52" s="6"/>
      <c r="Q52" s="6"/>
      <c r="R52" s="6"/>
      <c r="S52" s="6"/>
      <c r="T52" s="6"/>
      <c r="U52" s="6"/>
      <c r="V52" s="6"/>
      <c r="W52" s="6"/>
      <c r="X52" s="15" t="n">
        <f aca="false">AVERAGE(C52:L52)</f>
        <v>69</v>
      </c>
      <c r="Y52" s="15" t="n">
        <f aca="false">X52*5</f>
        <v>345</v>
      </c>
      <c r="Z52" s="15" t="n">
        <f aca="false">STDEVA(C52:L52)</f>
        <v>3.74165738677394</v>
      </c>
      <c r="AA52" s="7"/>
    </row>
    <row r="53" customFormat="false" ht="16" hidden="false" customHeight="false" outlineLevel="0" collapsed="false">
      <c r="A53" s="13"/>
      <c r="B53" s="16" t="s">
        <v>33</v>
      </c>
      <c r="C53" s="11" t="n">
        <v>8</v>
      </c>
      <c r="D53" s="11"/>
      <c r="E53" s="11" t="n">
        <v>7</v>
      </c>
      <c r="F53" s="11"/>
      <c r="G53" s="11" t="n">
        <v>8</v>
      </c>
      <c r="H53" s="11"/>
      <c r="I53" s="11" t="n">
        <v>6</v>
      </c>
      <c r="J53" s="11"/>
      <c r="K53" s="11" t="n">
        <v>5</v>
      </c>
      <c r="L53" s="11"/>
      <c r="M53" s="6"/>
      <c r="N53" s="6"/>
      <c r="O53" s="6"/>
      <c r="P53" s="6"/>
      <c r="Q53" s="6"/>
      <c r="R53" s="6"/>
      <c r="S53" s="6"/>
      <c r="T53" s="6"/>
      <c r="U53" s="6"/>
      <c r="V53" s="6"/>
      <c r="W53" s="6"/>
      <c r="X53" s="16" t="n">
        <f aca="false">AVERAGE(C53:L53)</f>
        <v>6.8</v>
      </c>
      <c r="Y53" s="16" t="n">
        <f aca="false">X53*5</f>
        <v>34</v>
      </c>
      <c r="Z53" s="16" t="n">
        <f aca="false">STDEVA(C53:L53)</f>
        <v>1.30384048104053</v>
      </c>
      <c r="AA53" s="7"/>
    </row>
    <row r="54" customFormat="false" ht="16" hidden="false" customHeight="false" outlineLevel="0" collapsed="false">
      <c r="A54" s="13"/>
      <c r="B54" s="8" t="s">
        <v>34</v>
      </c>
      <c r="C54" s="11" t="n">
        <v>-57.5</v>
      </c>
      <c r="D54" s="11"/>
      <c r="E54" s="11" t="n">
        <v>-57.4</v>
      </c>
      <c r="F54" s="11"/>
      <c r="G54" s="11" t="n">
        <v>-57.7</v>
      </c>
      <c r="H54" s="11"/>
      <c r="I54" s="11" t="n">
        <v>-58</v>
      </c>
      <c r="J54" s="11"/>
      <c r="K54" s="11" t="n">
        <v>-57.8</v>
      </c>
      <c r="L54" s="11"/>
      <c r="M54" s="6"/>
      <c r="N54" s="6"/>
      <c r="O54" s="6"/>
      <c r="P54" s="6"/>
      <c r="Q54" s="6"/>
      <c r="R54" s="6"/>
      <c r="S54" s="6"/>
      <c r="T54" s="6"/>
      <c r="U54" s="6"/>
      <c r="V54" s="6"/>
      <c r="W54" s="6"/>
      <c r="X54" s="17" t="n">
        <f aca="false">AVERAGE(C54:L54)</f>
        <v>-57.68</v>
      </c>
      <c r="Y54" s="17" t="s">
        <v>20</v>
      </c>
      <c r="Z54" s="17" t="n">
        <f aca="false">STDEVA(C54:L54)</f>
        <v>0.238746727726267</v>
      </c>
      <c r="AA54" s="7"/>
    </row>
    <row r="55" customFormat="false" ht="16" hidden="false" customHeight="false" outlineLevel="0" collapsed="false">
      <c r="A55" s="5"/>
      <c r="B55" s="6"/>
      <c r="C55" s="6"/>
      <c r="D55" s="6"/>
      <c r="E55" s="6"/>
      <c r="F55" s="6"/>
      <c r="G55" s="6"/>
      <c r="H55" s="6"/>
      <c r="I55" s="6"/>
      <c r="J55" s="6"/>
      <c r="K55" s="6"/>
      <c r="L55" s="6"/>
      <c r="M55" s="6"/>
      <c r="N55" s="6"/>
      <c r="O55" s="6"/>
      <c r="P55" s="6"/>
      <c r="Q55" s="6"/>
      <c r="R55" s="6"/>
      <c r="S55" s="6"/>
      <c r="T55" s="6"/>
      <c r="U55" s="6"/>
      <c r="V55" s="6"/>
      <c r="W55" s="6"/>
      <c r="X55" s="6"/>
      <c r="Y55" s="6"/>
      <c r="Z55" s="6"/>
      <c r="AA55" s="7"/>
    </row>
    <row r="56" customFormat="false" ht="16" hidden="false" customHeight="false" outlineLevel="0" collapsed="false">
      <c r="A56" s="12" t="s">
        <v>35</v>
      </c>
      <c r="B56" s="8" t="s">
        <v>2</v>
      </c>
      <c r="C56" s="10" t="s">
        <v>5</v>
      </c>
      <c r="D56" s="10" t="s">
        <v>40</v>
      </c>
      <c r="E56" s="10" t="s">
        <v>43</v>
      </c>
      <c r="F56" s="10" t="s">
        <v>46</v>
      </c>
      <c r="G56" s="10" t="s">
        <v>45</v>
      </c>
      <c r="H56" s="10" t="s">
        <v>44</v>
      </c>
      <c r="I56" s="10" t="s">
        <v>6</v>
      </c>
      <c r="J56" s="10" t="s">
        <v>46</v>
      </c>
      <c r="K56" s="10" t="s">
        <v>41</v>
      </c>
      <c r="L56" s="10" t="s">
        <v>43</v>
      </c>
      <c r="M56" s="10" t="s">
        <v>40</v>
      </c>
      <c r="N56" s="10" t="s">
        <v>42</v>
      </c>
      <c r="O56" s="10" t="s">
        <v>5</v>
      </c>
      <c r="P56" s="10" t="s">
        <v>45</v>
      </c>
      <c r="Q56" s="10" t="s">
        <v>39</v>
      </c>
      <c r="R56" s="10" t="s">
        <v>41</v>
      </c>
      <c r="S56" s="10" t="s">
        <v>6</v>
      </c>
      <c r="T56" s="10" t="s">
        <v>39</v>
      </c>
      <c r="U56" s="10" t="s">
        <v>42</v>
      </c>
      <c r="V56" s="10" t="s">
        <v>44</v>
      </c>
      <c r="W56" s="6"/>
      <c r="X56" s="8" t="s">
        <v>28</v>
      </c>
      <c r="Y56" s="8" t="s">
        <v>29</v>
      </c>
      <c r="Z56" s="8" t="s">
        <v>30</v>
      </c>
      <c r="AA56" s="7"/>
    </row>
    <row r="57" customFormat="false" ht="16" hidden="false" customHeight="false" outlineLevel="0" collapsed="false">
      <c r="A57" s="13"/>
      <c r="B57" s="14" t="s">
        <v>31</v>
      </c>
      <c r="C57" s="10" t="n">
        <v>1136</v>
      </c>
      <c r="D57" s="10" t="n">
        <v>1263</v>
      </c>
      <c r="E57" s="10" t="n">
        <v>1249</v>
      </c>
      <c r="F57" s="10" t="n">
        <v>1132</v>
      </c>
      <c r="G57" s="10" t="n">
        <v>1237</v>
      </c>
      <c r="H57" s="10" t="n">
        <v>1124</v>
      </c>
      <c r="I57" s="10" t="n">
        <v>1122</v>
      </c>
      <c r="J57" s="10" t="n">
        <v>1227</v>
      </c>
      <c r="K57" s="10" t="n">
        <v>1230</v>
      </c>
      <c r="L57" s="10" t="n">
        <v>1113</v>
      </c>
      <c r="M57" s="10" t="n">
        <v>1113</v>
      </c>
      <c r="N57" s="10" t="n">
        <v>1221</v>
      </c>
      <c r="O57" s="10" t="n">
        <v>1220</v>
      </c>
      <c r="P57" s="10" t="n">
        <v>1107</v>
      </c>
      <c r="Q57" s="10" t="n">
        <v>1219</v>
      </c>
      <c r="R57" s="10" t="n">
        <v>1105</v>
      </c>
      <c r="S57" s="10" t="n">
        <v>1209</v>
      </c>
      <c r="T57" s="10" t="n">
        <v>1107</v>
      </c>
      <c r="U57" s="10" t="n">
        <v>1101</v>
      </c>
      <c r="V57" s="10" t="n">
        <v>1211</v>
      </c>
      <c r="W57" s="6"/>
      <c r="X57" s="14" t="n">
        <f aca="false">AVERAGE(C57:L57)</f>
        <v>1183.3</v>
      </c>
      <c r="Y57" s="14" t="n">
        <f aca="false">X57*5</f>
        <v>5916.5</v>
      </c>
      <c r="Z57" s="14" t="n">
        <f aca="false">STDEVA(C57:L57)</f>
        <v>62.1182563967935</v>
      </c>
      <c r="AA57" s="7"/>
    </row>
    <row r="58" customFormat="false" ht="16" hidden="false" customHeight="false" outlineLevel="0" collapsed="false">
      <c r="A58" s="13"/>
      <c r="B58" s="15" t="s">
        <v>32</v>
      </c>
      <c r="C58" s="11" t="n">
        <v>11</v>
      </c>
      <c r="D58" s="11"/>
      <c r="E58" s="11" t="n">
        <v>9</v>
      </c>
      <c r="F58" s="11"/>
      <c r="G58" s="11" t="n">
        <v>11</v>
      </c>
      <c r="H58" s="11"/>
      <c r="I58" s="11" t="n">
        <v>11</v>
      </c>
      <c r="J58" s="11"/>
      <c r="K58" s="11" t="n">
        <v>10</v>
      </c>
      <c r="L58" s="11"/>
      <c r="M58" s="11" t="n">
        <v>8</v>
      </c>
      <c r="N58" s="11"/>
      <c r="O58" s="11" t="n">
        <v>8</v>
      </c>
      <c r="P58" s="11"/>
      <c r="Q58" s="11" t="n">
        <v>10</v>
      </c>
      <c r="R58" s="11"/>
      <c r="S58" s="11" t="n">
        <v>11</v>
      </c>
      <c r="T58" s="11"/>
      <c r="U58" s="11" t="n">
        <v>11</v>
      </c>
      <c r="V58" s="11"/>
      <c r="W58" s="6"/>
      <c r="X58" s="15" t="n">
        <f aca="false">AVERAGE(C58:L58)</f>
        <v>10.4</v>
      </c>
      <c r="Y58" s="15" t="n">
        <f aca="false">X58*5</f>
        <v>52</v>
      </c>
      <c r="Z58" s="15" t="n">
        <f aca="false">STDEVA(C58:L58)</f>
        <v>0.894427190999916</v>
      </c>
      <c r="AA58" s="7"/>
    </row>
    <row r="59" customFormat="false" ht="16" hidden="false" customHeight="false" outlineLevel="0" collapsed="false">
      <c r="A59" s="13"/>
      <c r="B59" s="16" t="s">
        <v>33</v>
      </c>
      <c r="C59" s="11" t="n">
        <v>14</v>
      </c>
      <c r="D59" s="11"/>
      <c r="E59" s="11" t="n">
        <v>13</v>
      </c>
      <c r="F59" s="11"/>
      <c r="G59" s="11" t="n">
        <v>13</v>
      </c>
      <c r="H59" s="11"/>
      <c r="I59" s="11" t="n">
        <v>12</v>
      </c>
      <c r="J59" s="11"/>
      <c r="K59" s="11" t="n">
        <v>13</v>
      </c>
      <c r="L59" s="11"/>
      <c r="M59" s="11" t="n">
        <v>12</v>
      </c>
      <c r="N59" s="11"/>
      <c r="O59" s="11" t="n">
        <v>12</v>
      </c>
      <c r="P59" s="11"/>
      <c r="Q59" s="11" t="n">
        <v>10</v>
      </c>
      <c r="R59" s="11"/>
      <c r="S59" s="11" t="n">
        <v>13</v>
      </c>
      <c r="T59" s="11"/>
      <c r="U59" s="11" t="n">
        <v>11</v>
      </c>
      <c r="V59" s="11"/>
      <c r="W59" s="6"/>
      <c r="X59" s="16" t="n">
        <f aca="false">AVERAGE(C59:L59)</f>
        <v>13</v>
      </c>
      <c r="Y59" s="16" t="n">
        <f aca="false">X59*5</f>
        <v>65</v>
      </c>
      <c r="Z59" s="16" t="n">
        <f aca="false">STDEVA(C59:L59)</f>
        <v>0.707106781186548</v>
      </c>
      <c r="AA59" s="7"/>
    </row>
    <row r="60" customFormat="false" ht="16" hidden="false" customHeight="false" outlineLevel="0" collapsed="false">
      <c r="A60" s="13"/>
      <c r="B60" s="8" t="s">
        <v>34</v>
      </c>
      <c r="C60" s="11" t="n">
        <v>-6.6</v>
      </c>
      <c r="D60" s="11"/>
      <c r="E60" s="11" t="n">
        <v>-6.4</v>
      </c>
      <c r="F60" s="11"/>
      <c r="G60" s="11" t="n">
        <v>-6.5</v>
      </c>
      <c r="H60" s="11"/>
      <c r="I60" s="11" t="n">
        <v>-4.9</v>
      </c>
      <c r="J60" s="11"/>
      <c r="K60" s="11" t="n">
        <v>-4.9</v>
      </c>
      <c r="L60" s="11"/>
      <c r="M60" s="11" t="n">
        <v>-5</v>
      </c>
      <c r="N60" s="11"/>
      <c r="O60" s="11" t="n">
        <v>-5</v>
      </c>
      <c r="P60" s="11"/>
      <c r="Q60" s="11" t="n">
        <v>-6.4</v>
      </c>
      <c r="R60" s="11"/>
      <c r="S60" s="11" t="n">
        <v>-6.4</v>
      </c>
      <c r="T60" s="11"/>
      <c r="U60" s="11" t="n">
        <v>-4.9</v>
      </c>
      <c r="V60" s="11"/>
      <c r="W60" s="6"/>
      <c r="X60" s="17" t="n">
        <f aca="false">AVERAGE(C60:L60)</f>
        <v>-5.86</v>
      </c>
      <c r="Y60" s="17" t="s">
        <v>20</v>
      </c>
      <c r="Z60" s="17" t="n">
        <f aca="false">STDEVA(C60:L60)</f>
        <v>0.879204185613341</v>
      </c>
      <c r="AA60" s="7"/>
    </row>
    <row r="61" customFormat="false" ht="16" hidden="false" customHeight="false" outlineLevel="0" collapsed="false">
      <c r="A61" s="5"/>
      <c r="B61" s="6"/>
      <c r="C61" s="6"/>
      <c r="D61" s="6"/>
      <c r="E61" s="6"/>
      <c r="F61" s="6"/>
      <c r="G61" s="6"/>
      <c r="H61" s="6"/>
      <c r="I61" s="6"/>
      <c r="J61" s="6"/>
      <c r="K61" s="6"/>
      <c r="L61" s="6"/>
      <c r="M61" s="6"/>
      <c r="N61" s="6"/>
      <c r="O61" s="6"/>
      <c r="P61" s="6"/>
      <c r="Q61" s="6"/>
      <c r="R61" s="6"/>
      <c r="S61" s="6"/>
      <c r="T61" s="6"/>
      <c r="U61" s="6"/>
      <c r="V61" s="6"/>
      <c r="W61" s="6"/>
      <c r="X61" s="6"/>
      <c r="Y61" s="6"/>
      <c r="Z61" s="6"/>
      <c r="AA61" s="7"/>
    </row>
    <row r="62" customFormat="false" ht="16" hidden="false" customHeight="false" outlineLevel="0" collapsed="false">
      <c r="A62" s="5"/>
      <c r="B62" s="6"/>
      <c r="C62" s="6"/>
      <c r="D62" s="6"/>
      <c r="E62" s="6"/>
      <c r="F62" s="6"/>
      <c r="G62" s="6"/>
      <c r="H62" s="6"/>
      <c r="I62" s="6"/>
      <c r="J62" s="6"/>
      <c r="K62" s="6"/>
      <c r="L62" s="6"/>
      <c r="M62" s="6"/>
      <c r="N62" s="6"/>
      <c r="O62" s="6"/>
      <c r="P62" s="6"/>
      <c r="Q62" s="6"/>
      <c r="R62" s="6"/>
      <c r="S62" s="6"/>
      <c r="T62" s="6"/>
      <c r="U62" s="6"/>
      <c r="V62" s="6"/>
      <c r="W62" s="6"/>
      <c r="X62" s="6"/>
      <c r="Y62" s="6"/>
      <c r="Z62" s="6"/>
      <c r="AA62" s="7"/>
    </row>
    <row r="63" customFormat="false" ht="16" hidden="false" customHeight="false" outlineLevel="0" collapsed="false">
      <c r="A63" s="12" t="s">
        <v>37</v>
      </c>
      <c r="B63" s="8" t="s">
        <v>2</v>
      </c>
      <c r="C63" s="10" t="s">
        <v>6</v>
      </c>
      <c r="D63" s="10" t="s">
        <v>40</v>
      </c>
      <c r="E63" s="10" t="s">
        <v>5</v>
      </c>
      <c r="F63" s="10" t="s">
        <v>46</v>
      </c>
      <c r="G63" s="10" t="s">
        <v>39</v>
      </c>
      <c r="H63" s="10" t="s">
        <v>42</v>
      </c>
      <c r="I63" s="10" t="s">
        <v>41</v>
      </c>
      <c r="J63" s="10" t="s">
        <v>44</v>
      </c>
      <c r="K63" s="10" t="s">
        <v>43</v>
      </c>
      <c r="L63" s="10" t="s">
        <v>45</v>
      </c>
      <c r="M63" s="6"/>
      <c r="N63" s="6"/>
      <c r="O63" s="6"/>
      <c r="P63" s="6"/>
      <c r="Q63" s="6"/>
      <c r="R63" s="6"/>
      <c r="S63" s="6"/>
      <c r="T63" s="6"/>
      <c r="U63" s="6"/>
      <c r="V63" s="6"/>
      <c r="W63" s="6"/>
      <c r="X63" s="8" t="s">
        <v>28</v>
      </c>
      <c r="Y63" s="8" t="s">
        <v>29</v>
      </c>
      <c r="Z63" s="8" t="s">
        <v>30</v>
      </c>
      <c r="AA63" s="7"/>
    </row>
    <row r="64" customFormat="false" ht="16" hidden="false" customHeight="false" outlineLevel="0" collapsed="false">
      <c r="A64" s="13"/>
      <c r="B64" s="14" t="s">
        <v>31</v>
      </c>
      <c r="C64" s="10" t="n">
        <v>204</v>
      </c>
      <c r="D64" s="10" t="n">
        <v>206</v>
      </c>
      <c r="E64" s="10" t="n">
        <v>202</v>
      </c>
      <c r="F64" s="10" t="n">
        <v>200</v>
      </c>
      <c r="G64" s="10" t="n">
        <v>197</v>
      </c>
      <c r="H64" s="10" t="n">
        <v>195</v>
      </c>
      <c r="I64" s="10" t="n">
        <v>194</v>
      </c>
      <c r="J64" s="10" t="n">
        <v>195</v>
      </c>
      <c r="K64" s="10" t="n">
        <v>192</v>
      </c>
      <c r="L64" s="10" t="n">
        <v>191</v>
      </c>
      <c r="M64" s="6"/>
      <c r="N64" s="6"/>
      <c r="O64" s="6"/>
      <c r="P64" s="6"/>
      <c r="Q64" s="6"/>
      <c r="R64" s="6"/>
      <c r="S64" s="6"/>
      <c r="T64" s="6"/>
      <c r="U64" s="6"/>
      <c r="V64" s="6"/>
      <c r="W64" s="6"/>
      <c r="X64" s="14" t="n">
        <f aca="false">AVERAGE(C64:L64)</f>
        <v>197.6</v>
      </c>
      <c r="Y64" s="14" t="n">
        <f aca="false">X64*5</f>
        <v>988</v>
      </c>
      <c r="Z64" s="14" t="n">
        <f aca="false">STDEVA(C64:L64)</f>
        <v>5.14673575083168</v>
      </c>
      <c r="AA64" s="7"/>
    </row>
    <row r="65" customFormat="false" ht="16" hidden="false" customHeight="false" outlineLevel="0" collapsed="false">
      <c r="A65" s="13"/>
      <c r="B65" s="15" t="s">
        <v>32</v>
      </c>
      <c r="C65" s="11" t="n">
        <v>0</v>
      </c>
      <c r="D65" s="11"/>
      <c r="E65" s="11" t="n">
        <v>0</v>
      </c>
      <c r="F65" s="11"/>
      <c r="G65" s="11" t="n">
        <v>0</v>
      </c>
      <c r="H65" s="11"/>
      <c r="I65" s="11" t="n">
        <v>0</v>
      </c>
      <c r="J65" s="11"/>
      <c r="K65" s="11" t="n">
        <v>0</v>
      </c>
      <c r="L65" s="11"/>
      <c r="M65" s="6"/>
      <c r="N65" s="6"/>
      <c r="O65" s="6"/>
      <c r="P65" s="6"/>
      <c r="Q65" s="6"/>
      <c r="R65" s="6"/>
      <c r="S65" s="6"/>
      <c r="T65" s="6"/>
      <c r="U65" s="6"/>
      <c r="V65" s="6"/>
      <c r="W65" s="6"/>
      <c r="X65" s="15" t="n">
        <f aca="false">AVERAGE(C65:L65)</f>
        <v>0</v>
      </c>
      <c r="Y65" s="15" t="n">
        <f aca="false">X65*5</f>
        <v>0</v>
      </c>
      <c r="Z65" s="15" t="n">
        <f aca="false">STDEVA(C65:L65)</f>
        <v>0</v>
      </c>
      <c r="AA65" s="7"/>
    </row>
    <row r="66" s="6" customFormat="true" ht="16" hidden="false" customHeight="false" outlineLevel="0" collapsed="false">
      <c r="A66" s="13"/>
      <c r="B66" s="16" t="s">
        <v>33</v>
      </c>
      <c r="C66" s="11" t="n">
        <v>0</v>
      </c>
      <c r="D66" s="11"/>
      <c r="E66" s="11" t="n">
        <v>0</v>
      </c>
      <c r="F66" s="11"/>
      <c r="G66" s="11" t="n">
        <v>0</v>
      </c>
      <c r="H66" s="11"/>
      <c r="I66" s="11" t="n">
        <v>0</v>
      </c>
      <c r="J66" s="11"/>
      <c r="K66" s="11" t="n">
        <v>0</v>
      </c>
      <c r="L66" s="11"/>
      <c r="X66" s="16" t="n">
        <f aca="false">AVERAGE(C66:L66)</f>
        <v>0</v>
      </c>
      <c r="Y66" s="16" t="n">
        <f aca="false">X66*5</f>
        <v>0</v>
      </c>
      <c r="Z66" s="16" t="n">
        <f aca="false">STDEVA(C66:L66)</f>
        <v>0</v>
      </c>
      <c r="AA66" s="7"/>
    </row>
    <row r="67" customFormat="false" ht="16" hidden="false" customHeight="false" outlineLevel="0" collapsed="false">
      <c r="A67" s="13"/>
      <c r="B67" s="8" t="s">
        <v>34</v>
      </c>
      <c r="C67" s="11" t="n">
        <v>-4.2</v>
      </c>
      <c r="D67" s="11"/>
      <c r="E67" s="11" t="n">
        <v>-4.1</v>
      </c>
      <c r="F67" s="11"/>
      <c r="G67" s="11" t="n">
        <v>-3.9</v>
      </c>
      <c r="H67" s="11"/>
      <c r="I67" s="11" t="n">
        <v>-3.8</v>
      </c>
      <c r="J67" s="11"/>
      <c r="K67" s="11" t="n">
        <v>-3.9</v>
      </c>
      <c r="L67" s="11"/>
      <c r="M67" s="6"/>
      <c r="N67" s="6"/>
      <c r="O67" s="6"/>
      <c r="P67" s="6"/>
      <c r="Q67" s="6"/>
      <c r="R67" s="6"/>
      <c r="S67" s="6"/>
      <c r="T67" s="6"/>
      <c r="U67" s="6"/>
      <c r="V67" s="6"/>
      <c r="W67" s="6"/>
      <c r="X67" s="17" t="n">
        <f aca="false">AVERAGE(C67:L67)</f>
        <v>-3.98</v>
      </c>
      <c r="Y67" s="17" t="s">
        <v>20</v>
      </c>
      <c r="Z67" s="17" t="n">
        <f aca="false">STDEVA(C67:L67)</f>
        <v>0.16431676725155</v>
      </c>
      <c r="AA67" s="7"/>
    </row>
    <row r="68" customFormat="false" ht="16" hidden="false" customHeight="false" outlineLevel="0" collapsed="false">
      <c r="A68" s="5"/>
      <c r="B68" s="6"/>
      <c r="C68" s="6"/>
      <c r="D68" s="6"/>
      <c r="E68" s="6"/>
      <c r="F68" s="6"/>
      <c r="G68" s="6"/>
      <c r="H68" s="6"/>
      <c r="I68" s="6"/>
      <c r="J68" s="6"/>
      <c r="K68" s="6"/>
      <c r="L68" s="6"/>
      <c r="M68" s="6"/>
      <c r="N68" s="6"/>
      <c r="O68" s="6"/>
      <c r="P68" s="6"/>
      <c r="Q68" s="6"/>
      <c r="R68" s="6"/>
      <c r="S68" s="6"/>
      <c r="T68" s="6"/>
      <c r="U68" s="6"/>
      <c r="V68" s="6"/>
      <c r="W68" s="6"/>
      <c r="X68" s="6"/>
      <c r="Y68" s="6"/>
      <c r="Z68" s="6"/>
      <c r="AA68" s="7"/>
    </row>
    <row r="69" customFormat="false" ht="16" hidden="false" customHeight="false" outlineLevel="0" collapsed="false">
      <c r="A69" s="12" t="s">
        <v>49</v>
      </c>
      <c r="B69" s="8" t="s">
        <v>2</v>
      </c>
      <c r="C69" s="10" t="s">
        <v>41</v>
      </c>
      <c r="D69" s="10" t="s">
        <v>3</v>
      </c>
      <c r="E69" s="10" t="s">
        <v>46</v>
      </c>
      <c r="F69" s="10" t="s">
        <v>7</v>
      </c>
      <c r="G69" s="10" t="s">
        <v>43</v>
      </c>
      <c r="H69" s="10" t="s">
        <v>10</v>
      </c>
      <c r="I69" s="10" t="s">
        <v>50</v>
      </c>
      <c r="J69" s="10" t="s">
        <v>6</v>
      </c>
      <c r="K69" s="10" t="s">
        <v>51</v>
      </c>
      <c r="L69" s="10" t="s">
        <v>4</v>
      </c>
      <c r="M69" s="6"/>
      <c r="N69" s="6"/>
      <c r="O69" s="6"/>
      <c r="P69" s="6"/>
      <c r="Q69" s="6"/>
      <c r="R69" s="6"/>
      <c r="S69" s="6"/>
      <c r="T69" s="6"/>
      <c r="U69" s="6"/>
      <c r="V69" s="6"/>
      <c r="W69" s="6"/>
      <c r="X69" s="8" t="s">
        <v>28</v>
      </c>
      <c r="Y69" s="8" t="s">
        <v>29</v>
      </c>
      <c r="Z69" s="8" t="s">
        <v>30</v>
      </c>
      <c r="AA69" s="7"/>
    </row>
    <row r="70" customFormat="false" ht="16" hidden="false" customHeight="false" outlineLevel="0" collapsed="false">
      <c r="A70" s="13"/>
      <c r="B70" s="14" t="s">
        <v>31</v>
      </c>
      <c r="C70" s="10" t="n">
        <v>325</v>
      </c>
      <c r="D70" s="10" t="n">
        <v>325</v>
      </c>
      <c r="E70" s="10" t="n">
        <v>320</v>
      </c>
      <c r="F70" s="10" t="n">
        <v>324</v>
      </c>
      <c r="G70" s="10" t="n">
        <v>322</v>
      </c>
      <c r="H70" s="10" t="n">
        <v>320</v>
      </c>
      <c r="I70" s="10" t="n">
        <v>321</v>
      </c>
      <c r="J70" s="10" t="n">
        <v>321</v>
      </c>
      <c r="K70" s="10" t="n">
        <v>320</v>
      </c>
      <c r="L70" s="10" t="n">
        <v>320</v>
      </c>
      <c r="M70" s="6"/>
      <c r="N70" s="6"/>
      <c r="O70" s="6"/>
      <c r="P70" s="6"/>
      <c r="Q70" s="6"/>
      <c r="R70" s="6"/>
      <c r="S70" s="6"/>
      <c r="T70" s="6"/>
      <c r="U70" s="6"/>
      <c r="V70" s="6"/>
      <c r="W70" s="6"/>
      <c r="X70" s="14" t="n">
        <f aca="false">AVERAGE(C70:L70)</f>
        <v>321.8</v>
      </c>
      <c r="Y70" s="14" t="n">
        <f aca="false">X70*5</f>
        <v>1609</v>
      </c>
      <c r="Z70" s="14" t="n">
        <f aca="false">STDEVA(C70:L70)</f>
        <v>2.0976176963403</v>
      </c>
      <c r="AA70" s="7"/>
    </row>
    <row r="71" customFormat="false" ht="16" hidden="false" customHeight="false" outlineLevel="0" collapsed="false">
      <c r="A71" s="13"/>
      <c r="B71" s="15" t="s">
        <v>32</v>
      </c>
      <c r="C71" s="11" t="n">
        <v>0</v>
      </c>
      <c r="D71" s="11"/>
      <c r="E71" s="11" t="n">
        <v>2</v>
      </c>
      <c r="F71" s="11"/>
      <c r="G71" s="11" t="n">
        <v>0</v>
      </c>
      <c r="H71" s="11"/>
      <c r="I71" s="11" t="n">
        <v>0</v>
      </c>
      <c r="J71" s="11"/>
      <c r="K71" s="11" t="n">
        <v>0</v>
      </c>
      <c r="L71" s="11"/>
      <c r="M71" s="6"/>
      <c r="N71" s="6"/>
      <c r="O71" s="6"/>
      <c r="P71" s="6"/>
      <c r="Q71" s="6"/>
      <c r="R71" s="6"/>
      <c r="S71" s="6"/>
      <c r="T71" s="6"/>
      <c r="U71" s="6"/>
      <c r="V71" s="6"/>
      <c r="W71" s="6"/>
      <c r="X71" s="15" t="n">
        <f aca="false">AVERAGE(C71:L71)</f>
        <v>0.4</v>
      </c>
      <c r="Y71" s="15" t="n">
        <f aca="false">X71*5</f>
        <v>2</v>
      </c>
      <c r="Z71" s="15" t="n">
        <f aca="false">STDEVA(C71:L71)</f>
        <v>0.894427190999916</v>
      </c>
      <c r="AA71" s="7"/>
    </row>
    <row r="72" customFormat="false" ht="16" hidden="false" customHeight="false" outlineLevel="0" collapsed="false">
      <c r="A72" s="13"/>
      <c r="B72" s="16" t="s">
        <v>33</v>
      </c>
      <c r="C72" s="11" t="n">
        <v>4</v>
      </c>
      <c r="D72" s="11"/>
      <c r="E72" s="11" t="n">
        <v>4</v>
      </c>
      <c r="F72" s="11"/>
      <c r="G72" s="11" t="n">
        <v>4</v>
      </c>
      <c r="H72" s="11"/>
      <c r="I72" s="11" t="n">
        <v>4</v>
      </c>
      <c r="J72" s="11"/>
      <c r="K72" s="11" t="n">
        <v>4</v>
      </c>
      <c r="L72" s="11"/>
      <c r="M72" s="6"/>
      <c r="N72" s="6"/>
      <c r="O72" s="6"/>
      <c r="P72" s="6"/>
      <c r="Q72" s="6"/>
      <c r="R72" s="6"/>
      <c r="S72" s="6"/>
      <c r="T72" s="6"/>
      <c r="U72" s="6"/>
      <c r="V72" s="6"/>
      <c r="W72" s="6"/>
      <c r="X72" s="16" t="n">
        <f aca="false">AVERAGE(C72:L72)</f>
        <v>4</v>
      </c>
      <c r="Y72" s="16" t="n">
        <f aca="false">X72*5</f>
        <v>20</v>
      </c>
      <c r="Z72" s="16" t="n">
        <f aca="false">STDEVA(C72:L72)</f>
        <v>0</v>
      </c>
      <c r="AA72" s="7"/>
    </row>
    <row r="73" customFormat="false" ht="16" hidden="false" customHeight="false" outlineLevel="0" collapsed="false">
      <c r="A73" s="13"/>
      <c r="B73" s="8" t="s">
        <v>34</v>
      </c>
      <c r="C73" s="11" t="n">
        <v>0.6</v>
      </c>
      <c r="D73" s="11"/>
      <c r="E73" s="11" t="n">
        <v>0.8</v>
      </c>
      <c r="F73" s="11"/>
      <c r="G73" s="11" t="n">
        <v>0.6</v>
      </c>
      <c r="H73" s="11"/>
      <c r="I73" s="11" t="n">
        <v>0.6</v>
      </c>
      <c r="J73" s="11"/>
      <c r="K73" s="11" t="n">
        <v>0.6</v>
      </c>
      <c r="L73" s="11"/>
      <c r="M73" s="6"/>
      <c r="N73" s="6"/>
      <c r="O73" s="6"/>
      <c r="P73" s="6"/>
      <c r="Q73" s="6"/>
      <c r="R73" s="6"/>
      <c r="S73" s="6"/>
      <c r="T73" s="6"/>
      <c r="U73" s="6"/>
      <c r="V73" s="6"/>
      <c r="W73" s="22"/>
      <c r="X73" s="17" t="n">
        <f aca="false">AVERAGE(C73:L73)</f>
        <v>0.64</v>
      </c>
      <c r="Y73" s="17" t="s">
        <v>20</v>
      </c>
      <c r="Z73" s="17" t="n">
        <f aca="false">STDEVA(C73:L73)</f>
        <v>0.0894427190999904</v>
      </c>
      <c r="AA73" s="23"/>
      <c r="AB73" s="24"/>
      <c r="AC73" s="24"/>
      <c r="AD73" s="24"/>
      <c r="AE73" s="24"/>
      <c r="AF73" s="24"/>
    </row>
    <row r="74" customFormat="false" ht="16" hidden="false" customHeight="false" outlineLevel="0" collapsed="false">
      <c r="A74" s="25"/>
      <c r="B74" s="20"/>
      <c r="C74" s="26"/>
      <c r="D74" s="26"/>
      <c r="E74" s="26"/>
      <c r="F74" s="26"/>
      <c r="G74" s="26"/>
      <c r="H74" s="26"/>
      <c r="I74" s="26"/>
      <c r="J74" s="26"/>
      <c r="K74" s="26"/>
      <c r="L74" s="26"/>
      <c r="M74" s="20"/>
      <c r="N74" s="20"/>
      <c r="O74" s="20"/>
      <c r="P74" s="20"/>
      <c r="Q74" s="20"/>
      <c r="R74" s="20"/>
      <c r="S74" s="20"/>
      <c r="T74" s="20"/>
      <c r="U74" s="20"/>
      <c r="V74" s="20"/>
      <c r="W74" s="26"/>
      <c r="X74" s="20"/>
      <c r="Y74" s="20"/>
      <c r="Z74" s="20"/>
      <c r="AA74" s="27"/>
      <c r="AB74" s="24"/>
      <c r="AC74" s="24"/>
      <c r="AD74" s="24"/>
      <c r="AE74" s="24"/>
      <c r="AF74" s="24"/>
    </row>
    <row r="75" customFormat="false" ht="16" hidden="false" customHeight="false" outlineLevel="0" collapsed="false">
      <c r="A75" s="6"/>
      <c r="B75" s="6"/>
      <c r="C75" s="22"/>
      <c r="D75" s="22"/>
      <c r="E75" s="22"/>
      <c r="F75" s="22"/>
      <c r="G75" s="22"/>
      <c r="H75" s="22"/>
      <c r="I75" s="22"/>
      <c r="J75" s="22"/>
      <c r="K75" s="22"/>
      <c r="L75" s="22"/>
      <c r="M75" s="6"/>
      <c r="N75" s="6"/>
      <c r="O75" s="6"/>
      <c r="P75" s="6"/>
      <c r="Q75" s="6"/>
      <c r="R75" s="6"/>
      <c r="S75" s="6"/>
      <c r="T75" s="6"/>
      <c r="U75" s="6"/>
      <c r="V75" s="6"/>
      <c r="W75" s="24"/>
      <c r="X75" s="6"/>
      <c r="Y75" s="6"/>
      <c r="Z75" s="6"/>
      <c r="AA75" s="24"/>
      <c r="AB75" s="24"/>
      <c r="AC75" s="24"/>
      <c r="AD75" s="24"/>
      <c r="AE75" s="24"/>
      <c r="AF75" s="24"/>
    </row>
    <row r="76" customFormat="false" ht="16" hidden="false" customHeight="false" outlineLevel="0" collapsed="false">
      <c r="A76" s="6"/>
      <c r="B76" s="6"/>
      <c r="C76" s="22"/>
      <c r="D76" s="22"/>
      <c r="E76" s="22"/>
      <c r="F76" s="22"/>
      <c r="G76" s="22"/>
      <c r="H76" s="22"/>
      <c r="I76" s="22"/>
      <c r="J76" s="22"/>
      <c r="K76" s="22"/>
      <c r="L76" s="22"/>
      <c r="M76" s="6"/>
      <c r="N76" s="6"/>
      <c r="O76" s="6"/>
      <c r="P76" s="6"/>
      <c r="Q76" s="6"/>
      <c r="R76" s="6"/>
      <c r="S76" s="6"/>
      <c r="T76" s="6"/>
      <c r="U76" s="6"/>
      <c r="V76" s="6"/>
      <c r="W76" s="24"/>
      <c r="X76" s="6"/>
      <c r="Y76" s="6"/>
      <c r="Z76" s="6"/>
      <c r="AA76" s="24"/>
      <c r="AB76" s="24"/>
      <c r="AC76" s="24"/>
      <c r="AD76" s="24"/>
      <c r="AE76" s="24"/>
      <c r="AF76" s="24"/>
    </row>
    <row r="78" customFormat="false" ht="16" hidden="false" customHeight="false" outlineLevel="0" collapsed="false">
      <c r="A78" s="2" t="s">
        <v>52</v>
      </c>
      <c r="B78" s="3"/>
      <c r="C78" s="3"/>
      <c r="D78" s="3"/>
      <c r="E78" s="3"/>
      <c r="F78" s="3"/>
      <c r="G78" s="3"/>
      <c r="H78" s="3"/>
      <c r="I78" s="3"/>
      <c r="J78" s="3"/>
      <c r="K78" s="3"/>
      <c r="L78" s="3"/>
      <c r="M78" s="3"/>
      <c r="N78" s="3"/>
      <c r="O78" s="3"/>
      <c r="P78" s="3"/>
      <c r="Q78" s="3"/>
      <c r="R78" s="3"/>
      <c r="S78" s="3"/>
      <c r="T78" s="3"/>
      <c r="U78" s="3"/>
      <c r="V78" s="3"/>
      <c r="W78" s="3"/>
      <c r="X78" s="3"/>
      <c r="Y78" s="3"/>
      <c r="Z78" s="3"/>
      <c r="AA78" s="4"/>
    </row>
    <row r="79" customFormat="false" ht="16" hidden="false" customHeight="false" outlineLevel="0" collapsed="false">
      <c r="A79" s="5"/>
      <c r="B79" s="6"/>
      <c r="C79" s="6"/>
      <c r="D79" s="6"/>
      <c r="E79" s="6"/>
      <c r="F79" s="6"/>
      <c r="G79" s="6"/>
      <c r="H79" s="6"/>
      <c r="I79" s="6"/>
      <c r="J79" s="6"/>
      <c r="K79" s="6" t="s">
        <v>20</v>
      </c>
      <c r="L79" s="6"/>
      <c r="M79" s="6"/>
      <c r="N79" s="6"/>
      <c r="O79" s="6"/>
      <c r="P79" s="6"/>
      <c r="Q79" s="6"/>
      <c r="R79" s="6"/>
      <c r="S79" s="6"/>
      <c r="T79" s="6"/>
      <c r="U79" s="6"/>
      <c r="V79" s="6"/>
      <c r="W79" s="6"/>
      <c r="X79" s="6"/>
      <c r="Y79" s="6"/>
      <c r="Z79" s="6"/>
      <c r="AA79" s="7"/>
    </row>
    <row r="80" customFormat="false" ht="68" hidden="false" customHeight="false" outlineLevel="0" collapsed="false">
      <c r="A80" s="5"/>
      <c r="B80" s="8" t="s">
        <v>2</v>
      </c>
      <c r="C80" s="8" t="s">
        <v>6</v>
      </c>
      <c r="D80" s="8" t="s">
        <v>3</v>
      </c>
      <c r="E80" s="8" t="s">
        <v>11</v>
      </c>
      <c r="F80" s="8" t="s">
        <v>9</v>
      </c>
      <c r="G80" s="8" t="s">
        <v>5</v>
      </c>
      <c r="H80" s="8" t="s">
        <v>4</v>
      </c>
      <c r="I80" s="8" t="s">
        <v>12</v>
      </c>
      <c r="J80" s="8" t="s">
        <v>7</v>
      </c>
      <c r="K80" s="8" t="s">
        <v>8</v>
      </c>
      <c r="L80" s="8" t="s">
        <v>10</v>
      </c>
      <c r="M80" s="6"/>
      <c r="N80" s="9" t="s">
        <v>13</v>
      </c>
      <c r="O80" s="9" t="s">
        <v>14</v>
      </c>
      <c r="P80" s="9" t="s">
        <v>15</v>
      </c>
      <c r="Q80" s="9" t="s">
        <v>16</v>
      </c>
      <c r="R80" s="6"/>
      <c r="S80" s="9" t="s">
        <v>53</v>
      </c>
      <c r="T80" s="9" t="s">
        <v>54</v>
      </c>
      <c r="U80" s="6"/>
      <c r="V80" s="6"/>
      <c r="W80" s="6"/>
      <c r="X80" s="6"/>
      <c r="Y80" s="6"/>
      <c r="Z80" s="6"/>
      <c r="AA80" s="7"/>
    </row>
    <row r="81" customFormat="false" ht="17" hidden="false" customHeight="false" outlineLevel="0" collapsed="false">
      <c r="A81" s="5"/>
      <c r="B81" s="9" t="s">
        <v>19</v>
      </c>
      <c r="C81" s="10" t="n">
        <v>32204</v>
      </c>
      <c r="D81" s="10" t="n">
        <v>32190</v>
      </c>
      <c r="E81" s="10" t="n">
        <v>32205</v>
      </c>
      <c r="F81" s="10" t="n">
        <v>32189</v>
      </c>
      <c r="G81" s="10" t="n">
        <v>32219</v>
      </c>
      <c r="H81" s="10" t="n">
        <v>32186</v>
      </c>
      <c r="I81" s="10" t="n">
        <v>32205</v>
      </c>
      <c r="J81" s="10" t="n">
        <v>32184</v>
      </c>
      <c r="K81" s="10" t="n">
        <v>32198</v>
      </c>
      <c r="L81" s="10" t="n">
        <v>32204</v>
      </c>
      <c r="M81" s="6"/>
      <c r="N81" s="10" t="n">
        <f aca="false">AVERAGE(C81:L81)</f>
        <v>32198.4</v>
      </c>
      <c r="O81" s="10" t="s">
        <v>20</v>
      </c>
      <c r="P81" s="10" t="n">
        <f aca="false">STDEVA(C81:L81)</f>
        <v>11.0272390016722</v>
      </c>
      <c r="Q81" s="10" t="n">
        <f aca="false">P81/N81*100</f>
        <v>0.034247785609447</v>
      </c>
      <c r="R81" s="6"/>
      <c r="S81" s="6"/>
      <c r="T81" s="6"/>
      <c r="U81" s="6"/>
      <c r="V81" s="6"/>
      <c r="W81" s="6"/>
      <c r="X81" s="6"/>
      <c r="Y81" s="6"/>
      <c r="Z81" s="6"/>
      <c r="AA81" s="7"/>
    </row>
    <row r="82" customFormat="false" ht="17" hidden="false" customHeight="false" outlineLevel="0" collapsed="false">
      <c r="A82" s="5"/>
      <c r="B82" s="9" t="s">
        <v>21</v>
      </c>
      <c r="C82" s="11" t="n">
        <v>54171</v>
      </c>
      <c r="D82" s="11"/>
      <c r="E82" s="11" t="n">
        <v>54194</v>
      </c>
      <c r="F82" s="11"/>
      <c r="G82" s="11" t="n">
        <v>54220</v>
      </c>
      <c r="H82" s="11"/>
      <c r="I82" s="11" t="n">
        <v>54218</v>
      </c>
      <c r="J82" s="11"/>
      <c r="K82" s="11" t="n">
        <v>54292</v>
      </c>
      <c r="L82" s="11"/>
      <c r="M82" s="6"/>
      <c r="N82" s="10" t="n">
        <f aca="false">AVERAGE(C82:L82)</f>
        <v>54219</v>
      </c>
      <c r="O82" s="10" t="s">
        <v>20</v>
      </c>
      <c r="P82" s="10" t="n">
        <f aca="false">STDEVA(C82:L82)</f>
        <v>45.4422710700071</v>
      </c>
      <c r="Q82" s="10" t="n">
        <f aca="false">P82/N82*100</f>
        <v>0.0838124477950664</v>
      </c>
      <c r="R82" s="6"/>
      <c r="S82" s="6"/>
      <c r="T82" s="6"/>
      <c r="U82" s="6"/>
      <c r="V82" s="6"/>
      <c r="W82" s="6"/>
      <c r="X82" s="6"/>
      <c r="Y82" s="6"/>
      <c r="Z82" s="6"/>
      <c r="AA82" s="7"/>
    </row>
    <row r="83" customFormat="false" ht="17" hidden="false" customHeight="false" outlineLevel="0" collapsed="false">
      <c r="A83" s="5"/>
      <c r="B83" s="9" t="s">
        <v>22</v>
      </c>
      <c r="C83" s="10" t="n">
        <v>5204</v>
      </c>
      <c r="D83" s="10" t="n">
        <v>5223</v>
      </c>
      <c r="E83" s="10" t="n">
        <v>5153</v>
      </c>
      <c r="F83" s="10" t="n">
        <v>5180</v>
      </c>
      <c r="G83" s="10" t="n">
        <v>5131</v>
      </c>
      <c r="H83" s="10" t="n">
        <v>5178</v>
      </c>
      <c r="I83" s="10" t="n">
        <v>5161</v>
      </c>
      <c r="J83" s="10" t="n">
        <v>5141</v>
      </c>
      <c r="K83" s="10" t="n">
        <v>5151</v>
      </c>
      <c r="L83" s="10" t="n">
        <v>5149</v>
      </c>
      <c r="M83" s="6"/>
      <c r="N83" s="10" t="n">
        <f aca="false">AVERAGE(C83:L83)</f>
        <v>5167.1</v>
      </c>
      <c r="O83" s="10" t="n">
        <f aca="false">N83/$N$81*100</f>
        <v>16.0476918107732</v>
      </c>
      <c r="P83" s="10" t="n">
        <f aca="false">STDEVA(C83:L83)</f>
        <v>29.0189593197275</v>
      </c>
      <c r="Q83" s="10" t="n">
        <f aca="false">P83/N83*100</f>
        <v>0.561610174367198</v>
      </c>
      <c r="R83" s="6"/>
      <c r="S83" s="10" t="n">
        <f aca="false">AVERAGE(C92:L92)</f>
        <v>57.4</v>
      </c>
      <c r="T83" s="10" t="n">
        <f aca="false">AVERAGE(C93:L93)</f>
        <v>8</v>
      </c>
      <c r="U83" s="6"/>
      <c r="V83" s="6"/>
      <c r="W83" s="6"/>
      <c r="X83" s="6"/>
      <c r="Y83" s="6"/>
      <c r="Z83" s="6"/>
      <c r="AA83" s="7"/>
    </row>
    <row r="84" customFormat="false" ht="34" hidden="false" customHeight="false" outlineLevel="0" collapsed="false">
      <c r="A84" s="5"/>
      <c r="B84" s="9" t="s">
        <v>23</v>
      </c>
      <c r="C84" s="10" t="n">
        <f aca="false">SUM(C97,U97)</f>
        <v>2412</v>
      </c>
      <c r="D84" s="10" t="n">
        <f aca="false">SUM(M97,T97)</f>
        <v>2397</v>
      </c>
      <c r="E84" s="10" t="n">
        <f aca="false">SUM(R97,K97)</f>
        <v>2402</v>
      </c>
      <c r="F84" s="10" t="n">
        <f aca="false">SUM(H97,F97)</f>
        <v>2440</v>
      </c>
      <c r="G84" s="10" t="n">
        <f aca="false">SUM(D97,O97)</f>
        <v>2434</v>
      </c>
      <c r="H84" s="10" t="n">
        <f aca="false">SUM(S97,J97)</f>
        <v>2409</v>
      </c>
      <c r="I84" s="10" t="n">
        <f aca="false">SUM(P97:Q97)</f>
        <v>2399</v>
      </c>
      <c r="J84" s="10" t="n">
        <f aca="false">SUM(G97,I97)</f>
        <v>2430</v>
      </c>
      <c r="K84" s="10" t="n">
        <f aca="false">SUM(L97,V97)</f>
        <v>2410</v>
      </c>
      <c r="L84" s="10" t="n">
        <f aca="false">SUM(E97,N97)</f>
        <v>2418</v>
      </c>
      <c r="M84" s="6"/>
      <c r="N84" s="10" t="n">
        <f aca="false">AVERAGE(C84:L84)</f>
        <v>2415.1</v>
      </c>
      <c r="O84" s="10" t="n">
        <f aca="false">N84/$N$81*100</f>
        <v>7.50068326376466</v>
      </c>
      <c r="P84" s="10" t="n">
        <f aca="false">STDEVA(C84:L84)</f>
        <v>15.0513934386303</v>
      </c>
      <c r="Q84" s="10" t="n">
        <f aca="false">P84/N84*100</f>
        <v>0.623220298895712</v>
      </c>
      <c r="R84" s="6"/>
      <c r="S84" s="10" t="n">
        <f aca="false">AVERAGE(C98:V98)</f>
        <v>7.9</v>
      </c>
      <c r="T84" s="10" t="n">
        <f aca="false">AVERAGE(C99:V99)</f>
        <v>9.4</v>
      </c>
      <c r="U84" s="6"/>
      <c r="V84" s="6"/>
      <c r="W84" s="6"/>
      <c r="X84" s="6"/>
      <c r="Y84" s="6"/>
      <c r="Z84" s="6"/>
      <c r="AA84" s="7"/>
    </row>
    <row r="85" customFormat="false" ht="17" hidden="false" customHeight="false" outlineLevel="0" collapsed="false">
      <c r="A85" s="5"/>
      <c r="B85" s="9" t="s">
        <v>24</v>
      </c>
      <c r="C85" s="10" t="n">
        <f aca="false">G103</f>
        <v>153</v>
      </c>
      <c r="D85" s="10" t="n">
        <f aca="false">J103</f>
        <v>154</v>
      </c>
      <c r="E85" s="10" t="n">
        <f aca="false">C103</f>
        <v>171</v>
      </c>
      <c r="F85" s="10" t="n">
        <f aca="false">F103</f>
        <v>161</v>
      </c>
      <c r="G85" s="10" t="n">
        <f aca="false">I103</f>
        <v>148</v>
      </c>
      <c r="H85" s="10" t="n">
        <f aca="false">L103</f>
        <v>149</v>
      </c>
      <c r="I85" s="10" t="n">
        <f aca="false">K103</f>
        <v>148</v>
      </c>
      <c r="J85" s="10" t="n">
        <f aca="false">D103</f>
        <v>170</v>
      </c>
      <c r="K85" s="10" t="n">
        <f aca="false">E103</f>
        <v>157</v>
      </c>
      <c r="L85" s="10" t="n">
        <f aca="false">H103</f>
        <v>153</v>
      </c>
      <c r="M85" s="6"/>
      <c r="N85" s="10" t="n">
        <f aca="false">AVERAGE(C85:L85)</f>
        <v>156.4</v>
      </c>
      <c r="O85" s="10" t="n">
        <f aca="false">N85/$N$81*100</f>
        <v>0.485738421784934</v>
      </c>
      <c r="P85" s="10" t="n">
        <f aca="false">STDEVA(C85:L85)</f>
        <v>8.46167832052247</v>
      </c>
      <c r="Q85" s="10" t="n">
        <f aca="false">P85/N85*100</f>
        <v>5.41028025608854</v>
      </c>
      <c r="R85" s="6"/>
      <c r="S85" s="6"/>
      <c r="T85" s="6"/>
      <c r="U85" s="6"/>
      <c r="V85" s="6"/>
      <c r="W85" s="6"/>
      <c r="X85" s="6"/>
      <c r="Y85" s="6"/>
      <c r="Z85" s="6"/>
      <c r="AA85" s="7"/>
    </row>
    <row r="86" customFormat="false" ht="17" hidden="false" customHeight="false" outlineLevel="0" collapsed="false">
      <c r="A86" s="5"/>
      <c r="B86" s="9" t="s">
        <v>25</v>
      </c>
      <c r="C86" s="10" t="n">
        <f aca="false">SUM(C84:C85)</f>
        <v>2565</v>
      </c>
      <c r="D86" s="10" t="n">
        <f aca="false">SUM(D84:D85)</f>
        <v>2551</v>
      </c>
      <c r="E86" s="10" t="n">
        <f aca="false">SUM(E84:E85)</f>
        <v>2573</v>
      </c>
      <c r="F86" s="10" t="n">
        <f aca="false">SUM(F84:F85)</f>
        <v>2601</v>
      </c>
      <c r="G86" s="10" t="n">
        <f aca="false">SUM(G84:G85)</f>
        <v>2582</v>
      </c>
      <c r="H86" s="10" t="n">
        <f aca="false">SUM(H84:H85)</f>
        <v>2558</v>
      </c>
      <c r="I86" s="10" t="n">
        <f aca="false">SUM(I84:I85)</f>
        <v>2547</v>
      </c>
      <c r="J86" s="10" t="n">
        <f aca="false">SUM(J84:J85)</f>
        <v>2600</v>
      </c>
      <c r="K86" s="10" t="n">
        <f aca="false">SUM(K84:K85)</f>
        <v>2567</v>
      </c>
      <c r="L86" s="10" t="n">
        <f aca="false">SUM(L84:L85)</f>
        <v>2571</v>
      </c>
      <c r="M86" s="6"/>
      <c r="N86" s="10" t="n">
        <f aca="false">AVERAGE(C86:L86)</f>
        <v>2571.5</v>
      </c>
      <c r="O86" s="10" t="n">
        <f aca="false">N86/$N$82*100</f>
        <v>4.74280233866357</v>
      </c>
      <c r="P86" s="10" t="n">
        <f aca="false">STDEVA(C86:L86)</f>
        <v>18.440595314565</v>
      </c>
      <c r="Q86" s="10" t="n">
        <f aca="false">P86/N86*100</f>
        <v>0.717114342390238</v>
      </c>
      <c r="R86" s="6"/>
      <c r="S86" s="6"/>
      <c r="T86" s="6"/>
      <c r="U86" s="6"/>
      <c r="V86" s="6"/>
      <c r="W86" s="6"/>
      <c r="X86" s="6"/>
      <c r="Y86" s="6"/>
      <c r="Z86" s="6"/>
      <c r="AA86" s="7"/>
    </row>
    <row r="87" customFormat="false" ht="17" hidden="false" customHeight="false" outlineLevel="0" collapsed="false">
      <c r="A87" s="5"/>
      <c r="B87" s="9" t="s">
        <v>26</v>
      </c>
      <c r="C87" s="10" t="n">
        <f aca="false">SUM(C83:C85)</f>
        <v>7769</v>
      </c>
      <c r="D87" s="10" t="n">
        <f aca="false">SUM(D83:D85)</f>
        <v>7774</v>
      </c>
      <c r="E87" s="10" t="n">
        <f aca="false">SUM(E83:E85)</f>
        <v>7726</v>
      </c>
      <c r="F87" s="10" t="n">
        <f aca="false">SUM(F83:F85)</f>
        <v>7781</v>
      </c>
      <c r="G87" s="10" t="n">
        <f aca="false">SUM(G83:G85)</f>
        <v>7713</v>
      </c>
      <c r="H87" s="10" t="n">
        <f aca="false">SUM(H83:H85)</f>
        <v>7736</v>
      </c>
      <c r="I87" s="10" t="n">
        <f aca="false">SUM(I83:I85)</f>
        <v>7708</v>
      </c>
      <c r="J87" s="10" t="n">
        <f aca="false">SUM(J83:J85)</f>
        <v>7741</v>
      </c>
      <c r="K87" s="10" t="n">
        <f aca="false">SUM(K83:K85)</f>
        <v>7718</v>
      </c>
      <c r="L87" s="10" t="n">
        <f aca="false">SUM(L83:L85)</f>
        <v>7720</v>
      </c>
      <c r="M87" s="6"/>
      <c r="N87" s="10" t="n">
        <f aca="false">AVERAGE(C87:L87)</f>
        <v>7738.6</v>
      </c>
      <c r="O87" s="10" t="n">
        <f aca="false">N87/$N$81*100</f>
        <v>24.0341134963228</v>
      </c>
      <c r="P87" s="10" t="n">
        <f aca="false">STDEVA(C87:L87)</f>
        <v>26.8915517506066</v>
      </c>
      <c r="Q87" s="10" t="n">
        <f aca="false">P87/N87*100</f>
        <v>0.347498924231859</v>
      </c>
      <c r="R87" s="6"/>
      <c r="S87" s="6"/>
      <c r="T87" s="6"/>
      <c r="U87" s="6"/>
      <c r="V87" s="6"/>
      <c r="W87" s="6"/>
      <c r="X87" s="6"/>
      <c r="Y87" s="6"/>
      <c r="Z87" s="6"/>
      <c r="AA87" s="7"/>
    </row>
    <row r="88" customFormat="false" ht="16" hidden="false" customHeight="false" outlineLevel="0" collapsed="false">
      <c r="A88" s="5"/>
      <c r="B88" s="6"/>
      <c r="C88" s="6"/>
      <c r="D88" s="6"/>
      <c r="E88" s="6"/>
      <c r="F88" s="6"/>
      <c r="G88" s="6"/>
      <c r="H88" s="6"/>
      <c r="I88" s="6"/>
      <c r="J88" s="6"/>
      <c r="K88" s="6"/>
      <c r="L88" s="6"/>
      <c r="M88" s="6"/>
      <c r="N88" s="6"/>
      <c r="O88" s="6"/>
      <c r="P88" s="6"/>
      <c r="Q88" s="6"/>
      <c r="R88" s="6"/>
      <c r="S88" s="6"/>
      <c r="T88" s="6"/>
      <c r="U88" s="6"/>
      <c r="V88" s="6"/>
      <c r="W88" s="6"/>
      <c r="X88" s="6"/>
      <c r="Y88" s="6"/>
      <c r="Z88" s="6"/>
      <c r="AA88" s="7"/>
    </row>
    <row r="89" customFormat="false" ht="16" hidden="false" customHeight="false" outlineLevel="0" collapsed="false">
      <c r="A89" s="5"/>
      <c r="B89" s="6"/>
      <c r="C89" s="6"/>
      <c r="D89" s="6"/>
      <c r="E89" s="6"/>
      <c r="F89" s="6"/>
      <c r="G89" s="6"/>
      <c r="H89" s="6"/>
      <c r="I89" s="6"/>
      <c r="J89" s="6"/>
      <c r="K89" s="6"/>
      <c r="L89" s="6"/>
      <c r="M89" s="6"/>
      <c r="N89" s="6"/>
      <c r="O89" s="6"/>
      <c r="P89" s="6"/>
      <c r="Q89" s="6"/>
      <c r="R89" s="6"/>
      <c r="S89" s="6"/>
      <c r="T89" s="6"/>
      <c r="U89" s="6"/>
      <c r="V89" s="6"/>
      <c r="W89" s="6"/>
      <c r="X89" s="6"/>
      <c r="Y89" s="6"/>
      <c r="Z89" s="6"/>
      <c r="AA89" s="7"/>
    </row>
    <row r="90" customFormat="false" ht="16" hidden="false" customHeight="false" outlineLevel="0" collapsed="false">
      <c r="A90" s="12" t="s">
        <v>27</v>
      </c>
      <c r="B90" s="8" t="s">
        <v>2</v>
      </c>
      <c r="C90" s="10" t="s">
        <v>6</v>
      </c>
      <c r="D90" s="10" t="s">
        <v>3</v>
      </c>
      <c r="E90" s="10" t="s">
        <v>11</v>
      </c>
      <c r="F90" s="10" t="s">
        <v>9</v>
      </c>
      <c r="G90" s="10" t="s">
        <v>5</v>
      </c>
      <c r="H90" s="10" t="s">
        <v>4</v>
      </c>
      <c r="I90" s="10" t="s">
        <v>12</v>
      </c>
      <c r="J90" s="10" t="s">
        <v>7</v>
      </c>
      <c r="K90" s="10" t="s">
        <v>8</v>
      </c>
      <c r="L90" s="10" t="s">
        <v>10</v>
      </c>
      <c r="M90" s="6"/>
      <c r="N90" s="6"/>
      <c r="O90" s="6"/>
      <c r="P90" s="6"/>
      <c r="Q90" s="6"/>
      <c r="R90" s="6"/>
      <c r="S90" s="6"/>
      <c r="T90" s="6"/>
      <c r="U90" s="6"/>
      <c r="V90" s="6"/>
      <c r="W90" s="6"/>
      <c r="X90" s="8" t="s">
        <v>28</v>
      </c>
      <c r="Y90" s="8" t="s">
        <v>29</v>
      </c>
      <c r="Z90" s="8" t="s">
        <v>30</v>
      </c>
      <c r="AA90" s="7"/>
    </row>
    <row r="91" customFormat="false" ht="16" hidden="false" customHeight="false" outlineLevel="0" collapsed="false">
      <c r="A91" s="13"/>
      <c r="B91" s="14" t="s">
        <v>31</v>
      </c>
      <c r="C91" s="10" t="n">
        <v>5204</v>
      </c>
      <c r="D91" s="10" t="n">
        <v>5223</v>
      </c>
      <c r="E91" s="10" t="n">
        <v>5153</v>
      </c>
      <c r="F91" s="10" t="n">
        <v>5180</v>
      </c>
      <c r="G91" s="10" t="n">
        <v>5131</v>
      </c>
      <c r="H91" s="10" t="n">
        <v>5178</v>
      </c>
      <c r="I91" s="10" t="n">
        <v>5161</v>
      </c>
      <c r="J91" s="10" t="n">
        <v>5141</v>
      </c>
      <c r="K91" s="10" t="n">
        <v>5151</v>
      </c>
      <c r="L91" s="10" t="n">
        <v>5149</v>
      </c>
      <c r="M91" s="6"/>
      <c r="N91" s="6"/>
      <c r="O91" s="6"/>
      <c r="P91" s="6"/>
      <c r="Q91" s="6"/>
      <c r="R91" s="6"/>
      <c r="S91" s="6"/>
      <c r="T91" s="6"/>
      <c r="U91" s="6"/>
      <c r="V91" s="6"/>
      <c r="W91" s="6"/>
      <c r="X91" s="14" t="n">
        <f aca="false">AVERAGE(C91:L91)</f>
        <v>5167.1</v>
      </c>
      <c r="Y91" s="14" t="n">
        <f aca="false">X91*5</f>
        <v>25835.5</v>
      </c>
      <c r="Z91" s="14" t="n">
        <f aca="false">STDEVA(C91:L91)</f>
        <v>29.0189593197275</v>
      </c>
      <c r="AA91" s="7"/>
    </row>
    <row r="92" customFormat="false" ht="16" hidden="false" customHeight="false" outlineLevel="0" collapsed="false">
      <c r="A92" s="13"/>
      <c r="B92" s="15" t="s">
        <v>32</v>
      </c>
      <c r="C92" s="11" t="n">
        <v>54</v>
      </c>
      <c r="D92" s="11"/>
      <c r="E92" s="11" t="n">
        <v>61</v>
      </c>
      <c r="F92" s="11"/>
      <c r="G92" s="11" t="n">
        <v>57</v>
      </c>
      <c r="H92" s="11"/>
      <c r="I92" s="11" t="n">
        <v>57</v>
      </c>
      <c r="J92" s="11"/>
      <c r="K92" s="11" t="n">
        <v>58</v>
      </c>
      <c r="L92" s="11"/>
      <c r="M92" s="6"/>
      <c r="N92" s="6"/>
      <c r="O92" s="6"/>
      <c r="P92" s="6"/>
      <c r="Q92" s="6"/>
      <c r="R92" s="6"/>
      <c r="S92" s="6"/>
      <c r="T92" s="6"/>
      <c r="U92" s="6"/>
      <c r="V92" s="6"/>
      <c r="W92" s="6"/>
      <c r="X92" s="15" t="n">
        <f aca="false">AVERAGE(C92:L92)</f>
        <v>57.4</v>
      </c>
      <c r="Y92" s="15" t="n">
        <f aca="false">X92*5</f>
        <v>287</v>
      </c>
      <c r="Z92" s="15" t="n">
        <f aca="false">STDEVA(C92:L92)</f>
        <v>2.50998007960223</v>
      </c>
      <c r="AA92" s="7"/>
    </row>
    <row r="93" customFormat="false" ht="16" hidden="false" customHeight="false" outlineLevel="0" collapsed="false">
      <c r="A93" s="13"/>
      <c r="B93" s="16" t="s">
        <v>33</v>
      </c>
      <c r="C93" s="11" t="n">
        <v>9</v>
      </c>
      <c r="D93" s="11"/>
      <c r="E93" s="11" t="n">
        <v>9</v>
      </c>
      <c r="F93" s="11"/>
      <c r="G93" s="11" t="n">
        <v>8</v>
      </c>
      <c r="H93" s="11"/>
      <c r="I93" s="11" t="n">
        <v>7</v>
      </c>
      <c r="J93" s="11"/>
      <c r="K93" s="11" t="n">
        <v>7</v>
      </c>
      <c r="L93" s="11"/>
      <c r="M93" s="6"/>
      <c r="N93" s="6"/>
      <c r="O93" s="6"/>
      <c r="P93" s="6"/>
      <c r="Q93" s="6"/>
      <c r="R93" s="6"/>
      <c r="S93" s="6"/>
      <c r="T93" s="6"/>
      <c r="U93" s="6"/>
      <c r="V93" s="6"/>
      <c r="W93" s="6"/>
      <c r="X93" s="16" t="n">
        <f aca="false">AVERAGE(C93:L93)</f>
        <v>8</v>
      </c>
      <c r="Y93" s="16" t="n">
        <f aca="false">X93*5</f>
        <v>40</v>
      </c>
      <c r="Z93" s="16" t="n">
        <f aca="false">STDEVA(C93:L93)</f>
        <v>1</v>
      </c>
      <c r="AA93" s="7"/>
    </row>
    <row r="94" customFormat="false" ht="16" hidden="false" customHeight="false" outlineLevel="0" collapsed="false">
      <c r="A94" s="13"/>
      <c r="B94" s="8" t="s">
        <v>34</v>
      </c>
      <c r="C94" s="11" t="n">
        <v>-56.9</v>
      </c>
      <c r="D94" s="11"/>
      <c r="E94" s="11" t="n">
        <v>-55</v>
      </c>
      <c r="F94" s="11"/>
      <c r="G94" s="11" t="n">
        <v>-54.4</v>
      </c>
      <c r="H94" s="11"/>
      <c r="I94" s="11" t="n">
        <v>-53.3</v>
      </c>
      <c r="J94" s="11"/>
      <c r="K94" s="11" t="n">
        <v>-54.8</v>
      </c>
      <c r="L94" s="11"/>
      <c r="M94" s="6"/>
      <c r="N94" s="6"/>
      <c r="O94" s="6"/>
      <c r="P94" s="6"/>
      <c r="Q94" s="6"/>
      <c r="R94" s="6"/>
      <c r="S94" s="6"/>
      <c r="T94" s="6"/>
      <c r="U94" s="6"/>
      <c r="V94" s="6"/>
      <c r="W94" s="6"/>
      <c r="X94" s="17" t="n">
        <f aca="false">AVERAGE(C94:L94)</f>
        <v>-54.88</v>
      </c>
      <c r="Y94" s="17" t="s">
        <v>20</v>
      </c>
      <c r="Z94" s="17" t="n">
        <f aca="false">STDEVA(C94:L94)</f>
        <v>1.30652210084637</v>
      </c>
      <c r="AA94" s="7"/>
    </row>
    <row r="95" customFormat="false" ht="16" hidden="false" customHeight="false" outlineLevel="0" collapsed="false">
      <c r="A95" s="5"/>
      <c r="B95" s="6"/>
      <c r="C95" s="6"/>
      <c r="D95" s="6"/>
      <c r="E95" s="6"/>
      <c r="F95" s="6"/>
      <c r="G95" s="6"/>
      <c r="H95" s="6"/>
      <c r="I95" s="6"/>
      <c r="J95" s="6"/>
      <c r="K95" s="6"/>
      <c r="L95" s="6"/>
      <c r="M95" s="6"/>
      <c r="N95" s="6"/>
      <c r="O95" s="6"/>
      <c r="P95" s="6"/>
      <c r="Q95" s="6"/>
      <c r="R95" s="6"/>
      <c r="S95" s="6"/>
      <c r="T95" s="6"/>
      <c r="U95" s="6"/>
      <c r="V95" s="6"/>
      <c r="W95" s="6"/>
      <c r="X95" s="6"/>
      <c r="Y95" s="6"/>
      <c r="Z95" s="6"/>
      <c r="AA95" s="7"/>
    </row>
    <row r="96" customFormat="false" ht="16" hidden="false" customHeight="false" outlineLevel="0" collapsed="false">
      <c r="A96" s="12" t="s">
        <v>35</v>
      </c>
      <c r="B96" s="8" t="s">
        <v>2</v>
      </c>
      <c r="C96" s="10" t="s">
        <v>6</v>
      </c>
      <c r="D96" s="10" t="s">
        <v>5</v>
      </c>
      <c r="E96" s="10" t="s">
        <v>10</v>
      </c>
      <c r="F96" s="10" t="s">
        <v>9</v>
      </c>
      <c r="G96" s="10" t="s">
        <v>7</v>
      </c>
      <c r="H96" s="10" t="s">
        <v>9</v>
      </c>
      <c r="I96" s="10" t="s">
        <v>7</v>
      </c>
      <c r="J96" s="10" t="s">
        <v>4</v>
      </c>
      <c r="K96" s="10" t="s">
        <v>11</v>
      </c>
      <c r="L96" s="10" t="s">
        <v>8</v>
      </c>
      <c r="M96" s="10" t="s">
        <v>3</v>
      </c>
      <c r="N96" s="10" t="s">
        <v>10</v>
      </c>
      <c r="O96" s="10" t="s">
        <v>5</v>
      </c>
      <c r="P96" s="10" t="s">
        <v>12</v>
      </c>
      <c r="Q96" s="10" t="s">
        <v>12</v>
      </c>
      <c r="R96" s="10" t="s">
        <v>11</v>
      </c>
      <c r="S96" s="10" t="s">
        <v>4</v>
      </c>
      <c r="T96" s="10" t="s">
        <v>3</v>
      </c>
      <c r="U96" s="10" t="s">
        <v>6</v>
      </c>
      <c r="V96" s="10" t="s">
        <v>8</v>
      </c>
      <c r="W96" s="6"/>
      <c r="X96" s="8" t="s">
        <v>28</v>
      </c>
      <c r="Y96" s="8" t="s">
        <v>29</v>
      </c>
      <c r="Z96" s="8" t="s">
        <v>30</v>
      </c>
      <c r="AA96" s="7"/>
    </row>
    <row r="97" customFormat="false" ht="16" hidden="false" customHeight="false" outlineLevel="0" collapsed="false">
      <c r="A97" s="13"/>
      <c r="B97" s="14" t="s">
        <v>31</v>
      </c>
      <c r="C97" s="10" t="n">
        <v>1240</v>
      </c>
      <c r="D97" s="10" t="n">
        <v>1210</v>
      </c>
      <c r="E97" s="10" t="n">
        <v>1215</v>
      </c>
      <c r="F97" s="10" t="n">
        <v>1217</v>
      </c>
      <c r="G97" s="10" t="n">
        <v>1207</v>
      </c>
      <c r="H97" s="10" t="n">
        <v>1223</v>
      </c>
      <c r="I97" s="10" t="n">
        <v>1223</v>
      </c>
      <c r="J97" s="10" t="n">
        <v>1204</v>
      </c>
      <c r="K97" s="10" t="n">
        <v>1214</v>
      </c>
      <c r="L97" s="10" t="n">
        <v>1204</v>
      </c>
      <c r="M97" s="10" t="n">
        <v>1211</v>
      </c>
      <c r="N97" s="10" t="n">
        <v>1203</v>
      </c>
      <c r="O97" s="10" t="n">
        <v>1224</v>
      </c>
      <c r="P97" s="10" t="n">
        <v>1184</v>
      </c>
      <c r="Q97" s="10" t="n">
        <v>1215</v>
      </c>
      <c r="R97" s="10" t="n">
        <v>1188</v>
      </c>
      <c r="S97" s="10" t="n">
        <v>1205</v>
      </c>
      <c r="T97" s="10" t="n">
        <v>1186</v>
      </c>
      <c r="U97" s="10" t="n">
        <v>1172</v>
      </c>
      <c r="V97" s="10" t="n">
        <v>1206</v>
      </c>
      <c r="W97" s="6"/>
      <c r="X97" s="14" t="n">
        <f aca="false">AVERAGE(H97:Q97)</f>
        <v>1210.5</v>
      </c>
      <c r="Y97" s="14" t="n">
        <f aca="false">X97*5</f>
        <v>6052.5</v>
      </c>
      <c r="Z97" s="14" t="n">
        <f aca="false">STDEVA(H97:Q97)</f>
        <v>12.3400882402752</v>
      </c>
      <c r="AA97" s="7"/>
    </row>
    <row r="98" customFormat="false" ht="16" hidden="false" customHeight="false" outlineLevel="0" collapsed="false">
      <c r="A98" s="13"/>
      <c r="B98" s="15" t="s">
        <v>32</v>
      </c>
      <c r="C98" s="11" t="n">
        <v>7</v>
      </c>
      <c r="D98" s="11"/>
      <c r="E98" s="11" t="n">
        <v>7</v>
      </c>
      <c r="F98" s="11"/>
      <c r="G98" s="11" t="n">
        <v>10</v>
      </c>
      <c r="H98" s="11"/>
      <c r="I98" s="11" t="n">
        <v>7</v>
      </c>
      <c r="J98" s="11"/>
      <c r="K98" s="11" t="n">
        <v>10</v>
      </c>
      <c r="L98" s="11"/>
      <c r="M98" s="11" t="n">
        <v>7</v>
      </c>
      <c r="N98" s="11"/>
      <c r="O98" s="11" t="n">
        <v>8</v>
      </c>
      <c r="P98" s="11"/>
      <c r="Q98" s="11" t="n">
        <v>8</v>
      </c>
      <c r="R98" s="11"/>
      <c r="S98" s="11" t="n">
        <v>9</v>
      </c>
      <c r="T98" s="11"/>
      <c r="U98" s="11" t="n">
        <v>6</v>
      </c>
      <c r="V98" s="11"/>
      <c r="W98" s="6"/>
      <c r="X98" s="15" t="n">
        <f aca="false">AVERAGE(H98:Q98)</f>
        <v>8</v>
      </c>
      <c r="Y98" s="15" t="n">
        <f aca="false">X98*5</f>
        <v>40</v>
      </c>
      <c r="Z98" s="15" t="n">
        <f aca="false">STDEVA(H98:Q98)</f>
        <v>1.22474487139159</v>
      </c>
      <c r="AA98" s="7"/>
    </row>
    <row r="99" customFormat="false" ht="16" hidden="false" customHeight="false" outlineLevel="0" collapsed="false">
      <c r="A99" s="13"/>
      <c r="B99" s="16" t="s">
        <v>33</v>
      </c>
      <c r="C99" s="11" t="n">
        <v>11</v>
      </c>
      <c r="D99" s="11"/>
      <c r="E99" s="11" t="n">
        <v>11</v>
      </c>
      <c r="F99" s="11"/>
      <c r="G99" s="11" t="n">
        <v>9</v>
      </c>
      <c r="H99" s="11"/>
      <c r="I99" s="11" t="n">
        <v>10</v>
      </c>
      <c r="J99" s="11"/>
      <c r="K99" s="11" t="n">
        <v>9</v>
      </c>
      <c r="L99" s="11"/>
      <c r="M99" s="11" t="n">
        <v>8</v>
      </c>
      <c r="N99" s="11"/>
      <c r="O99" s="11" t="n">
        <v>9</v>
      </c>
      <c r="P99" s="11"/>
      <c r="Q99" s="11" t="n">
        <v>10</v>
      </c>
      <c r="R99" s="11"/>
      <c r="S99" s="11" t="n">
        <v>7</v>
      </c>
      <c r="T99" s="11"/>
      <c r="U99" s="11" t="n">
        <v>10</v>
      </c>
      <c r="V99" s="11"/>
      <c r="W99" s="6"/>
      <c r="X99" s="16" t="n">
        <f aca="false">AVERAGE(H99:Q99)</f>
        <v>9.2</v>
      </c>
      <c r="Y99" s="16" t="n">
        <f aca="false">X99*5</f>
        <v>46</v>
      </c>
      <c r="Z99" s="16" t="n">
        <f aca="false">STDEVA(H99:Q99)</f>
        <v>0.836660026534076</v>
      </c>
      <c r="AA99" s="7"/>
    </row>
    <row r="100" customFormat="false" ht="16" hidden="false" customHeight="false" outlineLevel="0" collapsed="false">
      <c r="A100" s="13"/>
      <c r="B100" s="8" t="s">
        <v>34</v>
      </c>
      <c r="C100" s="11" t="n">
        <v>-4.5</v>
      </c>
      <c r="D100" s="11"/>
      <c r="E100" s="11" t="n">
        <v>-3.8</v>
      </c>
      <c r="F100" s="11"/>
      <c r="G100" s="11" t="n">
        <v>-6.7</v>
      </c>
      <c r="H100" s="11"/>
      <c r="I100" s="11" t="n">
        <v>-5.2</v>
      </c>
      <c r="J100" s="11"/>
      <c r="K100" s="11" t="n">
        <v>-4.3</v>
      </c>
      <c r="L100" s="11"/>
      <c r="M100" s="11" t="n">
        <v>-6.1</v>
      </c>
      <c r="N100" s="11"/>
      <c r="O100" s="11" t="n">
        <v>-4.5</v>
      </c>
      <c r="P100" s="11"/>
      <c r="Q100" s="11" t="n">
        <v>-4.7</v>
      </c>
      <c r="R100" s="11"/>
      <c r="S100" s="11" t="n">
        <v>-5.7</v>
      </c>
      <c r="T100" s="11"/>
      <c r="U100" s="11" t="n">
        <v>-5.2</v>
      </c>
      <c r="V100" s="11"/>
      <c r="W100" s="6"/>
      <c r="X100" s="17" t="n">
        <f aca="false">AVERAGE(H100:Q100)</f>
        <v>-4.96</v>
      </c>
      <c r="Y100" s="17" t="s">
        <v>20</v>
      </c>
      <c r="Z100" s="17" t="n">
        <f aca="false">STDEVA(H100:Q100)</f>
        <v>0.719722168617861</v>
      </c>
      <c r="AA100" s="7"/>
    </row>
    <row r="101" customFormat="false" ht="16" hidden="false" customHeight="false" outlineLevel="0" collapsed="false">
      <c r="A101" s="5"/>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7"/>
    </row>
    <row r="102" customFormat="false" ht="16" hidden="false" customHeight="false" outlineLevel="0" collapsed="false">
      <c r="A102" s="12" t="s">
        <v>37</v>
      </c>
      <c r="B102" s="8" t="s">
        <v>2</v>
      </c>
      <c r="C102" s="10" t="s">
        <v>11</v>
      </c>
      <c r="D102" s="10" t="s">
        <v>7</v>
      </c>
      <c r="E102" s="10" t="s">
        <v>8</v>
      </c>
      <c r="F102" s="10" t="s">
        <v>9</v>
      </c>
      <c r="G102" s="10" t="s">
        <v>6</v>
      </c>
      <c r="H102" s="10" t="s">
        <v>10</v>
      </c>
      <c r="I102" s="10" t="s">
        <v>5</v>
      </c>
      <c r="J102" s="10" t="s">
        <v>3</v>
      </c>
      <c r="K102" s="10" t="s">
        <v>12</v>
      </c>
      <c r="L102" s="10" t="s">
        <v>4</v>
      </c>
      <c r="M102" s="6"/>
      <c r="N102" s="6"/>
      <c r="O102" s="6"/>
      <c r="P102" s="6"/>
      <c r="Q102" s="6"/>
      <c r="R102" s="6"/>
      <c r="S102" s="6"/>
      <c r="T102" s="6"/>
      <c r="U102" s="6"/>
      <c r="V102" s="6"/>
      <c r="W102" s="6"/>
      <c r="X102" s="8" t="s">
        <v>28</v>
      </c>
      <c r="Y102" s="8" t="s">
        <v>29</v>
      </c>
      <c r="Z102" s="8" t="s">
        <v>30</v>
      </c>
      <c r="AA102" s="7"/>
    </row>
    <row r="103" customFormat="false" ht="16" hidden="false" customHeight="false" outlineLevel="0" collapsed="false">
      <c r="A103" s="28"/>
      <c r="B103" s="14" t="s">
        <v>31</v>
      </c>
      <c r="C103" s="10" t="n">
        <v>171</v>
      </c>
      <c r="D103" s="10" t="n">
        <v>170</v>
      </c>
      <c r="E103" s="10" t="n">
        <v>157</v>
      </c>
      <c r="F103" s="10" t="n">
        <v>161</v>
      </c>
      <c r="G103" s="10" t="n">
        <v>153</v>
      </c>
      <c r="H103" s="10" t="n">
        <v>153</v>
      </c>
      <c r="I103" s="10" t="n">
        <v>148</v>
      </c>
      <c r="J103" s="10" t="n">
        <v>154</v>
      </c>
      <c r="K103" s="10" t="n">
        <v>148</v>
      </c>
      <c r="L103" s="10" t="n">
        <v>149</v>
      </c>
      <c r="M103" s="6"/>
      <c r="N103" s="6"/>
      <c r="O103" s="6"/>
      <c r="P103" s="6"/>
      <c r="Q103" s="6"/>
      <c r="R103" s="6"/>
      <c r="S103" s="6"/>
      <c r="T103" s="6"/>
      <c r="U103" s="6"/>
      <c r="V103" s="6"/>
      <c r="W103" s="6"/>
      <c r="X103" s="14" t="n">
        <f aca="false">AVERAGE(C103:L103)</f>
        <v>156.4</v>
      </c>
      <c r="Y103" s="14" t="n">
        <f aca="false">X103*5</f>
        <v>782</v>
      </c>
      <c r="Z103" s="14" t="n">
        <f aca="false">STDEVA(C103:L103)</f>
        <v>8.46167832052247</v>
      </c>
      <c r="AA103" s="7"/>
    </row>
    <row r="104" customFormat="false" ht="16" hidden="false" customHeight="false" outlineLevel="0" collapsed="false">
      <c r="A104" s="28"/>
      <c r="B104" s="15" t="s">
        <v>32</v>
      </c>
      <c r="C104" s="11" t="n">
        <v>0</v>
      </c>
      <c r="D104" s="11"/>
      <c r="E104" s="11" t="n">
        <v>0</v>
      </c>
      <c r="F104" s="11"/>
      <c r="G104" s="11" t="n">
        <v>0</v>
      </c>
      <c r="H104" s="11"/>
      <c r="I104" s="11" t="n">
        <v>0</v>
      </c>
      <c r="J104" s="11"/>
      <c r="K104" s="11" t="n">
        <v>0</v>
      </c>
      <c r="L104" s="11"/>
      <c r="M104" s="6"/>
      <c r="N104" s="6"/>
      <c r="O104" s="6"/>
      <c r="P104" s="6"/>
      <c r="Q104" s="6"/>
      <c r="R104" s="6"/>
      <c r="S104" s="6"/>
      <c r="T104" s="6"/>
      <c r="U104" s="6"/>
      <c r="V104" s="6"/>
      <c r="W104" s="6"/>
      <c r="X104" s="15" t="n">
        <f aca="false">AVERAGE(C104:L104)</f>
        <v>0</v>
      </c>
      <c r="Y104" s="15" t="n">
        <f aca="false">X104*5</f>
        <v>0</v>
      </c>
      <c r="Z104" s="15" t="n">
        <f aca="false">STDEVA(C104:L104)</f>
        <v>0</v>
      </c>
      <c r="AA104" s="7"/>
    </row>
    <row r="105" customFormat="false" ht="16" hidden="false" customHeight="false" outlineLevel="0" collapsed="false">
      <c r="A105" s="28"/>
      <c r="B105" s="16" t="s">
        <v>33</v>
      </c>
      <c r="C105" s="11" t="n">
        <v>0</v>
      </c>
      <c r="D105" s="11"/>
      <c r="E105" s="11" t="n">
        <v>0</v>
      </c>
      <c r="F105" s="11"/>
      <c r="G105" s="11" t="n">
        <v>0</v>
      </c>
      <c r="H105" s="11"/>
      <c r="I105" s="11" t="n">
        <v>0</v>
      </c>
      <c r="J105" s="11"/>
      <c r="K105" s="11" t="n">
        <v>0</v>
      </c>
      <c r="L105" s="11"/>
      <c r="M105" s="6"/>
      <c r="N105" s="6"/>
      <c r="O105" s="6"/>
      <c r="P105" s="6"/>
      <c r="Q105" s="6"/>
      <c r="R105" s="6"/>
      <c r="S105" s="6"/>
      <c r="T105" s="6"/>
      <c r="U105" s="6"/>
      <c r="V105" s="6"/>
      <c r="W105" s="6"/>
      <c r="X105" s="16" t="n">
        <f aca="false">AVERAGE(C105:L105)</f>
        <v>0</v>
      </c>
      <c r="Y105" s="16" t="n">
        <f aca="false">X105*5</f>
        <v>0</v>
      </c>
      <c r="Z105" s="16" t="n">
        <f aca="false">STDEVA(C105:L105)</f>
        <v>0</v>
      </c>
      <c r="AA105" s="7"/>
    </row>
    <row r="106" customFormat="false" ht="16" hidden="false" customHeight="false" outlineLevel="0" collapsed="false">
      <c r="A106" s="28"/>
      <c r="B106" s="8" t="s">
        <v>34</v>
      </c>
      <c r="C106" s="11" t="n">
        <v>-2.9</v>
      </c>
      <c r="D106" s="11"/>
      <c r="E106" s="11" t="n">
        <v>-3.1</v>
      </c>
      <c r="F106" s="11"/>
      <c r="G106" s="11" t="n">
        <v>-2.9</v>
      </c>
      <c r="H106" s="11"/>
      <c r="I106" s="11" t="n">
        <v>-2.6</v>
      </c>
      <c r="J106" s="11"/>
      <c r="K106" s="11" t="n">
        <v>-2.9</v>
      </c>
      <c r="L106" s="11"/>
      <c r="M106" s="6"/>
      <c r="N106" s="6"/>
      <c r="O106" s="6"/>
      <c r="P106" s="6"/>
      <c r="Q106" s="6"/>
      <c r="R106" s="6"/>
      <c r="S106" s="6"/>
      <c r="T106" s="6"/>
      <c r="U106" s="6"/>
      <c r="V106" s="6"/>
      <c r="W106" s="6"/>
      <c r="X106" s="17" t="n">
        <f aca="false">AVERAGE(C106:L106)</f>
        <v>-2.88</v>
      </c>
      <c r="Y106" s="17" t="s">
        <v>20</v>
      </c>
      <c r="Z106" s="17" t="n">
        <f aca="false">STDEVA(C106:L106)</f>
        <v>0.178885438199983</v>
      </c>
      <c r="AA106" s="7"/>
    </row>
    <row r="107" customFormat="false" ht="16" hidden="false" customHeight="false" outlineLevel="0" collapsed="false">
      <c r="A107" s="2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1"/>
    </row>
    <row r="108" customFormat="false" ht="16" hidden="false" customHeight="false" outlineLevel="0" collapsed="false">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customFormat="false" ht="16" hidden="false" customHeight="false" outlineLevel="0" collapsed="false">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customFormat="false" ht="16" hidden="false" customHeight="false" outlineLevel="0" collapsed="false">
      <c r="J110" s="0" t="s">
        <v>20</v>
      </c>
    </row>
    <row r="111" customFormat="false" ht="16" hidden="false" customHeight="false" outlineLevel="0" collapsed="false">
      <c r="A111" s="2" t="s">
        <v>55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4"/>
    </row>
    <row r="112" customFormat="false" ht="16" hidden="false" customHeight="false" outlineLevel="0" collapsed="false">
      <c r="A112" s="5"/>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7"/>
    </row>
    <row r="113" customFormat="false" ht="68" hidden="false" customHeight="false" outlineLevel="0" collapsed="false">
      <c r="A113" s="5"/>
      <c r="B113" s="8" t="s">
        <v>2</v>
      </c>
      <c r="C113" s="8" t="s">
        <v>8</v>
      </c>
      <c r="D113" s="8" t="s">
        <v>10</v>
      </c>
      <c r="E113" s="8" t="s">
        <v>12</v>
      </c>
      <c r="F113" s="8" t="s">
        <v>7</v>
      </c>
      <c r="G113" s="8" t="s">
        <v>6</v>
      </c>
      <c r="H113" s="8" t="s">
        <v>3</v>
      </c>
      <c r="I113" s="8" t="s">
        <v>5</v>
      </c>
      <c r="J113" s="8" t="s">
        <v>4</v>
      </c>
      <c r="K113" s="8" t="s">
        <v>11</v>
      </c>
      <c r="L113" s="8" t="s">
        <v>9</v>
      </c>
      <c r="M113" s="6"/>
      <c r="N113" s="9" t="s">
        <v>13</v>
      </c>
      <c r="O113" s="9" t="s">
        <v>14</v>
      </c>
      <c r="P113" s="9" t="s">
        <v>15</v>
      </c>
      <c r="Q113" s="9" t="s">
        <v>16</v>
      </c>
      <c r="R113" s="6"/>
      <c r="S113" s="9" t="s">
        <v>53</v>
      </c>
      <c r="T113" s="9" t="s">
        <v>54</v>
      </c>
      <c r="U113" s="6"/>
      <c r="V113" s="6"/>
      <c r="W113" s="6"/>
      <c r="X113" s="6"/>
      <c r="Y113" s="6"/>
      <c r="Z113" s="6"/>
      <c r="AA113" s="7"/>
    </row>
    <row r="114" s="6" customFormat="true" ht="17" hidden="false" customHeight="false" outlineLevel="0" collapsed="false">
      <c r="A114" s="5"/>
      <c r="B114" s="9" t="s">
        <v>19</v>
      </c>
      <c r="C114" s="10" t="n">
        <v>31478.2</v>
      </c>
      <c r="D114" s="10" t="n">
        <v>31482.7</v>
      </c>
      <c r="E114" s="10" t="n">
        <v>31498.4</v>
      </c>
      <c r="F114" s="10" t="n">
        <v>31459.8</v>
      </c>
      <c r="G114" s="10" t="n">
        <v>31435.7</v>
      </c>
      <c r="H114" s="10" t="n">
        <v>31497.9</v>
      </c>
      <c r="I114" s="10" t="n">
        <v>31480.2</v>
      </c>
      <c r="J114" s="10" t="n">
        <v>31500.6</v>
      </c>
      <c r="K114" s="10" t="n">
        <v>31495.22</v>
      </c>
      <c r="L114" s="10" t="n">
        <v>31477.6</v>
      </c>
      <c r="N114" s="10" t="n">
        <f aca="false">AVERAGE(C114:L114)</f>
        <v>31480.632</v>
      </c>
      <c r="O114" s="10" t="s">
        <v>20</v>
      </c>
      <c r="P114" s="10" t="n">
        <f aca="false">STDEVA(C114:L114)</f>
        <v>20.2699672750929</v>
      </c>
      <c r="Q114" s="10" t="n">
        <f aca="false">P114/N114*100</f>
        <v>0.0643886923079973</v>
      </c>
      <c r="S114" s="10"/>
      <c r="T114" s="10"/>
      <c r="AA114" s="7"/>
    </row>
    <row r="115" customFormat="false" ht="17" hidden="false" customHeight="false" outlineLevel="0" collapsed="false">
      <c r="A115" s="5"/>
      <c r="B115" s="9" t="s">
        <v>21</v>
      </c>
      <c r="C115" s="11" t="n">
        <f aca="false">C114+D114-C116-D116</f>
        <v>51700.9</v>
      </c>
      <c r="D115" s="11"/>
      <c r="E115" s="11" t="n">
        <f aca="false">E114+F114-E116-F116</f>
        <v>51730.2</v>
      </c>
      <c r="F115" s="11"/>
      <c r="G115" s="11" t="n">
        <f aca="false">G114+H114-G116-H116</f>
        <v>51722.6</v>
      </c>
      <c r="H115" s="11"/>
      <c r="I115" s="11" t="n">
        <f aca="false">I114+J114-I116-J116</f>
        <v>51772.8</v>
      </c>
      <c r="J115" s="11"/>
      <c r="K115" s="11" t="n">
        <f aca="false">K114+L114-K116-L116</f>
        <v>51783.82</v>
      </c>
      <c r="L115" s="11"/>
      <c r="M115" s="6"/>
      <c r="N115" s="10" t="n">
        <f aca="false">AVERAGE(C115:L115)</f>
        <v>51742.064</v>
      </c>
      <c r="O115" s="10" t="s">
        <v>20</v>
      </c>
      <c r="P115" s="10" t="n">
        <f aca="false">STDEVA(C115:L115)</f>
        <v>35.0083630008598</v>
      </c>
      <c r="Q115" s="10" t="n">
        <f aca="false">P115/N115*100</f>
        <v>0.0676593863763529</v>
      </c>
      <c r="R115" s="6"/>
      <c r="S115" s="10"/>
      <c r="T115" s="10"/>
      <c r="U115" s="6"/>
      <c r="V115" s="6"/>
      <c r="W115" s="6"/>
      <c r="X115" s="6"/>
      <c r="Y115" s="6"/>
      <c r="Z115" s="6"/>
      <c r="AA115" s="7"/>
    </row>
    <row r="116" customFormat="false" ht="17" hidden="false" customHeight="false" outlineLevel="0" collapsed="false">
      <c r="A116" s="5"/>
      <c r="B116" s="9" t="s">
        <v>56</v>
      </c>
      <c r="C116" s="10" t="n">
        <v>5637</v>
      </c>
      <c r="D116" s="10" t="n">
        <v>5623</v>
      </c>
      <c r="E116" s="10" t="n">
        <v>5615</v>
      </c>
      <c r="F116" s="10" t="n">
        <v>5613</v>
      </c>
      <c r="G116" s="10" t="n">
        <v>5601</v>
      </c>
      <c r="H116" s="10" t="n">
        <v>5610</v>
      </c>
      <c r="I116" s="10" t="n">
        <v>5598</v>
      </c>
      <c r="J116" s="10" t="n">
        <v>5610</v>
      </c>
      <c r="K116" s="10" t="n">
        <v>5590</v>
      </c>
      <c r="L116" s="10" t="n">
        <v>5599</v>
      </c>
      <c r="M116" s="6"/>
      <c r="N116" s="10" t="n">
        <f aca="false">AVERAGE(C116:L116)</f>
        <v>5609.6</v>
      </c>
      <c r="O116" s="10" t="n">
        <f aca="false">N116/$N$114*100</f>
        <v>17.8192102369482</v>
      </c>
      <c r="P116" s="10" t="n">
        <f aca="false">STDEVA(C116:L116)</f>
        <v>13.6479546697176</v>
      </c>
      <c r="Q116" s="10" t="n">
        <f aca="false">P116/N116*100</f>
        <v>0.243296396707744</v>
      </c>
      <c r="R116" s="6"/>
      <c r="S116" s="10" t="n">
        <f aca="false">AVERAGE(C126:L126)</f>
        <v>58.6</v>
      </c>
      <c r="T116" s="10" t="n">
        <f aca="false">AVERAGE(C127:L127)</f>
        <v>12.2</v>
      </c>
      <c r="U116" s="6"/>
      <c r="V116" s="6"/>
      <c r="W116" s="6"/>
      <c r="X116" s="6"/>
      <c r="Y116" s="6"/>
      <c r="Z116" s="6"/>
      <c r="AA116" s="7"/>
    </row>
    <row r="117" customFormat="false" ht="34" hidden="false" customHeight="false" outlineLevel="0" collapsed="false">
      <c r="A117" s="5"/>
      <c r="B117" s="9" t="s">
        <v>23</v>
      </c>
      <c r="C117" s="10" t="n">
        <f aca="false">SUM(D131,R131)</f>
        <v>2969</v>
      </c>
      <c r="D117" s="10" t="n">
        <f aca="false">SUM(J131,H131)</f>
        <v>2972</v>
      </c>
      <c r="E117" s="10" t="n">
        <f aca="false">SUM(L131,C131)</f>
        <v>2977</v>
      </c>
      <c r="F117" s="10" t="n">
        <f aca="false">SUM(E131,G131)</f>
        <v>2978</v>
      </c>
      <c r="G117" s="10" t="n">
        <f aca="false">SUM(K131,O131)</f>
        <v>2953</v>
      </c>
      <c r="H117" s="10" t="n">
        <f aca="false">SUM(F131,M131)</f>
        <v>2965</v>
      </c>
      <c r="I117" s="10" t="n">
        <f aca="false">SUM(Q131,S131)</f>
        <v>2934</v>
      </c>
      <c r="J117" s="10" t="n">
        <f aca="false">SUM(I131,U131)</f>
        <v>2945</v>
      </c>
      <c r="K117" s="10" t="n">
        <f aca="false">SUM(P131,T131)</f>
        <v>2942</v>
      </c>
      <c r="L117" s="10" t="n">
        <f aca="false">SUM(V131,N131)</f>
        <v>2943</v>
      </c>
      <c r="M117" s="6"/>
      <c r="N117" s="10" t="n">
        <f aca="false">AVERAGE(C117:L117)</f>
        <v>2957.8</v>
      </c>
      <c r="O117" s="10" t="n">
        <f aca="false">N117/$N$114*100</f>
        <v>9.39561823282328</v>
      </c>
      <c r="P117" s="10" t="n">
        <f aca="false">STDEVA(C117:L117)</f>
        <v>16.2535466215155</v>
      </c>
      <c r="Q117" s="10" t="n">
        <f aca="false">P117/N117*100</f>
        <v>0.549514727889495</v>
      </c>
      <c r="R117" s="6"/>
      <c r="S117" s="10" t="n">
        <f aca="false">AVERAGE(C132:V132)</f>
        <v>17.2</v>
      </c>
      <c r="T117" s="10" t="n">
        <f aca="false">AVERAGE(C133:V133)</f>
        <v>3</v>
      </c>
      <c r="U117" s="6"/>
      <c r="V117" s="6"/>
      <c r="W117" s="6"/>
      <c r="X117" s="6"/>
      <c r="Y117" s="6"/>
      <c r="Z117" s="6"/>
      <c r="AA117" s="7"/>
    </row>
    <row r="118" customFormat="false" ht="17" hidden="false" customHeight="false" outlineLevel="0" collapsed="false">
      <c r="A118" s="5"/>
      <c r="B118" s="9" t="s">
        <v>24</v>
      </c>
      <c r="C118" s="10" t="n">
        <f aca="false">C137</f>
        <v>302</v>
      </c>
      <c r="D118" s="10" t="n">
        <f aca="false">H137</f>
        <v>294</v>
      </c>
      <c r="E118" s="10" t="n">
        <f aca="false">E137</f>
        <v>294</v>
      </c>
      <c r="F118" s="10" t="n">
        <f aca="false">D137</f>
        <v>305</v>
      </c>
      <c r="G118" s="10" t="n">
        <f aca="false">I137</f>
        <v>290</v>
      </c>
      <c r="H118" s="10" t="n">
        <f aca="false">F137</f>
        <v>296</v>
      </c>
      <c r="I118" s="10" t="n">
        <f aca="false">G137</f>
        <v>291</v>
      </c>
      <c r="J118" s="10" t="n">
        <f aca="false">L137</f>
        <v>283</v>
      </c>
      <c r="K118" s="10" t="n">
        <f aca="false">K137</f>
        <v>287</v>
      </c>
      <c r="L118" s="10" t="n">
        <f aca="false">J137</f>
        <v>286</v>
      </c>
      <c r="M118" s="6"/>
      <c r="N118" s="10" t="n">
        <f aca="false">AVERAGE(C118:L118)</f>
        <v>292.8</v>
      </c>
      <c r="O118" s="10" t="n">
        <f aca="false">N118/$N$114*100</f>
        <v>0.930095685499579</v>
      </c>
      <c r="P118" s="10" t="n">
        <f aca="false">STDEVA(C118:L118)</f>
        <v>6.94102137857086</v>
      </c>
      <c r="Q118" s="10" t="n">
        <f aca="false">P118/N118*100</f>
        <v>2.37056741071409</v>
      </c>
      <c r="R118" s="6"/>
      <c r="S118" s="10" t="n">
        <v>0</v>
      </c>
      <c r="T118" s="10" t="n">
        <v>3.8</v>
      </c>
      <c r="U118" s="6"/>
      <c r="V118" s="6"/>
      <c r="W118" s="6"/>
      <c r="X118" s="6"/>
      <c r="Y118" s="6"/>
      <c r="Z118" s="6"/>
      <c r="AA118" s="7"/>
    </row>
    <row r="119" customFormat="false" ht="17" hidden="false" customHeight="false" outlineLevel="0" collapsed="false">
      <c r="A119" s="5"/>
      <c r="B119" s="9" t="s">
        <v>57</v>
      </c>
      <c r="C119" s="10" t="n">
        <f aca="false">I143</f>
        <v>65</v>
      </c>
      <c r="D119" s="10" t="n">
        <f aca="false">D143</f>
        <v>71</v>
      </c>
      <c r="E119" s="10" t="n">
        <f aca="false">C143</f>
        <v>71</v>
      </c>
      <c r="F119" s="10" t="n">
        <f aca="false">F143</f>
        <v>70</v>
      </c>
      <c r="G119" s="10" t="n">
        <f aca="false">E143</f>
        <v>69</v>
      </c>
      <c r="H119" s="10" t="n">
        <f aca="false">H143</f>
        <v>67</v>
      </c>
      <c r="I119" s="10" t="n">
        <f aca="false">K143</f>
        <v>62</v>
      </c>
      <c r="J119" s="10" t="n">
        <f aca="false">J143</f>
        <v>64</v>
      </c>
      <c r="K119" s="10" t="n">
        <f aca="false">G143</f>
        <v>67</v>
      </c>
      <c r="L119" s="10" t="n">
        <f aca="false">L143</f>
        <v>62</v>
      </c>
      <c r="M119" s="6"/>
      <c r="N119" s="10" t="n">
        <f aca="false">AVERAGE(C119:L119)</f>
        <v>66.8</v>
      </c>
      <c r="O119" s="10" t="n">
        <f aca="false">N119/$N$114*100</f>
        <v>0.212193961036106</v>
      </c>
      <c r="P119" s="10" t="n">
        <f aca="false">STDEVA(C119:L119)</f>
        <v>3.45768066130398</v>
      </c>
      <c r="Q119" s="10" t="n">
        <f aca="false">P119/N119*100</f>
        <v>5.17616865464668</v>
      </c>
      <c r="R119" s="6"/>
      <c r="S119" s="10" t="n">
        <v>0</v>
      </c>
      <c r="T119" s="10" t="n">
        <v>0</v>
      </c>
      <c r="U119" s="6"/>
      <c r="V119" s="6"/>
      <c r="W119" s="6"/>
      <c r="X119" s="6"/>
      <c r="Y119" s="6"/>
      <c r="Z119" s="6"/>
      <c r="AA119" s="7"/>
    </row>
    <row r="120" customFormat="false" ht="17" hidden="false" customHeight="false" outlineLevel="0" collapsed="false">
      <c r="A120" s="5"/>
      <c r="B120" s="9" t="s">
        <v>25</v>
      </c>
      <c r="C120" s="10" t="n">
        <f aca="false">SUM(C117:C119)</f>
        <v>3336</v>
      </c>
      <c r="D120" s="10" t="n">
        <f aca="false">SUM(D117:D119)</f>
        <v>3337</v>
      </c>
      <c r="E120" s="10" t="n">
        <f aca="false">SUM(E117:E119)</f>
        <v>3342</v>
      </c>
      <c r="F120" s="10" t="n">
        <f aca="false">SUM(F117:F119)</f>
        <v>3353</v>
      </c>
      <c r="G120" s="10" t="n">
        <f aca="false">SUM(G117:G119)</f>
        <v>3312</v>
      </c>
      <c r="H120" s="10" t="n">
        <f aca="false">SUM(H117:H119)</f>
        <v>3328</v>
      </c>
      <c r="I120" s="10" t="n">
        <f aca="false">SUM(I117:I119)</f>
        <v>3287</v>
      </c>
      <c r="J120" s="10" t="n">
        <f aca="false">SUM(J117:J119)</f>
        <v>3292</v>
      </c>
      <c r="K120" s="10" t="n">
        <f aca="false">SUM(K117:K119)</f>
        <v>3296</v>
      </c>
      <c r="L120" s="10" t="n">
        <f aca="false">SUM(L117:L119)</f>
        <v>3291</v>
      </c>
      <c r="M120" s="6"/>
      <c r="N120" s="10" t="n">
        <f aca="false">AVERAGE(C120:L120)</f>
        <v>3317.4</v>
      </c>
      <c r="O120" s="10" t="n">
        <f aca="false">N120/($N$115)*100</f>
        <v>6.41141799059272</v>
      </c>
      <c r="P120" s="10" t="n">
        <f aca="false">STDEVA(C120:L120)</f>
        <v>24.6495436063226</v>
      </c>
      <c r="Q120" s="10" t="n">
        <f aca="false">P120/N120*100</f>
        <v>0.743038029972949</v>
      </c>
      <c r="R120" s="6"/>
      <c r="S120" s="10" t="s">
        <v>47</v>
      </c>
      <c r="T120" s="10" t="s">
        <v>47</v>
      </c>
      <c r="U120" s="6"/>
      <c r="V120" s="6"/>
      <c r="W120" s="6"/>
      <c r="X120" s="6"/>
      <c r="Y120" s="6"/>
      <c r="Z120" s="6"/>
      <c r="AA120" s="7"/>
    </row>
    <row r="121" customFormat="false" ht="17" hidden="false" customHeight="false" outlineLevel="0" collapsed="false">
      <c r="A121" s="5"/>
      <c r="B121" s="9" t="s">
        <v>26</v>
      </c>
      <c r="C121" s="10" t="n">
        <f aca="false">SUM(C116:C119)</f>
        <v>8973</v>
      </c>
      <c r="D121" s="10" t="n">
        <f aca="false">SUM(D116:D119)</f>
        <v>8960</v>
      </c>
      <c r="E121" s="10" t="n">
        <f aca="false">SUM(E116:E119)</f>
        <v>8957</v>
      </c>
      <c r="F121" s="10" t="n">
        <f aca="false">SUM(F116:F119)</f>
        <v>8966</v>
      </c>
      <c r="G121" s="10" t="n">
        <f aca="false">SUM(G116:G119)</f>
        <v>8913</v>
      </c>
      <c r="H121" s="10" t="n">
        <f aca="false">SUM(H116:H119)</f>
        <v>8938</v>
      </c>
      <c r="I121" s="10" t="n">
        <f aca="false">SUM(I116:I119)</f>
        <v>8885</v>
      </c>
      <c r="J121" s="10" t="n">
        <f aca="false">SUM(J116:J119)</f>
        <v>8902</v>
      </c>
      <c r="K121" s="10" t="n">
        <f aca="false">SUM(K116:K119)</f>
        <v>8886</v>
      </c>
      <c r="L121" s="10" t="n">
        <f aca="false">SUM(L116:L119)</f>
        <v>8890</v>
      </c>
      <c r="M121" s="6"/>
      <c r="N121" s="10" t="n">
        <f aca="false">AVERAGE(C121:L121)</f>
        <v>8927</v>
      </c>
      <c r="O121" s="10" t="n">
        <f aca="false">N121/$N$114*100</f>
        <v>28.3571181163072</v>
      </c>
      <c r="P121" s="10" t="n">
        <f aca="false">STDEVA(C121:L121)</f>
        <v>35.5621521658443</v>
      </c>
      <c r="Q121" s="10" t="n">
        <f aca="false">P121/N121*100</f>
        <v>0.398366216711598</v>
      </c>
      <c r="R121" s="6"/>
      <c r="S121" s="10" t="s">
        <v>47</v>
      </c>
      <c r="T121" s="10" t="s">
        <v>47</v>
      </c>
      <c r="U121" s="6"/>
      <c r="V121" s="6"/>
      <c r="W121" s="6"/>
      <c r="X121" s="6"/>
      <c r="Y121" s="6"/>
      <c r="Z121" s="6"/>
      <c r="AA121" s="7"/>
    </row>
    <row r="122" customFormat="false" ht="17" hidden="false" customHeight="false" outlineLevel="0" collapsed="false">
      <c r="A122" s="5"/>
      <c r="B122" s="9" t="s">
        <v>58</v>
      </c>
      <c r="C122" s="6"/>
      <c r="D122" s="6"/>
      <c r="E122" s="6"/>
      <c r="F122" s="6"/>
      <c r="G122" s="6"/>
      <c r="H122" s="6"/>
      <c r="I122" s="6"/>
      <c r="J122" s="6"/>
      <c r="K122" s="6"/>
      <c r="L122" s="6"/>
      <c r="M122" s="6"/>
      <c r="N122" s="10" t="n">
        <f aca="false">SUM(X125,X131,X137,X143,X149,X155,X161,X131)</f>
        <v>10164.86</v>
      </c>
      <c r="O122" s="10" t="n">
        <f aca="false">N122/$N$114*100</f>
        <v>32.2892501014592</v>
      </c>
      <c r="P122" s="10" t="n">
        <f aca="false">SUM(Z125,Z131,Z137,Z143,Z149,Z155,Z161,Z131)</f>
        <v>59.6851814506382</v>
      </c>
      <c r="Q122" s="10" t="n">
        <f aca="false">P122/N122*100</f>
        <v>0.587171701830013</v>
      </c>
      <c r="R122" s="6"/>
      <c r="S122" s="10" t="n">
        <f aca="false">SUM(X150,X156,X162)</f>
        <v>12.6</v>
      </c>
      <c r="T122" s="10" t="n">
        <f aca="false">SUM(X151,X157,X163)</f>
        <v>6</v>
      </c>
      <c r="U122" s="6" t="s">
        <v>20</v>
      </c>
      <c r="V122" s="6" t="s">
        <v>20</v>
      </c>
      <c r="W122" s="6"/>
      <c r="X122" s="6"/>
      <c r="Y122" s="6"/>
      <c r="Z122" s="6"/>
      <c r="AA122" s="7"/>
    </row>
    <row r="123" customFormat="false" ht="16" hidden="false" customHeight="false" outlineLevel="0" collapsed="false">
      <c r="A123" s="5"/>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7"/>
    </row>
    <row r="124" customFormat="false" ht="16" hidden="false" customHeight="false" outlineLevel="0" collapsed="false">
      <c r="A124" s="12" t="s">
        <v>27</v>
      </c>
      <c r="B124" s="8" t="s">
        <v>59</v>
      </c>
      <c r="C124" s="8" t="s">
        <v>8</v>
      </c>
      <c r="D124" s="8" t="s">
        <v>10</v>
      </c>
      <c r="E124" s="8" t="s">
        <v>12</v>
      </c>
      <c r="F124" s="8" t="s">
        <v>7</v>
      </c>
      <c r="G124" s="8" t="s">
        <v>6</v>
      </c>
      <c r="H124" s="8" t="s">
        <v>3</v>
      </c>
      <c r="I124" s="8" t="s">
        <v>5</v>
      </c>
      <c r="J124" s="8" t="s">
        <v>4</v>
      </c>
      <c r="K124" s="8" t="s">
        <v>11</v>
      </c>
      <c r="L124" s="8" t="s">
        <v>9</v>
      </c>
      <c r="M124" s="6"/>
      <c r="N124" s="6"/>
      <c r="O124" s="6"/>
      <c r="P124" s="6"/>
      <c r="Q124" s="6"/>
      <c r="R124" s="6"/>
      <c r="S124" s="6"/>
      <c r="T124" s="6"/>
      <c r="U124" s="6"/>
      <c r="V124" s="6"/>
      <c r="W124" s="6"/>
      <c r="X124" s="8" t="s">
        <v>28</v>
      </c>
      <c r="Y124" s="8" t="s">
        <v>29</v>
      </c>
      <c r="Z124" s="8" t="s">
        <v>30</v>
      </c>
      <c r="AA124" s="7"/>
    </row>
    <row r="125" customFormat="false" ht="16" hidden="false" customHeight="false" outlineLevel="0" collapsed="false">
      <c r="A125" s="13"/>
      <c r="B125" s="14" t="s">
        <v>31</v>
      </c>
      <c r="C125" s="10" t="n">
        <v>5637</v>
      </c>
      <c r="D125" s="10" t="n">
        <v>5623</v>
      </c>
      <c r="E125" s="10" t="n">
        <v>5615</v>
      </c>
      <c r="F125" s="10" t="n">
        <v>5613</v>
      </c>
      <c r="G125" s="10" t="n">
        <v>5601</v>
      </c>
      <c r="H125" s="10" t="n">
        <v>5610</v>
      </c>
      <c r="I125" s="10" t="n">
        <v>5598</v>
      </c>
      <c r="J125" s="10" t="n">
        <v>5610</v>
      </c>
      <c r="K125" s="10" t="n">
        <v>5590</v>
      </c>
      <c r="L125" s="10" t="n">
        <v>5599</v>
      </c>
      <c r="M125" s="6"/>
      <c r="N125" s="6"/>
      <c r="O125" s="6"/>
      <c r="P125" s="6"/>
      <c r="Q125" s="6"/>
      <c r="R125" s="6"/>
      <c r="S125" s="6"/>
      <c r="T125" s="6"/>
      <c r="U125" s="6"/>
      <c r="V125" s="6"/>
      <c r="W125" s="6"/>
      <c r="X125" s="14" t="n">
        <f aca="false">AVERAGE(C125:L125)</f>
        <v>5609.6</v>
      </c>
      <c r="Y125" s="14" t="n">
        <f aca="false">X125*5</f>
        <v>28048</v>
      </c>
      <c r="Z125" s="14" t="n">
        <f aca="false">STDEVA(C125:L125)</f>
        <v>13.6479546697176</v>
      </c>
      <c r="AA125" s="7"/>
    </row>
    <row r="126" customFormat="false" ht="16" hidden="false" customHeight="false" outlineLevel="0" collapsed="false">
      <c r="A126" s="13"/>
      <c r="B126" s="15" t="s">
        <v>32</v>
      </c>
      <c r="C126" s="11" t="n">
        <v>58</v>
      </c>
      <c r="D126" s="11"/>
      <c r="E126" s="11" t="n">
        <v>58</v>
      </c>
      <c r="F126" s="11"/>
      <c r="G126" s="11" t="n">
        <v>58</v>
      </c>
      <c r="H126" s="11"/>
      <c r="I126" s="11" t="n">
        <v>61</v>
      </c>
      <c r="J126" s="11"/>
      <c r="K126" s="11" t="n">
        <v>58</v>
      </c>
      <c r="L126" s="11"/>
      <c r="M126" s="6"/>
      <c r="N126" s="6"/>
      <c r="O126" s="6"/>
      <c r="P126" s="6"/>
      <c r="Q126" s="6"/>
      <c r="R126" s="6"/>
      <c r="S126" s="6"/>
      <c r="T126" s="6"/>
      <c r="U126" s="6"/>
      <c r="V126" s="6"/>
      <c r="W126" s="6"/>
      <c r="X126" s="15" t="n">
        <f aca="false">AVERAGE(C126:L126)</f>
        <v>58.6</v>
      </c>
      <c r="Y126" s="15" t="n">
        <f aca="false">X126*5</f>
        <v>293</v>
      </c>
      <c r="Z126" s="15" t="n">
        <f aca="false">STDEVA(C126:L126)</f>
        <v>1.34164078649987</v>
      </c>
      <c r="AA126" s="7"/>
    </row>
    <row r="127" customFormat="false" ht="16" hidden="false" customHeight="false" outlineLevel="0" collapsed="false">
      <c r="A127" s="13"/>
      <c r="B127" s="16" t="s">
        <v>33</v>
      </c>
      <c r="C127" s="11" t="n">
        <v>12</v>
      </c>
      <c r="D127" s="11"/>
      <c r="E127" s="11" t="n">
        <v>13</v>
      </c>
      <c r="F127" s="11"/>
      <c r="G127" s="11" t="n">
        <v>12</v>
      </c>
      <c r="H127" s="11"/>
      <c r="I127" s="11" t="n">
        <v>13</v>
      </c>
      <c r="J127" s="11"/>
      <c r="K127" s="11" t="n">
        <v>11</v>
      </c>
      <c r="L127" s="11"/>
      <c r="M127" s="6"/>
      <c r="N127" s="6"/>
      <c r="O127" s="6"/>
      <c r="P127" s="6"/>
      <c r="Q127" s="6"/>
      <c r="R127" s="6"/>
      <c r="S127" s="6"/>
      <c r="T127" s="6"/>
      <c r="U127" s="6"/>
      <c r="V127" s="6"/>
      <c r="W127" s="6"/>
      <c r="X127" s="16" t="n">
        <f aca="false">AVERAGE(C127:L127)</f>
        <v>12.2</v>
      </c>
      <c r="Y127" s="16" t="n">
        <f aca="false">X127*5</f>
        <v>61</v>
      </c>
      <c r="Z127" s="16" t="n">
        <f aca="false">STDEVA(C127:L127)</f>
        <v>0.836660026534076</v>
      </c>
      <c r="AA127" s="7"/>
    </row>
    <row r="128" customFormat="false" ht="16" hidden="false" customHeight="false" outlineLevel="0" collapsed="false">
      <c r="A128" s="13"/>
      <c r="B128" s="8" t="s">
        <v>34</v>
      </c>
      <c r="C128" s="11" t="n">
        <v>-77.9</v>
      </c>
      <c r="D128" s="11"/>
      <c r="E128" s="11" t="n">
        <v>-77.9</v>
      </c>
      <c r="F128" s="11"/>
      <c r="G128" s="11" t="n">
        <v>-77.7</v>
      </c>
      <c r="H128" s="11"/>
      <c r="I128" s="11" t="n">
        <v>-77.2</v>
      </c>
      <c r="J128" s="11"/>
      <c r="K128" s="11" t="n">
        <v>-77.7</v>
      </c>
      <c r="L128" s="11"/>
      <c r="M128" s="6"/>
      <c r="N128" s="6"/>
      <c r="O128" s="6"/>
      <c r="P128" s="6"/>
      <c r="Q128" s="6"/>
      <c r="R128" s="6"/>
      <c r="S128" s="6"/>
      <c r="T128" s="6"/>
      <c r="U128" s="6"/>
      <c r="V128" s="6"/>
      <c r="W128" s="6"/>
      <c r="X128" s="17" t="n">
        <f aca="false">AVERAGE(C128:L128)</f>
        <v>-77.68</v>
      </c>
      <c r="Y128" s="17" t="s">
        <v>20</v>
      </c>
      <c r="Z128" s="17" t="n">
        <f aca="false">STDEVA(C128:L128)</f>
        <v>0.286356421265528</v>
      </c>
      <c r="AA128" s="7"/>
    </row>
    <row r="129" customFormat="false" ht="16" hidden="false" customHeight="false" outlineLevel="0" collapsed="false">
      <c r="A129" s="5"/>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7"/>
    </row>
    <row r="130" customFormat="false" ht="16" hidden="false" customHeight="false" outlineLevel="0" collapsed="false">
      <c r="A130" s="12" t="s">
        <v>35</v>
      </c>
      <c r="B130" s="8" t="s">
        <v>59</v>
      </c>
      <c r="C130" s="10" t="s">
        <v>12</v>
      </c>
      <c r="D130" s="10" t="s">
        <v>8</v>
      </c>
      <c r="E130" s="10" t="s">
        <v>7</v>
      </c>
      <c r="F130" s="10" t="s">
        <v>3</v>
      </c>
      <c r="G130" s="10" t="s">
        <v>7</v>
      </c>
      <c r="H130" s="10" t="s">
        <v>10</v>
      </c>
      <c r="I130" s="10" t="s">
        <v>4</v>
      </c>
      <c r="J130" s="10" t="s">
        <v>10</v>
      </c>
      <c r="K130" s="10" t="s">
        <v>6</v>
      </c>
      <c r="L130" s="10" t="s">
        <v>12</v>
      </c>
      <c r="M130" s="10" t="s">
        <v>3</v>
      </c>
      <c r="N130" s="10" t="s">
        <v>9</v>
      </c>
      <c r="O130" s="10" t="s">
        <v>6</v>
      </c>
      <c r="P130" s="10" t="s">
        <v>11</v>
      </c>
      <c r="Q130" s="10" t="s">
        <v>5</v>
      </c>
      <c r="R130" s="10" t="s">
        <v>8</v>
      </c>
      <c r="S130" s="10" t="s">
        <v>5</v>
      </c>
      <c r="T130" s="10" t="s">
        <v>11</v>
      </c>
      <c r="U130" s="10" t="s">
        <v>4</v>
      </c>
      <c r="V130" s="10" t="s">
        <v>9</v>
      </c>
      <c r="W130" s="6"/>
      <c r="X130" s="8" t="s">
        <v>28</v>
      </c>
      <c r="Y130" s="8" t="s">
        <v>29</v>
      </c>
      <c r="Z130" s="8" t="s">
        <v>30</v>
      </c>
      <c r="AA130" s="7"/>
    </row>
    <row r="131" customFormat="false" ht="16" hidden="false" customHeight="false" outlineLevel="0" collapsed="false">
      <c r="A131" s="13"/>
      <c r="B131" s="8" t="s">
        <v>31</v>
      </c>
      <c r="C131" s="10" t="n">
        <v>1486</v>
      </c>
      <c r="D131" s="10" t="n">
        <v>1507</v>
      </c>
      <c r="E131" s="10" t="n">
        <v>1482</v>
      </c>
      <c r="F131" s="10" t="n">
        <v>1498</v>
      </c>
      <c r="G131" s="10" t="n">
        <v>1496</v>
      </c>
      <c r="H131" s="10" t="n">
        <v>1479</v>
      </c>
      <c r="I131" s="10" t="n">
        <v>1472</v>
      </c>
      <c r="J131" s="10" t="n">
        <v>1493</v>
      </c>
      <c r="K131" s="10" t="n">
        <v>1466</v>
      </c>
      <c r="L131" s="10" t="n">
        <v>1491</v>
      </c>
      <c r="M131" s="10" t="n">
        <v>1467</v>
      </c>
      <c r="N131" s="10" t="n">
        <v>1490</v>
      </c>
      <c r="O131" s="10" t="n">
        <v>1487</v>
      </c>
      <c r="P131" s="10" t="n">
        <v>1464</v>
      </c>
      <c r="Q131" s="10" t="n">
        <v>1476</v>
      </c>
      <c r="R131" s="10" t="n">
        <v>1462</v>
      </c>
      <c r="S131" s="10" t="n">
        <v>1458</v>
      </c>
      <c r="T131" s="10" t="n">
        <v>1478</v>
      </c>
      <c r="U131" s="10" t="n">
        <v>1473</v>
      </c>
      <c r="V131" s="10" t="n">
        <v>1453</v>
      </c>
      <c r="W131" s="6"/>
      <c r="X131" s="14" t="n">
        <f aca="false">AVERAGE(C131:L131)</f>
        <v>1487</v>
      </c>
      <c r="Y131" s="14" t="n">
        <f aca="false">X131*10</f>
        <v>14870</v>
      </c>
      <c r="Z131" s="14" t="n">
        <f aca="false">STDEVA(C131:L131)</f>
        <v>12.5166555703457</v>
      </c>
      <c r="AA131" s="7"/>
    </row>
    <row r="132" customFormat="false" ht="16" hidden="false" customHeight="false" outlineLevel="0" collapsed="false">
      <c r="A132" s="13"/>
      <c r="B132" s="15" t="s">
        <v>32</v>
      </c>
      <c r="C132" s="11" t="n">
        <v>18</v>
      </c>
      <c r="D132" s="11"/>
      <c r="E132" s="11" t="n">
        <v>17</v>
      </c>
      <c r="F132" s="11"/>
      <c r="G132" s="11" t="n">
        <v>17</v>
      </c>
      <c r="H132" s="11"/>
      <c r="I132" s="11" t="n">
        <v>17</v>
      </c>
      <c r="J132" s="11"/>
      <c r="K132" s="11" t="n">
        <v>17</v>
      </c>
      <c r="L132" s="11"/>
      <c r="M132" s="11" t="n">
        <v>18</v>
      </c>
      <c r="N132" s="11"/>
      <c r="O132" s="11" t="n">
        <v>17</v>
      </c>
      <c r="P132" s="11"/>
      <c r="Q132" s="11" t="n">
        <v>18</v>
      </c>
      <c r="R132" s="11"/>
      <c r="S132" s="11" t="n">
        <v>17</v>
      </c>
      <c r="T132" s="11"/>
      <c r="U132" s="11" t="n">
        <v>16</v>
      </c>
      <c r="V132" s="11"/>
      <c r="W132" s="6"/>
      <c r="X132" s="15" t="n">
        <f aca="false">AVERAGE(C132:L132)</f>
        <v>17.2</v>
      </c>
      <c r="Y132" s="15" t="n">
        <f aca="false">X132*5</f>
        <v>86</v>
      </c>
      <c r="Z132" s="15" t="n">
        <f aca="false">STDEVA(C132:L132)</f>
        <v>0.447213595499958</v>
      </c>
      <c r="AA132" s="7"/>
    </row>
    <row r="133" customFormat="false" ht="16" hidden="false" customHeight="false" outlineLevel="0" collapsed="false">
      <c r="A133" s="13"/>
      <c r="B133" s="16" t="s">
        <v>33</v>
      </c>
      <c r="C133" s="11" t="n">
        <v>3</v>
      </c>
      <c r="D133" s="11"/>
      <c r="E133" s="11" t="n">
        <v>3</v>
      </c>
      <c r="F133" s="11"/>
      <c r="G133" s="11" t="n">
        <v>3</v>
      </c>
      <c r="H133" s="11"/>
      <c r="I133" s="11" t="n">
        <v>3</v>
      </c>
      <c r="J133" s="11"/>
      <c r="K133" s="11" t="n">
        <v>3</v>
      </c>
      <c r="L133" s="11"/>
      <c r="M133" s="11" t="n">
        <v>3</v>
      </c>
      <c r="N133" s="11"/>
      <c r="O133" s="11" t="n">
        <v>3</v>
      </c>
      <c r="P133" s="11"/>
      <c r="Q133" s="11" t="n">
        <v>3</v>
      </c>
      <c r="R133" s="11"/>
      <c r="S133" s="11" t="n">
        <v>3</v>
      </c>
      <c r="T133" s="11"/>
      <c r="U133" s="11" t="n">
        <v>3</v>
      </c>
      <c r="V133" s="11"/>
      <c r="W133" s="6"/>
      <c r="X133" s="16" t="n">
        <f aca="false">AVERAGE(C133:L133)</f>
        <v>3</v>
      </c>
      <c r="Y133" s="16" t="n">
        <f aca="false">X133*5</f>
        <v>15</v>
      </c>
      <c r="Z133" s="16" t="n">
        <f aca="false">STDEVA(C133:L133)</f>
        <v>0</v>
      </c>
      <c r="AA133" s="7"/>
    </row>
    <row r="134" customFormat="false" ht="16" hidden="false" customHeight="false" outlineLevel="0" collapsed="false">
      <c r="A134" s="13"/>
      <c r="B134" s="8" t="s">
        <v>34</v>
      </c>
      <c r="C134" s="11" t="n">
        <v>-7</v>
      </c>
      <c r="D134" s="11"/>
      <c r="E134" s="11" t="n">
        <v>-7.1</v>
      </c>
      <c r="F134" s="11"/>
      <c r="G134" s="11" t="n">
        <v>-6.2</v>
      </c>
      <c r="H134" s="11"/>
      <c r="I134" s="11" t="n">
        <v>-7.5</v>
      </c>
      <c r="J134" s="11"/>
      <c r="K134" s="11" t="n">
        <v>-7.2</v>
      </c>
      <c r="L134" s="11"/>
      <c r="M134" s="11" t="n">
        <v>-7.2</v>
      </c>
      <c r="N134" s="11"/>
      <c r="O134" s="11" t="n">
        <v>-7.3</v>
      </c>
      <c r="P134" s="11"/>
      <c r="Q134" s="11" t="n">
        <v>-7.1</v>
      </c>
      <c r="R134" s="11"/>
      <c r="S134" s="11" t="n">
        <v>-7.5</v>
      </c>
      <c r="T134" s="11"/>
      <c r="U134" s="11" t="n">
        <v>-7.5</v>
      </c>
      <c r="V134" s="11"/>
      <c r="W134" s="6"/>
      <c r="X134" s="17" t="n">
        <f aca="false">AVERAGE(C134:L134)</f>
        <v>-7</v>
      </c>
      <c r="Y134" s="17" t="s">
        <v>20</v>
      </c>
      <c r="Z134" s="17" t="n">
        <f aca="false">STDEVA(C134:L134)</f>
        <v>0.484767985741633</v>
      </c>
      <c r="AA134" s="7"/>
    </row>
    <row r="135" customFormat="false" ht="16" hidden="false" customHeight="false" outlineLevel="0" collapsed="false">
      <c r="A135" s="5"/>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7"/>
    </row>
    <row r="136" customFormat="false" ht="16" hidden="false" customHeight="false" outlineLevel="0" collapsed="false">
      <c r="A136" s="12" t="s">
        <v>37</v>
      </c>
      <c r="B136" s="8" t="s">
        <v>59</v>
      </c>
      <c r="C136" s="8" t="s">
        <v>8</v>
      </c>
      <c r="D136" s="8" t="s">
        <v>7</v>
      </c>
      <c r="E136" s="8" t="s">
        <v>12</v>
      </c>
      <c r="F136" s="8" t="s">
        <v>3</v>
      </c>
      <c r="G136" s="8" t="s">
        <v>5</v>
      </c>
      <c r="H136" s="8" t="s">
        <v>10</v>
      </c>
      <c r="I136" s="8" t="s">
        <v>6</v>
      </c>
      <c r="J136" s="8" t="s">
        <v>9</v>
      </c>
      <c r="K136" s="8" t="s">
        <v>11</v>
      </c>
      <c r="L136" s="8" t="s">
        <v>4</v>
      </c>
      <c r="M136" s="6"/>
      <c r="N136" s="6"/>
      <c r="O136" s="6"/>
      <c r="P136" s="6"/>
      <c r="Q136" s="6"/>
      <c r="R136" s="6"/>
      <c r="S136" s="6"/>
      <c r="T136" s="6"/>
      <c r="U136" s="6"/>
      <c r="V136" s="6"/>
      <c r="W136" s="6"/>
      <c r="X136" s="8" t="s">
        <v>28</v>
      </c>
      <c r="Y136" s="8" t="s">
        <v>29</v>
      </c>
      <c r="Z136" s="8" t="s">
        <v>30</v>
      </c>
      <c r="AA136" s="7"/>
    </row>
    <row r="137" customFormat="false" ht="16" hidden="false" customHeight="false" outlineLevel="0" collapsed="false">
      <c r="A137" s="13"/>
      <c r="B137" s="14" t="s">
        <v>31</v>
      </c>
      <c r="C137" s="10" t="n">
        <v>302</v>
      </c>
      <c r="D137" s="10" t="n">
        <v>305</v>
      </c>
      <c r="E137" s="10" t="n">
        <v>294</v>
      </c>
      <c r="F137" s="10" t="n">
        <v>296</v>
      </c>
      <c r="G137" s="10" t="n">
        <v>291</v>
      </c>
      <c r="H137" s="10" t="n">
        <v>294</v>
      </c>
      <c r="I137" s="10" t="n">
        <v>290</v>
      </c>
      <c r="J137" s="10" t="n">
        <v>286</v>
      </c>
      <c r="K137" s="10" t="n">
        <v>287</v>
      </c>
      <c r="L137" s="10" t="n">
        <v>283</v>
      </c>
      <c r="M137" s="6"/>
      <c r="N137" s="6"/>
      <c r="O137" s="6"/>
      <c r="P137" s="6"/>
      <c r="Q137" s="6"/>
      <c r="R137" s="6"/>
      <c r="S137" s="6"/>
      <c r="T137" s="6"/>
      <c r="U137" s="6"/>
      <c r="V137" s="6"/>
      <c r="W137" s="6"/>
      <c r="X137" s="14" t="n">
        <f aca="false">AVERAGE(C137:L137)</f>
        <v>292.8</v>
      </c>
      <c r="Y137" s="14" t="n">
        <f aca="false">X137*5</f>
        <v>1464</v>
      </c>
      <c r="Z137" s="14" t="n">
        <f aca="false">STDEVA(C137:L137)</f>
        <v>6.94102137857086</v>
      </c>
      <c r="AA137" s="7"/>
    </row>
    <row r="138" customFormat="false" ht="16" hidden="false" customHeight="false" outlineLevel="0" collapsed="false">
      <c r="A138" s="13"/>
      <c r="B138" s="15" t="s">
        <v>32</v>
      </c>
      <c r="C138" s="11" t="n">
        <v>0</v>
      </c>
      <c r="D138" s="11"/>
      <c r="E138" s="11" t="n">
        <v>0</v>
      </c>
      <c r="F138" s="11"/>
      <c r="G138" s="11" t="n">
        <v>0</v>
      </c>
      <c r="H138" s="11"/>
      <c r="I138" s="11" t="n">
        <v>0</v>
      </c>
      <c r="J138" s="11"/>
      <c r="K138" s="11" t="n">
        <v>0</v>
      </c>
      <c r="L138" s="11"/>
      <c r="M138" s="6"/>
      <c r="N138" s="6"/>
      <c r="O138" s="6"/>
      <c r="P138" s="6"/>
      <c r="Q138" s="6"/>
      <c r="R138" s="6"/>
      <c r="S138" s="6"/>
      <c r="T138" s="6"/>
      <c r="U138" s="6"/>
      <c r="V138" s="6"/>
      <c r="W138" s="6"/>
      <c r="X138" s="15" t="n">
        <f aca="false">AVERAGE(C138:L138)</f>
        <v>0</v>
      </c>
      <c r="Y138" s="15" t="n">
        <f aca="false">X138*5</f>
        <v>0</v>
      </c>
      <c r="Z138" s="15" t="n">
        <f aca="false">STDEVA(C138:L138)</f>
        <v>0</v>
      </c>
      <c r="AA138" s="7"/>
    </row>
    <row r="139" customFormat="false" ht="16" hidden="false" customHeight="false" outlineLevel="0" collapsed="false">
      <c r="A139" s="13"/>
      <c r="B139" s="16" t="s">
        <v>33</v>
      </c>
      <c r="C139" s="11" t="n">
        <v>4</v>
      </c>
      <c r="D139" s="11"/>
      <c r="E139" s="11" t="n">
        <v>4</v>
      </c>
      <c r="F139" s="11"/>
      <c r="G139" s="11" t="n">
        <v>4</v>
      </c>
      <c r="H139" s="11"/>
      <c r="I139" s="11" t="n">
        <v>4</v>
      </c>
      <c r="J139" s="11"/>
      <c r="K139" s="11" t="n">
        <v>3</v>
      </c>
      <c r="L139" s="11"/>
      <c r="M139" s="6"/>
      <c r="N139" s="6"/>
      <c r="O139" s="6"/>
      <c r="P139" s="6"/>
      <c r="Q139" s="6"/>
      <c r="R139" s="6"/>
      <c r="S139" s="6"/>
      <c r="T139" s="6"/>
      <c r="U139" s="6"/>
      <c r="V139" s="6"/>
      <c r="W139" s="6"/>
      <c r="X139" s="16" t="n">
        <f aca="false">AVERAGE(C139:L139)</f>
        <v>3.8</v>
      </c>
      <c r="Y139" s="16" t="n">
        <f aca="false">X139*5</f>
        <v>19</v>
      </c>
      <c r="Z139" s="16" t="n">
        <f aca="false">STDEVA(C139:L139)</f>
        <v>0.447213595499957</v>
      </c>
      <c r="AA139" s="7"/>
    </row>
    <row r="140" customFormat="false" ht="16" hidden="false" customHeight="false" outlineLevel="0" collapsed="false">
      <c r="A140" s="13"/>
      <c r="B140" s="8" t="s">
        <v>34</v>
      </c>
      <c r="C140" s="11" t="n">
        <v>3.3</v>
      </c>
      <c r="D140" s="11"/>
      <c r="E140" s="11" t="n">
        <v>3.2</v>
      </c>
      <c r="F140" s="11"/>
      <c r="G140" s="11" t="n">
        <v>3.3</v>
      </c>
      <c r="H140" s="11"/>
      <c r="I140" s="11" t="n">
        <v>3.2</v>
      </c>
      <c r="J140" s="11"/>
      <c r="K140" s="11" t="n">
        <v>3.2</v>
      </c>
      <c r="L140" s="11"/>
      <c r="M140" s="6"/>
      <c r="N140" s="6"/>
      <c r="O140" s="6"/>
      <c r="P140" s="6"/>
      <c r="Q140" s="6"/>
      <c r="R140" s="6"/>
      <c r="S140" s="6"/>
      <c r="T140" s="6"/>
      <c r="U140" s="6"/>
      <c r="V140" s="6"/>
      <c r="W140" s="6"/>
      <c r="X140" s="17" t="n">
        <f aca="false">AVERAGE(C140:L140)</f>
        <v>3.24</v>
      </c>
      <c r="Y140" s="17" t="s">
        <v>20</v>
      </c>
      <c r="Z140" s="17" t="n">
        <f aca="false">STDEVA(C140:L140)</f>
        <v>0.0547722557505164</v>
      </c>
      <c r="AA140" s="7"/>
    </row>
    <row r="141" customFormat="false" ht="16" hidden="false" customHeight="false" outlineLevel="0" collapsed="false">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7"/>
    </row>
    <row r="142" customFormat="false" ht="16" hidden="false" customHeight="false" outlineLevel="0" collapsed="false">
      <c r="A142" s="12" t="s">
        <v>60</v>
      </c>
      <c r="B142" s="8" t="s">
        <v>59</v>
      </c>
      <c r="C142" s="8" t="s">
        <v>12</v>
      </c>
      <c r="D142" s="8" t="s">
        <v>10</v>
      </c>
      <c r="E142" s="8" t="s">
        <v>6</v>
      </c>
      <c r="F142" s="8" t="s">
        <v>7</v>
      </c>
      <c r="G142" s="8" t="s">
        <v>11</v>
      </c>
      <c r="H142" s="8" t="s">
        <v>3</v>
      </c>
      <c r="I142" s="8" t="s">
        <v>8</v>
      </c>
      <c r="J142" s="8" t="s">
        <v>4</v>
      </c>
      <c r="K142" s="8" t="s">
        <v>5</v>
      </c>
      <c r="L142" s="8" t="s">
        <v>9</v>
      </c>
      <c r="M142" s="6"/>
      <c r="N142" s="6"/>
      <c r="O142" s="6"/>
      <c r="P142" s="6"/>
      <c r="Q142" s="6"/>
      <c r="R142" s="6"/>
      <c r="S142" s="6"/>
      <c r="T142" s="6"/>
      <c r="U142" s="6"/>
      <c r="V142" s="6"/>
      <c r="W142" s="6"/>
      <c r="X142" s="8" t="s">
        <v>28</v>
      </c>
      <c r="Y142" s="8" t="s">
        <v>29</v>
      </c>
      <c r="Z142" s="8" t="s">
        <v>30</v>
      </c>
      <c r="AA142" s="7"/>
    </row>
    <row r="143" customFormat="false" ht="16" hidden="false" customHeight="false" outlineLevel="0" collapsed="false">
      <c r="A143" s="13"/>
      <c r="B143" s="14" t="s">
        <v>31</v>
      </c>
      <c r="C143" s="10" t="n">
        <v>71</v>
      </c>
      <c r="D143" s="10" t="n">
        <v>71</v>
      </c>
      <c r="E143" s="10" t="n">
        <v>69</v>
      </c>
      <c r="F143" s="10" t="n">
        <v>70</v>
      </c>
      <c r="G143" s="10" t="n">
        <v>67</v>
      </c>
      <c r="H143" s="10" t="n">
        <v>67</v>
      </c>
      <c r="I143" s="10" t="n">
        <v>65</v>
      </c>
      <c r="J143" s="10" t="n">
        <v>64</v>
      </c>
      <c r="K143" s="10" t="n">
        <v>62</v>
      </c>
      <c r="L143" s="10" t="n">
        <v>62</v>
      </c>
      <c r="M143" s="6"/>
      <c r="N143" s="6"/>
      <c r="O143" s="6"/>
      <c r="P143" s="6"/>
      <c r="Q143" s="6"/>
      <c r="R143" s="6"/>
      <c r="S143" s="6"/>
      <c r="T143" s="6"/>
      <c r="U143" s="6"/>
      <c r="V143" s="6"/>
      <c r="W143" s="6"/>
      <c r="X143" s="14" t="n">
        <f aca="false">AVERAGE(C143:L143)</f>
        <v>66.8</v>
      </c>
      <c r="Y143" s="14" t="n">
        <f aca="false">X143*5</f>
        <v>334</v>
      </c>
      <c r="Z143" s="14" t="n">
        <f aca="false">STDEVA(C143:L143)</f>
        <v>3.45768066130398</v>
      </c>
      <c r="AA143" s="7"/>
    </row>
    <row r="144" customFormat="false" ht="16" hidden="false" customHeight="false" outlineLevel="0" collapsed="false">
      <c r="A144" s="13"/>
      <c r="B144" s="15" t="s">
        <v>32</v>
      </c>
      <c r="C144" s="11" t="n">
        <v>0</v>
      </c>
      <c r="D144" s="11"/>
      <c r="E144" s="11" t="n">
        <v>0</v>
      </c>
      <c r="F144" s="11"/>
      <c r="G144" s="11" t="n">
        <v>0</v>
      </c>
      <c r="H144" s="11"/>
      <c r="I144" s="11" t="n">
        <v>0</v>
      </c>
      <c r="J144" s="11"/>
      <c r="K144" s="11" t="n">
        <v>0</v>
      </c>
      <c r="L144" s="11"/>
      <c r="M144" s="6"/>
      <c r="N144" s="6"/>
      <c r="O144" s="6"/>
      <c r="P144" s="6"/>
      <c r="Q144" s="6"/>
      <c r="R144" s="6"/>
      <c r="S144" s="6"/>
      <c r="T144" s="6"/>
      <c r="U144" s="6"/>
      <c r="V144" s="6"/>
      <c r="W144" s="6"/>
      <c r="X144" s="15" t="n">
        <f aca="false">AVERAGE(C144:L144)</f>
        <v>0</v>
      </c>
      <c r="Y144" s="15" t="n">
        <f aca="false">X144*5</f>
        <v>0</v>
      </c>
      <c r="Z144" s="15" t="n">
        <f aca="false">STDEVA(C144:L144)</f>
        <v>0</v>
      </c>
      <c r="AA144" s="7"/>
    </row>
    <row r="145" customFormat="false" ht="16" hidden="false" customHeight="false" outlineLevel="0" collapsed="false">
      <c r="A145" s="13"/>
      <c r="B145" s="16" t="s">
        <v>33</v>
      </c>
      <c r="C145" s="11" t="n">
        <v>0</v>
      </c>
      <c r="D145" s="11"/>
      <c r="E145" s="11" t="n">
        <v>0</v>
      </c>
      <c r="F145" s="11"/>
      <c r="G145" s="11" t="n">
        <v>0</v>
      </c>
      <c r="H145" s="11"/>
      <c r="I145" s="11" t="n">
        <v>0</v>
      </c>
      <c r="J145" s="11"/>
      <c r="K145" s="11" t="n">
        <v>0</v>
      </c>
      <c r="L145" s="11"/>
      <c r="M145" s="6"/>
      <c r="N145" s="6"/>
      <c r="O145" s="6"/>
      <c r="P145" s="6"/>
      <c r="Q145" s="6"/>
      <c r="R145" s="6"/>
      <c r="S145" s="6"/>
      <c r="T145" s="6"/>
      <c r="U145" s="6"/>
      <c r="V145" s="6"/>
      <c r="W145" s="6"/>
      <c r="X145" s="16" t="n">
        <f aca="false">AVERAGE(C145:L145)</f>
        <v>0</v>
      </c>
      <c r="Y145" s="16" t="n">
        <f aca="false">X145*5</f>
        <v>0</v>
      </c>
      <c r="Z145" s="16" t="n">
        <f aca="false">STDEVA(C145:L145)</f>
        <v>0</v>
      </c>
      <c r="AA145" s="7"/>
    </row>
    <row r="146" customFormat="false" ht="16" hidden="false" customHeight="false" outlineLevel="0" collapsed="false">
      <c r="A146" s="13"/>
      <c r="B146" s="8" t="s">
        <v>34</v>
      </c>
      <c r="C146" s="11" t="n">
        <v>0</v>
      </c>
      <c r="D146" s="11"/>
      <c r="E146" s="11" t="n">
        <v>-0.1</v>
      </c>
      <c r="F146" s="11"/>
      <c r="G146" s="11" t="n">
        <v>-0.1</v>
      </c>
      <c r="H146" s="11"/>
      <c r="I146" s="11" t="n">
        <v>-0.1</v>
      </c>
      <c r="J146" s="11"/>
      <c r="K146" s="11" t="n">
        <v>-0.2</v>
      </c>
      <c r="L146" s="11"/>
      <c r="M146" s="6"/>
      <c r="N146" s="6"/>
      <c r="O146" s="6"/>
      <c r="P146" s="6"/>
      <c r="Q146" s="6"/>
      <c r="R146" s="6"/>
      <c r="S146" s="6"/>
      <c r="T146" s="6"/>
      <c r="U146" s="6"/>
      <c r="V146" s="6"/>
      <c r="W146" s="6"/>
      <c r="X146" s="17" t="n">
        <f aca="false">AVERAGE(C146:L146)</f>
        <v>-0.1</v>
      </c>
      <c r="Y146" s="17" t="s">
        <v>20</v>
      </c>
      <c r="Z146" s="17" t="n">
        <f aca="false">STDEVA(C146:L146)</f>
        <v>0.0707106781186548</v>
      </c>
      <c r="AA146" s="7"/>
    </row>
    <row r="147" customFormat="false" ht="16" hidden="false" customHeight="false" outlineLevel="0" collapsed="false">
      <c r="A147" s="5"/>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7"/>
    </row>
    <row r="148" customFormat="false" ht="16" hidden="false" customHeight="false" outlineLevel="0" collapsed="false">
      <c r="A148" s="12" t="s">
        <v>61</v>
      </c>
      <c r="B148" s="8" t="s">
        <v>59</v>
      </c>
      <c r="C148" s="8" t="s">
        <v>12</v>
      </c>
      <c r="D148" s="8" t="s">
        <v>62</v>
      </c>
      <c r="E148" s="8" t="s">
        <v>11</v>
      </c>
      <c r="F148" s="8" t="s">
        <v>41</v>
      </c>
      <c r="G148" s="8" t="s">
        <v>6</v>
      </c>
      <c r="H148" s="8" t="s">
        <v>39</v>
      </c>
      <c r="I148" s="8" t="s">
        <v>5</v>
      </c>
      <c r="J148" s="8" t="s">
        <v>43</v>
      </c>
      <c r="K148" s="8" t="s">
        <v>8</v>
      </c>
      <c r="L148" s="8" t="s">
        <v>45</v>
      </c>
      <c r="M148" s="6"/>
      <c r="N148" s="6"/>
      <c r="O148" s="6"/>
      <c r="P148" s="6"/>
      <c r="Q148" s="6"/>
      <c r="R148" s="6"/>
      <c r="S148" s="6"/>
      <c r="T148" s="6"/>
      <c r="U148" s="6"/>
      <c r="V148" s="6"/>
      <c r="W148" s="6"/>
      <c r="X148" s="8" t="s">
        <v>28</v>
      </c>
      <c r="Y148" s="8" t="s">
        <v>29</v>
      </c>
      <c r="Z148" s="8" t="s">
        <v>30</v>
      </c>
      <c r="AA148" s="7"/>
    </row>
    <row r="149" customFormat="false" ht="16" hidden="false" customHeight="false" outlineLevel="0" collapsed="false">
      <c r="A149" s="13"/>
      <c r="B149" s="14" t="s">
        <v>31</v>
      </c>
      <c r="C149" s="10" t="n">
        <v>907</v>
      </c>
      <c r="D149" s="10" t="n">
        <v>909</v>
      </c>
      <c r="E149" s="10" t="n">
        <v>910</v>
      </c>
      <c r="F149" s="10" t="n">
        <v>905</v>
      </c>
      <c r="G149" s="10" t="n">
        <v>908</v>
      </c>
      <c r="H149" s="10" t="n">
        <v>905</v>
      </c>
      <c r="I149" s="10" t="n">
        <v>895</v>
      </c>
      <c r="J149" s="10" t="n">
        <v>900</v>
      </c>
      <c r="K149" s="29" t="n">
        <v>892.8</v>
      </c>
      <c r="L149" s="29" t="n">
        <v>894.5</v>
      </c>
      <c r="M149" s="6"/>
      <c r="N149" s="6"/>
      <c r="O149" s="6"/>
      <c r="P149" s="6"/>
      <c r="Q149" s="6"/>
      <c r="R149" s="6"/>
      <c r="S149" s="6"/>
      <c r="T149" s="6"/>
      <c r="U149" s="6"/>
      <c r="V149" s="6"/>
      <c r="W149" s="6"/>
      <c r="X149" s="14" t="n">
        <f aca="false">AVERAGE(C149:L149)</f>
        <v>902.63</v>
      </c>
      <c r="Y149" s="14" t="n">
        <f aca="false">X149*5</f>
        <v>4513.15</v>
      </c>
      <c r="Z149" s="14" t="n">
        <f aca="false">STDEVA(C149:L149)</f>
        <v>6.51426639512591</v>
      </c>
      <c r="AA149" s="7"/>
    </row>
    <row r="150" customFormat="false" ht="16" hidden="false" customHeight="false" outlineLevel="0" collapsed="false">
      <c r="A150" s="13"/>
      <c r="B150" s="15" t="s">
        <v>63</v>
      </c>
      <c r="C150" s="11" t="n">
        <v>9</v>
      </c>
      <c r="D150" s="11"/>
      <c r="E150" s="11" t="n">
        <v>10</v>
      </c>
      <c r="F150" s="11"/>
      <c r="G150" s="11" t="n">
        <v>10</v>
      </c>
      <c r="H150" s="11"/>
      <c r="I150" s="11" t="n">
        <v>10</v>
      </c>
      <c r="J150" s="11"/>
      <c r="K150" s="11" t="n">
        <v>10</v>
      </c>
      <c r="L150" s="11"/>
      <c r="M150" s="6"/>
      <c r="N150" s="6"/>
      <c r="O150" s="6"/>
      <c r="P150" s="6"/>
      <c r="Q150" s="6"/>
      <c r="R150" s="6"/>
      <c r="S150" s="6"/>
      <c r="T150" s="6"/>
      <c r="U150" s="6"/>
      <c r="V150" s="6"/>
      <c r="W150" s="6"/>
      <c r="X150" s="15" t="n">
        <f aca="false">AVERAGE(C150:L150)</f>
        <v>9.8</v>
      </c>
      <c r="Y150" s="15" t="n">
        <f aca="false">X150*5</f>
        <v>49</v>
      </c>
      <c r="Z150" s="15" t="n">
        <f aca="false">STDEVA(C150:L150)</f>
        <v>0.447213595499958</v>
      </c>
      <c r="AA150" s="7"/>
    </row>
    <row r="151" customFormat="false" ht="16" hidden="false" customHeight="false" outlineLevel="0" collapsed="false">
      <c r="A151" s="13"/>
      <c r="B151" s="16" t="s">
        <v>33</v>
      </c>
      <c r="C151" s="11" t="n">
        <v>6</v>
      </c>
      <c r="D151" s="11"/>
      <c r="E151" s="11" t="n">
        <v>6</v>
      </c>
      <c r="F151" s="11"/>
      <c r="G151" s="11" t="n">
        <v>6</v>
      </c>
      <c r="H151" s="11"/>
      <c r="I151" s="11" t="n">
        <v>6</v>
      </c>
      <c r="J151" s="11"/>
      <c r="K151" s="11" t="n">
        <v>6</v>
      </c>
      <c r="L151" s="11"/>
      <c r="M151" s="6"/>
      <c r="N151" s="6"/>
      <c r="O151" s="6"/>
      <c r="P151" s="6"/>
      <c r="Q151" s="6"/>
      <c r="R151" s="6"/>
      <c r="S151" s="6"/>
      <c r="T151" s="6"/>
      <c r="U151" s="6"/>
      <c r="V151" s="6"/>
      <c r="W151" s="6"/>
      <c r="X151" s="16" t="n">
        <f aca="false">AVERAGE(C151:L151)</f>
        <v>6</v>
      </c>
      <c r="Y151" s="16" t="n">
        <f aca="false">X151*5</f>
        <v>30</v>
      </c>
      <c r="Z151" s="16" t="n">
        <f aca="false">STDEVA(C151:L151)</f>
        <v>0</v>
      </c>
      <c r="AA151" s="7"/>
    </row>
    <row r="152" customFormat="false" ht="16" hidden="false" customHeight="false" outlineLevel="0" collapsed="false">
      <c r="A152" s="13"/>
      <c r="B152" s="8" t="s">
        <v>34</v>
      </c>
      <c r="C152" s="11" t="n">
        <v>4.2</v>
      </c>
      <c r="D152" s="11"/>
      <c r="E152" s="11" t="n">
        <v>4.3</v>
      </c>
      <c r="F152" s="11"/>
      <c r="G152" s="11" t="n">
        <v>4.4</v>
      </c>
      <c r="H152" s="11"/>
      <c r="I152" s="11" t="n">
        <v>4.3</v>
      </c>
      <c r="J152" s="11"/>
      <c r="K152" s="11" t="n">
        <v>4.3</v>
      </c>
      <c r="L152" s="11"/>
      <c r="M152" s="6"/>
      <c r="N152" s="6"/>
      <c r="O152" s="6"/>
      <c r="P152" s="6"/>
      <c r="Q152" s="6"/>
      <c r="R152" s="6"/>
      <c r="S152" s="6"/>
      <c r="T152" s="6"/>
      <c r="U152" s="6"/>
      <c r="V152" s="6"/>
      <c r="W152" s="6"/>
      <c r="X152" s="17" t="n">
        <f aca="false">AVERAGE(C152:L152)</f>
        <v>4.3</v>
      </c>
      <c r="Y152" s="17" t="s">
        <v>20</v>
      </c>
      <c r="Z152" s="17" t="n">
        <f aca="false">STDEVA(C152:L152)</f>
        <v>0.0707106781186548</v>
      </c>
      <c r="AA152" s="7"/>
    </row>
    <row r="153" customFormat="false" ht="16" hidden="false" customHeight="false" outlineLevel="0" collapsed="false">
      <c r="A153" s="5"/>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7"/>
    </row>
    <row r="154" customFormat="false" ht="16" hidden="false" customHeight="false" outlineLevel="0" collapsed="false">
      <c r="A154" s="8" t="s">
        <v>64</v>
      </c>
      <c r="B154" s="8" t="s">
        <v>59</v>
      </c>
      <c r="C154" s="8" t="s">
        <v>8</v>
      </c>
      <c r="D154" s="8" t="s">
        <v>62</v>
      </c>
      <c r="E154" s="8" t="s">
        <v>12</v>
      </c>
      <c r="F154" s="8" t="s">
        <v>39</v>
      </c>
      <c r="G154" s="8" t="s">
        <v>6</v>
      </c>
      <c r="H154" s="8" t="s">
        <v>41</v>
      </c>
      <c r="I154" s="8" t="s">
        <v>5</v>
      </c>
      <c r="J154" s="8" t="s">
        <v>45</v>
      </c>
      <c r="K154" s="8" t="s">
        <v>11</v>
      </c>
      <c r="L154" s="8" t="s">
        <v>43</v>
      </c>
      <c r="M154" s="6"/>
      <c r="N154" s="6"/>
      <c r="O154" s="6"/>
      <c r="P154" s="6"/>
      <c r="Q154" s="6"/>
      <c r="R154" s="6"/>
      <c r="S154" s="6"/>
      <c r="T154" s="6"/>
      <c r="U154" s="6"/>
      <c r="V154" s="6"/>
      <c r="W154" s="6"/>
      <c r="X154" s="8" t="s">
        <v>28</v>
      </c>
      <c r="Y154" s="8" t="s">
        <v>29</v>
      </c>
      <c r="Z154" s="8" t="s">
        <v>30</v>
      </c>
      <c r="AA154" s="7"/>
    </row>
    <row r="155" customFormat="false" ht="16" hidden="false" customHeight="false" outlineLevel="0" collapsed="false">
      <c r="A155" s="11"/>
      <c r="B155" s="14" t="s">
        <v>31</v>
      </c>
      <c r="C155" s="10" t="n">
        <v>187</v>
      </c>
      <c r="D155" s="10" t="n">
        <v>188</v>
      </c>
      <c r="E155" s="10" t="n">
        <v>188</v>
      </c>
      <c r="F155" s="10" t="n">
        <v>187</v>
      </c>
      <c r="G155" s="10" t="n">
        <v>186</v>
      </c>
      <c r="H155" s="10" t="n">
        <v>185</v>
      </c>
      <c r="I155" s="10" t="n">
        <v>182</v>
      </c>
      <c r="J155" s="10" t="n">
        <v>182</v>
      </c>
      <c r="K155" s="29" t="n">
        <v>182</v>
      </c>
      <c r="L155" s="29" t="n">
        <v>179</v>
      </c>
      <c r="M155" s="6"/>
      <c r="N155" s="6"/>
      <c r="O155" s="6"/>
      <c r="P155" s="6"/>
      <c r="Q155" s="6"/>
      <c r="R155" s="6"/>
      <c r="S155" s="6"/>
      <c r="T155" s="6"/>
      <c r="U155" s="6"/>
      <c r="V155" s="6"/>
      <c r="W155" s="6"/>
      <c r="X155" s="14" t="n">
        <f aca="false">AVERAGE(C155:L155)</f>
        <v>184.6</v>
      </c>
      <c r="Y155" s="14" t="n">
        <f aca="false">X155*5</f>
        <v>923</v>
      </c>
      <c r="Z155" s="14" t="n">
        <f aca="false">STDEVA(C155:L155)</f>
        <v>3.13404247294484</v>
      </c>
      <c r="AA155" s="7"/>
    </row>
    <row r="156" customFormat="false" ht="16" hidden="false" customHeight="false" outlineLevel="0" collapsed="false">
      <c r="A156" s="11"/>
      <c r="B156" s="15" t="s">
        <v>63</v>
      </c>
      <c r="C156" s="11" t="n">
        <v>2</v>
      </c>
      <c r="D156" s="11"/>
      <c r="E156" s="11" t="n">
        <v>2</v>
      </c>
      <c r="F156" s="11"/>
      <c r="G156" s="11" t="n">
        <v>2</v>
      </c>
      <c r="H156" s="11"/>
      <c r="I156" s="11" t="n">
        <v>4</v>
      </c>
      <c r="J156" s="11"/>
      <c r="K156" s="11" t="n">
        <v>4</v>
      </c>
      <c r="L156" s="11"/>
      <c r="M156" s="6"/>
      <c r="N156" s="6"/>
      <c r="O156" s="6"/>
      <c r="P156" s="6"/>
      <c r="Q156" s="6"/>
      <c r="R156" s="6"/>
      <c r="S156" s="6"/>
      <c r="T156" s="6"/>
      <c r="U156" s="6"/>
      <c r="V156" s="6"/>
      <c r="W156" s="6"/>
      <c r="X156" s="15" t="n">
        <f aca="false">AVERAGE(C156:L156)</f>
        <v>2.8</v>
      </c>
      <c r="Y156" s="15" t="n">
        <f aca="false">X156*5</f>
        <v>14</v>
      </c>
      <c r="Z156" s="15" t="n">
        <f aca="false">STDEVA(C156:L156)</f>
        <v>1.09544511501033</v>
      </c>
      <c r="AA156" s="7"/>
    </row>
    <row r="157" customFormat="false" ht="16" hidden="false" customHeight="false" outlineLevel="0" collapsed="false">
      <c r="A157" s="11"/>
      <c r="B157" s="16" t="s">
        <v>33</v>
      </c>
      <c r="C157" s="11" t="n">
        <v>0</v>
      </c>
      <c r="D157" s="11"/>
      <c r="E157" s="11" t="n">
        <v>0</v>
      </c>
      <c r="F157" s="11"/>
      <c r="G157" s="11" t="n">
        <v>0</v>
      </c>
      <c r="H157" s="11"/>
      <c r="I157" s="11" t="n">
        <v>0</v>
      </c>
      <c r="J157" s="11"/>
      <c r="K157" s="11" t="n">
        <v>0</v>
      </c>
      <c r="L157" s="11"/>
      <c r="M157" s="6"/>
      <c r="N157" s="6"/>
      <c r="O157" s="6"/>
      <c r="P157" s="6"/>
      <c r="Q157" s="6"/>
      <c r="R157" s="6"/>
      <c r="S157" s="6"/>
      <c r="T157" s="6"/>
      <c r="U157" s="6"/>
      <c r="V157" s="6"/>
      <c r="W157" s="6"/>
      <c r="X157" s="16" t="n">
        <f aca="false">AVERAGE(C157:L157)</f>
        <v>0</v>
      </c>
      <c r="Y157" s="16" t="n">
        <f aca="false">X157*5</f>
        <v>0</v>
      </c>
      <c r="Z157" s="16" t="n">
        <f aca="false">STDEVA(C157:L157)</f>
        <v>0</v>
      </c>
      <c r="AA157" s="7"/>
    </row>
    <row r="158" customFormat="false" ht="16" hidden="false" customHeight="false" outlineLevel="0" collapsed="false">
      <c r="A158" s="11"/>
      <c r="B158" s="8" t="s">
        <v>34</v>
      </c>
      <c r="C158" s="11" t="n">
        <v>1.8</v>
      </c>
      <c r="D158" s="11"/>
      <c r="E158" s="11" t="n">
        <v>1.9</v>
      </c>
      <c r="F158" s="11"/>
      <c r="G158" s="11" t="n">
        <v>1.8</v>
      </c>
      <c r="H158" s="11"/>
      <c r="I158" s="11" t="n">
        <v>1.9</v>
      </c>
      <c r="J158" s="11"/>
      <c r="K158" s="11" t="n">
        <v>1.8</v>
      </c>
      <c r="L158" s="11"/>
      <c r="M158" s="6"/>
      <c r="N158" s="6"/>
      <c r="O158" s="6"/>
      <c r="P158" s="6"/>
      <c r="Q158" s="6"/>
      <c r="R158" s="6"/>
      <c r="S158" s="6"/>
      <c r="T158" s="6"/>
      <c r="U158" s="6"/>
      <c r="V158" s="6"/>
      <c r="W158" s="6"/>
      <c r="X158" s="17" t="n">
        <f aca="false">AVERAGE(C158:L158)</f>
        <v>1.84</v>
      </c>
      <c r="Y158" s="17" t="s">
        <v>20</v>
      </c>
      <c r="Z158" s="17" t="n">
        <f aca="false">STDEVA(C158:L158)</f>
        <v>0.0547722557505165</v>
      </c>
      <c r="AA158" s="7"/>
    </row>
    <row r="159" customFormat="false" ht="16" hidden="false" customHeight="false" outlineLevel="0" collapsed="false">
      <c r="A159" s="5"/>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7"/>
    </row>
    <row r="160" customFormat="false" ht="16" hidden="false" customHeight="false" outlineLevel="0" collapsed="false">
      <c r="A160" s="8" t="s">
        <v>65</v>
      </c>
      <c r="B160" s="8" t="s">
        <v>59</v>
      </c>
      <c r="C160" s="8" t="s">
        <v>12</v>
      </c>
      <c r="D160" s="8" t="s">
        <v>45</v>
      </c>
      <c r="E160" s="8" t="s">
        <v>11</v>
      </c>
      <c r="F160" s="8" t="s">
        <v>39</v>
      </c>
      <c r="G160" s="8" t="s">
        <v>6</v>
      </c>
      <c r="H160" s="8" t="s">
        <v>62</v>
      </c>
      <c r="I160" s="8" t="s">
        <v>5</v>
      </c>
      <c r="J160" s="8" t="s">
        <v>41</v>
      </c>
      <c r="K160" s="8" t="s">
        <v>8</v>
      </c>
      <c r="L160" s="8" t="s">
        <v>43</v>
      </c>
      <c r="M160" s="6"/>
      <c r="N160" s="6"/>
      <c r="O160" s="6"/>
      <c r="P160" s="6"/>
      <c r="Q160" s="6"/>
      <c r="R160" s="6"/>
      <c r="S160" s="6"/>
      <c r="T160" s="6"/>
      <c r="U160" s="6"/>
      <c r="V160" s="6"/>
      <c r="W160" s="6"/>
      <c r="X160" s="8" t="s">
        <v>28</v>
      </c>
      <c r="Y160" s="8" t="s">
        <v>29</v>
      </c>
      <c r="Z160" s="8" t="s">
        <v>30</v>
      </c>
      <c r="AA160" s="7"/>
    </row>
    <row r="161" customFormat="false" ht="16" hidden="false" customHeight="false" outlineLevel="0" collapsed="false">
      <c r="A161" s="11"/>
      <c r="B161" s="14" t="s">
        <v>31</v>
      </c>
      <c r="C161" s="10" t="n">
        <v>134.3</v>
      </c>
      <c r="D161" s="10" t="n">
        <v>136</v>
      </c>
      <c r="E161" s="10" t="n">
        <v>135</v>
      </c>
      <c r="F161" s="10" t="n">
        <v>135</v>
      </c>
      <c r="G161" s="10" t="n">
        <v>135</v>
      </c>
      <c r="H161" s="10" t="n">
        <v>134</v>
      </c>
      <c r="I161" s="10" t="n">
        <v>134</v>
      </c>
      <c r="J161" s="10" t="n">
        <v>135</v>
      </c>
      <c r="K161" s="29" t="n">
        <v>133</v>
      </c>
      <c r="L161" s="29" t="n">
        <v>133</v>
      </c>
      <c r="M161" s="6"/>
      <c r="N161" s="6"/>
      <c r="O161" s="6"/>
      <c r="P161" s="6"/>
      <c r="Q161" s="6"/>
      <c r="R161" s="6"/>
      <c r="S161" s="6"/>
      <c r="T161" s="6"/>
      <c r="U161" s="6"/>
      <c r="V161" s="6"/>
      <c r="W161" s="6"/>
      <c r="X161" s="14" t="n">
        <f aca="false">AVERAGE(C161:L161)</f>
        <v>134.43</v>
      </c>
      <c r="Y161" s="14" t="n">
        <f aca="false">X161*5</f>
        <v>672.15</v>
      </c>
      <c r="Z161" s="14" t="n">
        <f aca="false">STDEVA(C161:L161)</f>
        <v>0.956904732283557</v>
      </c>
      <c r="AA161" s="7"/>
    </row>
    <row r="162" customFormat="false" ht="16" hidden="false" customHeight="false" outlineLevel="0" collapsed="false">
      <c r="A162" s="11"/>
      <c r="B162" s="15" t="s">
        <v>63</v>
      </c>
      <c r="C162" s="11" t="n">
        <v>0</v>
      </c>
      <c r="D162" s="11"/>
      <c r="E162" s="11" t="n">
        <v>0</v>
      </c>
      <c r="F162" s="11"/>
      <c r="G162" s="11" t="n">
        <v>0</v>
      </c>
      <c r="H162" s="11"/>
      <c r="I162" s="11" t="n">
        <v>0</v>
      </c>
      <c r="J162" s="11"/>
      <c r="K162" s="11" t="n">
        <v>0</v>
      </c>
      <c r="L162" s="11"/>
      <c r="M162" s="6"/>
      <c r="N162" s="6"/>
      <c r="O162" s="6"/>
      <c r="P162" s="6"/>
      <c r="Q162" s="6"/>
      <c r="R162" s="6"/>
      <c r="S162" s="6"/>
      <c r="T162" s="6"/>
      <c r="U162" s="6"/>
      <c r="V162" s="6"/>
      <c r="W162" s="6"/>
      <c r="X162" s="15" t="n">
        <f aca="false">AVERAGE(C162:L162)</f>
        <v>0</v>
      </c>
      <c r="Y162" s="15" t="n">
        <f aca="false">X162*5</f>
        <v>0</v>
      </c>
      <c r="Z162" s="15" t="n">
        <f aca="false">STDEVA(C162:L162)</f>
        <v>0</v>
      </c>
      <c r="AA162" s="7"/>
    </row>
    <row r="163" customFormat="false" ht="16" hidden="false" customHeight="false" outlineLevel="0" collapsed="false">
      <c r="A163" s="11"/>
      <c r="B163" s="16" t="s">
        <v>33</v>
      </c>
      <c r="C163" s="11" t="n">
        <v>0</v>
      </c>
      <c r="D163" s="11"/>
      <c r="E163" s="11" t="n">
        <v>0</v>
      </c>
      <c r="F163" s="11"/>
      <c r="G163" s="11" t="n">
        <v>0</v>
      </c>
      <c r="H163" s="11"/>
      <c r="I163" s="11" t="n">
        <v>0</v>
      </c>
      <c r="J163" s="11"/>
      <c r="K163" s="11" t="n">
        <v>0</v>
      </c>
      <c r="L163" s="11"/>
      <c r="M163" s="6"/>
      <c r="N163" s="6"/>
      <c r="O163" s="6"/>
      <c r="P163" s="6"/>
      <c r="Q163" s="6"/>
      <c r="R163" s="6"/>
      <c r="S163" s="6"/>
      <c r="T163" s="6"/>
      <c r="U163" s="6"/>
      <c r="V163" s="6"/>
      <c r="W163" s="6"/>
      <c r="X163" s="16" t="n">
        <f aca="false">AVERAGE(C163:L163)</f>
        <v>0</v>
      </c>
      <c r="Y163" s="16" t="n">
        <f aca="false">X163*5</f>
        <v>0</v>
      </c>
      <c r="Z163" s="16" t="n">
        <f aca="false">STDEVA(C163:L163)</f>
        <v>0</v>
      </c>
      <c r="AA163" s="7"/>
    </row>
    <row r="164" customFormat="false" ht="16" hidden="false" customHeight="false" outlineLevel="0" collapsed="false">
      <c r="A164" s="11"/>
      <c r="B164" s="8" t="s">
        <v>34</v>
      </c>
      <c r="C164" s="11" t="n">
        <v>1</v>
      </c>
      <c r="D164" s="11"/>
      <c r="E164" s="11" t="n">
        <v>1</v>
      </c>
      <c r="F164" s="11"/>
      <c r="G164" s="11" t="n">
        <v>1</v>
      </c>
      <c r="H164" s="11"/>
      <c r="I164" s="11" t="n">
        <v>1</v>
      </c>
      <c r="J164" s="11"/>
      <c r="K164" s="11" t="n">
        <v>1</v>
      </c>
      <c r="L164" s="11"/>
      <c r="M164" s="6"/>
      <c r="N164" s="6"/>
      <c r="O164" s="6"/>
      <c r="P164" s="6"/>
      <c r="Q164" s="6"/>
      <c r="R164" s="6"/>
      <c r="S164" s="6"/>
      <c r="T164" s="6"/>
      <c r="U164" s="6"/>
      <c r="V164" s="6"/>
      <c r="W164" s="6"/>
      <c r="X164" s="17" t="n">
        <f aca="false">AVERAGE(C164:L164)</f>
        <v>1</v>
      </c>
      <c r="Y164" s="17" t="s">
        <v>20</v>
      </c>
      <c r="Z164" s="17" t="n">
        <f aca="false">STDEVA(C164:L164)</f>
        <v>0</v>
      </c>
      <c r="AA164" s="7"/>
    </row>
    <row r="165" customFormat="false" ht="16" hidden="false" customHeight="false" outlineLevel="0" collapsed="false">
      <c r="A165" s="25"/>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1"/>
    </row>
  </sheetData>
  <mergeCells count="358">
    <mergeCell ref="A1:Q1"/>
    <mergeCell ref="C7:D7"/>
    <mergeCell ref="E7:F7"/>
    <mergeCell ref="G7:H7"/>
    <mergeCell ref="I7:J7"/>
    <mergeCell ref="K7:L7"/>
    <mergeCell ref="A16:A19"/>
    <mergeCell ref="C17:D17"/>
    <mergeCell ref="E17:F17"/>
    <mergeCell ref="G17:H17"/>
    <mergeCell ref="I17:J17"/>
    <mergeCell ref="K17:L17"/>
    <mergeCell ref="C18:D18"/>
    <mergeCell ref="E18:F18"/>
    <mergeCell ref="G18:H18"/>
    <mergeCell ref="I18:J18"/>
    <mergeCell ref="K18:L18"/>
    <mergeCell ref="C19:D19"/>
    <mergeCell ref="E19:F19"/>
    <mergeCell ref="G19:H19"/>
    <mergeCell ref="I19:J19"/>
    <mergeCell ref="K19:L19"/>
    <mergeCell ref="A22:A25"/>
    <mergeCell ref="C23:D23"/>
    <mergeCell ref="E23:F23"/>
    <mergeCell ref="G23:H23"/>
    <mergeCell ref="I23:J23"/>
    <mergeCell ref="K23:L23"/>
    <mergeCell ref="M23:N23"/>
    <mergeCell ref="O23:P23"/>
    <mergeCell ref="Q23:R23"/>
    <mergeCell ref="S23:T23"/>
    <mergeCell ref="U23:V23"/>
    <mergeCell ref="C24:D24"/>
    <mergeCell ref="E24:F24"/>
    <mergeCell ref="G24:H24"/>
    <mergeCell ref="I24:J24"/>
    <mergeCell ref="K24:L24"/>
    <mergeCell ref="M24:N24"/>
    <mergeCell ref="O24:P24"/>
    <mergeCell ref="Q24:R24"/>
    <mergeCell ref="S24:T24"/>
    <mergeCell ref="U24:V24"/>
    <mergeCell ref="C25:D25"/>
    <mergeCell ref="E25:F25"/>
    <mergeCell ref="G25:H25"/>
    <mergeCell ref="I25:J25"/>
    <mergeCell ref="K25:L25"/>
    <mergeCell ref="M25:N25"/>
    <mergeCell ref="O25:P25"/>
    <mergeCell ref="Q25:R25"/>
    <mergeCell ref="S25:T25"/>
    <mergeCell ref="U25:V25"/>
    <mergeCell ref="A29:A33"/>
    <mergeCell ref="C30:D30"/>
    <mergeCell ref="E30:F30"/>
    <mergeCell ref="G30:H30"/>
    <mergeCell ref="I30:J30"/>
    <mergeCell ref="K30:L30"/>
    <mergeCell ref="C31:D31"/>
    <mergeCell ref="E31:F31"/>
    <mergeCell ref="G31:H31"/>
    <mergeCell ref="I31:J31"/>
    <mergeCell ref="K31:L31"/>
    <mergeCell ref="C32:D32"/>
    <mergeCell ref="E32:F32"/>
    <mergeCell ref="G32:H32"/>
    <mergeCell ref="I32:J32"/>
    <mergeCell ref="K32:L32"/>
    <mergeCell ref="C36:D36"/>
    <mergeCell ref="E36:F36"/>
    <mergeCell ref="G36:H36"/>
    <mergeCell ref="I36:J36"/>
    <mergeCell ref="K36:L36"/>
    <mergeCell ref="C42:D42"/>
    <mergeCell ref="E42:F42"/>
    <mergeCell ref="G42:H42"/>
    <mergeCell ref="I42:J42"/>
    <mergeCell ref="K42:L42"/>
    <mergeCell ref="A51:A54"/>
    <mergeCell ref="C52:D52"/>
    <mergeCell ref="E52:F52"/>
    <mergeCell ref="G52:H52"/>
    <mergeCell ref="I52:J52"/>
    <mergeCell ref="K52:L52"/>
    <mergeCell ref="C53:D53"/>
    <mergeCell ref="E53:F53"/>
    <mergeCell ref="G53:H53"/>
    <mergeCell ref="I53:J53"/>
    <mergeCell ref="K53:L53"/>
    <mergeCell ref="C54:D54"/>
    <mergeCell ref="E54:F54"/>
    <mergeCell ref="G54:H54"/>
    <mergeCell ref="I54:J54"/>
    <mergeCell ref="K54:L54"/>
    <mergeCell ref="A57:A60"/>
    <mergeCell ref="C58:D58"/>
    <mergeCell ref="E58:F58"/>
    <mergeCell ref="G58:H58"/>
    <mergeCell ref="I58:J58"/>
    <mergeCell ref="K58:L58"/>
    <mergeCell ref="M58:N58"/>
    <mergeCell ref="O58:P58"/>
    <mergeCell ref="Q58:R58"/>
    <mergeCell ref="S58:T58"/>
    <mergeCell ref="U58:V58"/>
    <mergeCell ref="C59:D59"/>
    <mergeCell ref="E59:F59"/>
    <mergeCell ref="G59:H59"/>
    <mergeCell ref="I59:J59"/>
    <mergeCell ref="K59:L59"/>
    <mergeCell ref="M59:N59"/>
    <mergeCell ref="O59:P59"/>
    <mergeCell ref="Q59:R59"/>
    <mergeCell ref="S59:T59"/>
    <mergeCell ref="U59:V59"/>
    <mergeCell ref="C60:D60"/>
    <mergeCell ref="E60:F60"/>
    <mergeCell ref="G60:H60"/>
    <mergeCell ref="I60:J60"/>
    <mergeCell ref="K60:L60"/>
    <mergeCell ref="M60:N60"/>
    <mergeCell ref="O60:P60"/>
    <mergeCell ref="Q60:R60"/>
    <mergeCell ref="S60:T60"/>
    <mergeCell ref="U60:V60"/>
    <mergeCell ref="A64:A67"/>
    <mergeCell ref="C65:D65"/>
    <mergeCell ref="E65:F65"/>
    <mergeCell ref="G65:H65"/>
    <mergeCell ref="I65:J65"/>
    <mergeCell ref="K65:L65"/>
    <mergeCell ref="C66:D66"/>
    <mergeCell ref="E66:F66"/>
    <mergeCell ref="G66:H66"/>
    <mergeCell ref="I66:J66"/>
    <mergeCell ref="K66:L66"/>
    <mergeCell ref="C67:D67"/>
    <mergeCell ref="E67:F67"/>
    <mergeCell ref="G67:H67"/>
    <mergeCell ref="I67:J67"/>
    <mergeCell ref="K67:L67"/>
    <mergeCell ref="A70:A73"/>
    <mergeCell ref="C71:D71"/>
    <mergeCell ref="E71:F71"/>
    <mergeCell ref="G71:H71"/>
    <mergeCell ref="I71:J71"/>
    <mergeCell ref="K71:L71"/>
    <mergeCell ref="C72:D72"/>
    <mergeCell ref="E72:F72"/>
    <mergeCell ref="G72:H72"/>
    <mergeCell ref="I72:J72"/>
    <mergeCell ref="K72:L72"/>
    <mergeCell ref="C73:D73"/>
    <mergeCell ref="E73:F73"/>
    <mergeCell ref="G73:H73"/>
    <mergeCell ref="I73:J73"/>
    <mergeCell ref="K73:L73"/>
    <mergeCell ref="C82:D82"/>
    <mergeCell ref="E82:F82"/>
    <mergeCell ref="G82:H82"/>
    <mergeCell ref="I82:J82"/>
    <mergeCell ref="K82:L82"/>
    <mergeCell ref="A91:A94"/>
    <mergeCell ref="C92:D92"/>
    <mergeCell ref="E92:F92"/>
    <mergeCell ref="G92:H92"/>
    <mergeCell ref="I92:J92"/>
    <mergeCell ref="K92:L92"/>
    <mergeCell ref="C93:D93"/>
    <mergeCell ref="E93:F93"/>
    <mergeCell ref="G93:H93"/>
    <mergeCell ref="I93:J93"/>
    <mergeCell ref="K93:L93"/>
    <mergeCell ref="C94:D94"/>
    <mergeCell ref="E94:F94"/>
    <mergeCell ref="G94:H94"/>
    <mergeCell ref="I94:J94"/>
    <mergeCell ref="K94:L94"/>
    <mergeCell ref="A97:A100"/>
    <mergeCell ref="C98:D98"/>
    <mergeCell ref="E98:F98"/>
    <mergeCell ref="G98:H98"/>
    <mergeCell ref="I98:J98"/>
    <mergeCell ref="K98:L98"/>
    <mergeCell ref="M98:N98"/>
    <mergeCell ref="O98:P98"/>
    <mergeCell ref="Q98:R98"/>
    <mergeCell ref="S98:T98"/>
    <mergeCell ref="U98:V98"/>
    <mergeCell ref="C99:D99"/>
    <mergeCell ref="E99:F99"/>
    <mergeCell ref="G99:H99"/>
    <mergeCell ref="I99:J99"/>
    <mergeCell ref="K99:L99"/>
    <mergeCell ref="M99:N99"/>
    <mergeCell ref="O99:P99"/>
    <mergeCell ref="Q99:R99"/>
    <mergeCell ref="S99:T99"/>
    <mergeCell ref="U99:V99"/>
    <mergeCell ref="C100:D100"/>
    <mergeCell ref="E100:F100"/>
    <mergeCell ref="G100:H100"/>
    <mergeCell ref="I100:J100"/>
    <mergeCell ref="K100:L100"/>
    <mergeCell ref="M100:N100"/>
    <mergeCell ref="O100:P100"/>
    <mergeCell ref="Q100:R100"/>
    <mergeCell ref="S100:T100"/>
    <mergeCell ref="U100:V100"/>
    <mergeCell ref="A103:A106"/>
    <mergeCell ref="C104:D104"/>
    <mergeCell ref="E104:F104"/>
    <mergeCell ref="G104:H104"/>
    <mergeCell ref="I104:J104"/>
    <mergeCell ref="K104:L104"/>
    <mergeCell ref="C105:D105"/>
    <mergeCell ref="E105:F105"/>
    <mergeCell ref="G105:H105"/>
    <mergeCell ref="I105:J105"/>
    <mergeCell ref="K105:L105"/>
    <mergeCell ref="C106:D106"/>
    <mergeCell ref="E106:F106"/>
    <mergeCell ref="G106:H106"/>
    <mergeCell ref="I106:J106"/>
    <mergeCell ref="K106:L106"/>
    <mergeCell ref="C115:D115"/>
    <mergeCell ref="E115:F115"/>
    <mergeCell ref="G115:H115"/>
    <mergeCell ref="I115:J115"/>
    <mergeCell ref="K115:L115"/>
    <mergeCell ref="A125:A128"/>
    <mergeCell ref="C126:D126"/>
    <mergeCell ref="E126:F126"/>
    <mergeCell ref="G126:H126"/>
    <mergeCell ref="I126:J126"/>
    <mergeCell ref="K126:L126"/>
    <mergeCell ref="C127:D127"/>
    <mergeCell ref="E127:F127"/>
    <mergeCell ref="G127:H127"/>
    <mergeCell ref="I127:J127"/>
    <mergeCell ref="K127:L127"/>
    <mergeCell ref="C128:D128"/>
    <mergeCell ref="E128:F128"/>
    <mergeCell ref="G128:H128"/>
    <mergeCell ref="I128:J128"/>
    <mergeCell ref="K128:L128"/>
    <mergeCell ref="A131:A134"/>
    <mergeCell ref="C132:D132"/>
    <mergeCell ref="E132:F132"/>
    <mergeCell ref="G132:H132"/>
    <mergeCell ref="I132:J132"/>
    <mergeCell ref="K132:L132"/>
    <mergeCell ref="M132:N132"/>
    <mergeCell ref="O132:P132"/>
    <mergeCell ref="Q132:R132"/>
    <mergeCell ref="S132:T132"/>
    <mergeCell ref="U132:V132"/>
    <mergeCell ref="C133:D133"/>
    <mergeCell ref="E133:F133"/>
    <mergeCell ref="G133:H133"/>
    <mergeCell ref="I133:J133"/>
    <mergeCell ref="K133:L133"/>
    <mergeCell ref="M133:N133"/>
    <mergeCell ref="O133:P133"/>
    <mergeCell ref="Q133:R133"/>
    <mergeCell ref="S133:T133"/>
    <mergeCell ref="U133:V133"/>
    <mergeCell ref="C134:D134"/>
    <mergeCell ref="E134:F134"/>
    <mergeCell ref="G134:H134"/>
    <mergeCell ref="I134:J134"/>
    <mergeCell ref="K134:L134"/>
    <mergeCell ref="M134:N134"/>
    <mergeCell ref="O134:P134"/>
    <mergeCell ref="Q134:R134"/>
    <mergeCell ref="S134:T134"/>
    <mergeCell ref="U134:V134"/>
    <mergeCell ref="A137:A140"/>
    <mergeCell ref="C138:D138"/>
    <mergeCell ref="E138:F138"/>
    <mergeCell ref="G138:H138"/>
    <mergeCell ref="I138:J138"/>
    <mergeCell ref="K138:L138"/>
    <mergeCell ref="C139:D139"/>
    <mergeCell ref="E139:F139"/>
    <mergeCell ref="G139:H139"/>
    <mergeCell ref="I139:J139"/>
    <mergeCell ref="K139:L139"/>
    <mergeCell ref="C140:D140"/>
    <mergeCell ref="E140:F140"/>
    <mergeCell ref="G140:H140"/>
    <mergeCell ref="I140:J140"/>
    <mergeCell ref="K140:L140"/>
    <mergeCell ref="A143:A146"/>
    <mergeCell ref="C144:D144"/>
    <mergeCell ref="E144:F144"/>
    <mergeCell ref="G144:H144"/>
    <mergeCell ref="I144:J144"/>
    <mergeCell ref="K144:L144"/>
    <mergeCell ref="C145:D145"/>
    <mergeCell ref="E145:F145"/>
    <mergeCell ref="G145:H145"/>
    <mergeCell ref="I145:J145"/>
    <mergeCell ref="K145:L145"/>
    <mergeCell ref="C146:D146"/>
    <mergeCell ref="E146:F146"/>
    <mergeCell ref="G146:H146"/>
    <mergeCell ref="I146:J146"/>
    <mergeCell ref="K146:L146"/>
    <mergeCell ref="A149:A152"/>
    <mergeCell ref="C150:D150"/>
    <mergeCell ref="E150:F150"/>
    <mergeCell ref="G150:H150"/>
    <mergeCell ref="I150:J150"/>
    <mergeCell ref="K150:L150"/>
    <mergeCell ref="C151:D151"/>
    <mergeCell ref="E151:F151"/>
    <mergeCell ref="G151:H151"/>
    <mergeCell ref="I151:J151"/>
    <mergeCell ref="K151:L151"/>
    <mergeCell ref="C152:D152"/>
    <mergeCell ref="E152:F152"/>
    <mergeCell ref="G152:H152"/>
    <mergeCell ref="I152:J152"/>
    <mergeCell ref="K152:L152"/>
    <mergeCell ref="A155:A158"/>
    <mergeCell ref="C156:D156"/>
    <mergeCell ref="E156:F156"/>
    <mergeCell ref="G156:H156"/>
    <mergeCell ref="I156:J156"/>
    <mergeCell ref="K156:L156"/>
    <mergeCell ref="C157:D157"/>
    <mergeCell ref="E157:F157"/>
    <mergeCell ref="G157:H157"/>
    <mergeCell ref="I157:J157"/>
    <mergeCell ref="K157:L157"/>
    <mergeCell ref="C158:D158"/>
    <mergeCell ref="E158:F158"/>
    <mergeCell ref="G158:H158"/>
    <mergeCell ref="I158:J158"/>
    <mergeCell ref="K158:L158"/>
    <mergeCell ref="A161:A164"/>
    <mergeCell ref="C162:D162"/>
    <mergeCell ref="E162:F162"/>
    <mergeCell ref="G162:H162"/>
    <mergeCell ref="I162:J162"/>
    <mergeCell ref="K162:L162"/>
    <mergeCell ref="C163:D163"/>
    <mergeCell ref="E163:F163"/>
    <mergeCell ref="G163:H163"/>
    <mergeCell ref="I163:J163"/>
    <mergeCell ref="K163:L163"/>
    <mergeCell ref="C164:D164"/>
    <mergeCell ref="E164:F164"/>
    <mergeCell ref="G164:H164"/>
    <mergeCell ref="I164:J164"/>
    <mergeCell ref="K164:L164"/>
  </mergeCells>
  <printOptions headings="false" gridLines="false" gridLinesSet="true" horizontalCentered="false" verticalCentered="false"/>
  <pageMargins left="0.7" right="0.7" top="0.75" bottom="0.75" header="0.511805555555555" footer="0.511805555555555"/>
  <pageSetup paperSize="9" scale="100" firstPageNumber="0" fitToWidth="1" fitToHeight="2"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AR70"/>
  <sheetViews>
    <sheetView windowProtection="false" showFormulas="false" showGridLines="true" showRowColHeaders="true" showZeros="true" rightToLeft="false" tabSelected="false" showOutlineSymbols="true" defaultGridColor="true" view="normal" topLeftCell="A40" colorId="64" zoomScale="90" zoomScaleNormal="90" zoomScalePageLayoutView="100" workbookViewId="0">
      <selection pane="topLeft" activeCell="I7" activeCellId="0" sqref="I7"/>
    </sheetView>
  </sheetViews>
  <sheetFormatPr defaultRowHeight="16"/>
  <cols>
    <col collapsed="false" hidden="false" max="1" min="1" style="0" width="27.2407407407407"/>
    <col collapsed="false" hidden="false" max="7" min="2" style="0" width="28.4185185185185"/>
    <col collapsed="false" hidden="false" max="9" min="9" style="0" width="25.4777777777778"/>
    <col collapsed="false" hidden="false" max="17" min="17" style="0" width="23.0296296296296"/>
    <col collapsed="false" hidden="false" max="20" min="18" style="0" width="13.8185185185185"/>
    <col collapsed="false" hidden="false" max="26" min="21" style="0" width="15.4814814814815"/>
  </cols>
  <sheetData>
    <row r="1" s="32" customFormat="true" ht="280" hidden="false" customHeight="true" outlineLevel="0" collapsed="false">
      <c r="A1" s="30" t="s">
        <v>66</v>
      </c>
      <c r="B1" s="30"/>
      <c r="C1" s="30"/>
      <c r="D1" s="30"/>
      <c r="E1" s="30"/>
      <c r="F1" s="30"/>
      <c r="G1" s="30"/>
      <c r="H1" s="30"/>
      <c r="I1" s="30"/>
      <c r="J1" s="30"/>
      <c r="K1" s="31"/>
      <c r="L1" s="31"/>
      <c r="M1" s="31"/>
      <c r="N1" s="31"/>
      <c r="O1" s="31"/>
      <c r="P1" s="31"/>
      <c r="Q1" s="31"/>
      <c r="R1" s="31"/>
      <c r="S1" s="31"/>
      <c r="T1" s="31"/>
      <c r="U1" s="31"/>
      <c r="V1" s="31"/>
      <c r="W1" s="31"/>
    </row>
    <row r="2" customFormat="false" ht="20" hidden="false" customHeight="true" outlineLevel="0" collapsed="false">
      <c r="J2" s="33"/>
    </row>
    <row r="3" customFormat="false" ht="16" hidden="false" customHeight="false" outlineLevel="0" collapsed="false">
      <c r="A3" s="34" t="s">
        <v>67</v>
      </c>
      <c r="B3" s="34"/>
      <c r="C3" s="34"/>
      <c r="D3" s="34"/>
      <c r="E3" s="34"/>
      <c r="F3" s="34"/>
      <c r="G3" s="34"/>
      <c r="J3" s="33"/>
    </row>
    <row r="4" customFormat="false" ht="16" hidden="false" customHeight="true" outlineLevel="0" collapsed="false">
      <c r="A4" s="35" t="s">
        <v>68</v>
      </c>
      <c r="B4" s="36" t="s">
        <v>69</v>
      </c>
      <c r="C4" s="36"/>
      <c r="D4" s="36" t="s">
        <v>70</v>
      </c>
      <c r="E4" s="36"/>
      <c r="F4" s="37" t="s">
        <v>71</v>
      </c>
      <c r="G4" s="37"/>
      <c r="J4" s="33"/>
    </row>
    <row r="5" customFormat="false" ht="16" hidden="false" customHeight="false" outlineLevel="0" collapsed="false">
      <c r="A5" s="35"/>
      <c r="B5" s="8" t="s">
        <v>72</v>
      </c>
      <c r="C5" s="8" t="s">
        <v>73</v>
      </c>
      <c r="D5" s="8" t="s">
        <v>74</v>
      </c>
      <c r="E5" s="8" t="s">
        <v>75</v>
      </c>
      <c r="F5" s="8" t="s">
        <v>76</v>
      </c>
      <c r="G5" s="38" t="s">
        <v>77</v>
      </c>
      <c r="J5" s="33"/>
    </row>
    <row r="6" customFormat="false" ht="39" hidden="false" customHeight="true" outlineLevel="0" collapsed="false">
      <c r="A6" s="35"/>
      <c r="B6" s="39" t="s">
        <v>78</v>
      </c>
      <c r="C6" s="39"/>
      <c r="D6" s="39" t="s">
        <v>79</v>
      </c>
      <c r="E6" s="39"/>
      <c r="F6" s="39" t="s">
        <v>80</v>
      </c>
      <c r="G6" s="39"/>
      <c r="J6" s="33"/>
    </row>
    <row r="7" customFormat="false" ht="34" hidden="false" customHeight="false" outlineLevel="0" collapsed="false">
      <c r="A7" s="40" t="s">
        <v>81</v>
      </c>
      <c r="B7" s="41" t="s">
        <v>82</v>
      </c>
      <c r="C7" s="41" t="s">
        <v>83</v>
      </c>
      <c r="D7" s="41" t="s">
        <v>82</v>
      </c>
      <c r="E7" s="41" t="s">
        <v>84</v>
      </c>
      <c r="F7" s="41" t="s">
        <v>85</v>
      </c>
      <c r="G7" s="42" t="s">
        <v>86</v>
      </c>
      <c r="J7" s="33"/>
    </row>
    <row r="8" customFormat="false" ht="232" hidden="false" customHeight="true" outlineLevel="0" collapsed="false">
      <c r="A8" s="43" t="s">
        <v>87</v>
      </c>
      <c r="B8" s="44" t="s">
        <v>88</v>
      </c>
      <c r="C8" s="45" t="s">
        <v>89</v>
      </c>
      <c r="D8" s="44" t="s">
        <v>90</v>
      </c>
      <c r="E8" s="46" t="s">
        <v>91</v>
      </c>
      <c r="F8" s="44" t="s">
        <v>92</v>
      </c>
      <c r="G8" s="47" t="s">
        <v>93</v>
      </c>
      <c r="J8" s="33"/>
    </row>
    <row r="9" customFormat="false" ht="160" hidden="false" customHeight="true" outlineLevel="0" collapsed="false">
      <c r="A9" s="48" t="s">
        <v>94</v>
      </c>
      <c r="B9" s="49" t="s">
        <v>95</v>
      </c>
      <c r="C9" s="50" t="s">
        <v>96</v>
      </c>
      <c r="D9" s="51" t="s">
        <v>97</v>
      </c>
      <c r="E9" s="50" t="s">
        <v>98</v>
      </c>
      <c r="F9" s="51" t="s">
        <v>99</v>
      </c>
      <c r="G9" s="52" t="s">
        <v>100</v>
      </c>
      <c r="J9" s="33"/>
    </row>
    <row r="10" customFormat="false" ht="228" hidden="false" customHeight="true" outlineLevel="0" collapsed="false">
      <c r="A10" s="53" t="s">
        <v>101</v>
      </c>
      <c r="B10" s="54" t="s">
        <v>102</v>
      </c>
      <c r="C10" s="55" t="s">
        <v>103</v>
      </c>
      <c r="D10" s="56" t="s">
        <v>104</v>
      </c>
      <c r="E10" s="57" t="s">
        <v>105</v>
      </c>
      <c r="F10" s="54" t="s">
        <v>106</v>
      </c>
      <c r="G10" s="58" t="s">
        <v>107</v>
      </c>
      <c r="J10" s="33"/>
    </row>
    <row r="11" customFormat="false" ht="78" hidden="false" customHeight="true" outlineLevel="0" collapsed="false">
      <c r="A11" s="12" t="s">
        <v>108</v>
      </c>
      <c r="B11" s="56" t="s">
        <v>109</v>
      </c>
      <c r="C11" s="57" t="s">
        <v>110</v>
      </c>
      <c r="D11" s="59" t="s">
        <v>111</v>
      </c>
      <c r="E11" s="60" t="s">
        <v>112</v>
      </c>
      <c r="F11" s="56" t="s">
        <v>113</v>
      </c>
      <c r="G11" s="61" t="s">
        <v>114</v>
      </c>
      <c r="J11" s="33"/>
    </row>
    <row r="12" customFormat="false" ht="51" hidden="false" customHeight="false" outlineLevel="0" collapsed="false">
      <c r="A12" s="62" t="s">
        <v>115</v>
      </c>
      <c r="B12" s="63" t="s">
        <v>116</v>
      </c>
      <c r="C12" s="63" t="s">
        <v>47</v>
      </c>
      <c r="D12" s="63" t="s">
        <v>47</v>
      </c>
      <c r="E12" s="63" t="s">
        <v>47</v>
      </c>
      <c r="F12" s="64" t="s">
        <v>117</v>
      </c>
      <c r="G12" s="65" t="s">
        <v>118</v>
      </c>
      <c r="J12" s="33"/>
    </row>
    <row r="13" customFormat="false" ht="131" hidden="false" customHeight="true" outlineLevel="0" collapsed="false">
      <c r="A13" s="66" t="s">
        <v>119</v>
      </c>
      <c r="B13" s="67" t="s">
        <v>120</v>
      </c>
      <c r="C13" s="68" t="s">
        <v>121</v>
      </c>
      <c r="D13" s="69" t="s">
        <v>47</v>
      </c>
      <c r="E13" s="69" t="s">
        <v>47</v>
      </c>
      <c r="F13" s="70" t="s">
        <v>122</v>
      </c>
      <c r="G13" s="71" t="s">
        <v>123</v>
      </c>
      <c r="J13" s="33"/>
    </row>
    <row r="14" customFormat="false" ht="43" hidden="false" customHeight="true" outlineLevel="0" collapsed="false">
      <c r="A14" s="12" t="s">
        <v>124</v>
      </c>
      <c r="B14" s="9" t="s">
        <v>116</v>
      </c>
      <c r="C14" s="9" t="s">
        <v>47</v>
      </c>
      <c r="D14" s="9" t="s">
        <v>47</v>
      </c>
      <c r="E14" s="9" t="s">
        <v>47</v>
      </c>
      <c r="F14" s="59" t="s">
        <v>125</v>
      </c>
      <c r="G14" s="72" t="s">
        <v>126</v>
      </c>
      <c r="J14" s="33"/>
    </row>
    <row r="15" customFormat="false" ht="52" hidden="false" customHeight="true" outlineLevel="0" collapsed="false">
      <c r="A15" s="62" t="s">
        <v>127</v>
      </c>
      <c r="B15" s="63" t="s">
        <v>116</v>
      </c>
      <c r="C15" s="63" t="s">
        <v>47</v>
      </c>
      <c r="D15" s="63" t="s">
        <v>47</v>
      </c>
      <c r="E15" s="63" t="s">
        <v>47</v>
      </c>
      <c r="F15" s="73" t="s">
        <v>128</v>
      </c>
      <c r="G15" s="65" t="s">
        <v>129</v>
      </c>
      <c r="J15" s="33"/>
    </row>
    <row r="16" customFormat="false" ht="16" hidden="false" customHeight="false" outlineLevel="0" collapsed="false">
      <c r="J16" s="33"/>
    </row>
    <row r="17" customFormat="false" ht="16" hidden="false" customHeight="false" outlineLevel="0" collapsed="false">
      <c r="A17" s="74" t="s">
        <v>130</v>
      </c>
      <c r="B17" s="74"/>
      <c r="C17" s="74"/>
      <c r="D17" s="74"/>
      <c r="E17" s="74"/>
      <c r="F17" s="74"/>
      <c r="G17" s="74"/>
      <c r="J17" s="33"/>
    </row>
    <row r="18" customFormat="false" ht="16" hidden="false" customHeight="true" outlineLevel="0" collapsed="false">
      <c r="A18" s="75" t="s">
        <v>68</v>
      </c>
      <c r="B18" s="36" t="s">
        <v>69</v>
      </c>
      <c r="C18" s="36"/>
      <c r="D18" s="36" t="s">
        <v>70</v>
      </c>
      <c r="E18" s="36"/>
      <c r="F18" s="36" t="s">
        <v>71</v>
      </c>
      <c r="G18" s="36"/>
      <c r="J18" s="33"/>
    </row>
    <row r="19" customFormat="false" ht="16" hidden="false" customHeight="false" outlineLevel="0" collapsed="false">
      <c r="A19" s="75"/>
      <c r="B19" s="8" t="s">
        <v>72</v>
      </c>
      <c r="C19" s="8" t="s">
        <v>73</v>
      </c>
      <c r="D19" s="8" t="s">
        <v>74</v>
      </c>
      <c r="E19" s="8" t="s">
        <v>75</v>
      </c>
      <c r="F19" s="8" t="s">
        <v>76</v>
      </c>
      <c r="G19" s="8" t="s">
        <v>77</v>
      </c>
      <c r="J19" s="33"/>
    </row>
    <row r="20" customFormat="false" ht="16" hidden="false" customHeight="false" outlineLevel="0" collapsed="false">
      <c r="A20" s="75"/>
      <c r="B20" s="39" t="s">
        <v>78</v>
      </c>
      <c r="C20" s="39"/>
      <c r="D20" s="39" t="s">
        <v>79</v>
      </c>
      <c r="E20" s="39"/>
      <c r="F20" s="39" t="s">
        <v>80</v>
      </c>
      <c r="G20" s="39"/>
      <c r="J20" s="33"/>
    </row>
    <row r="21" customFormat="false" ht="16" hidden="false" customHeight="false" outlineLevel="0" collapsed="false">
      <c r="A21" s="8" t="s">
        <v>87</v>
      </c>
      <c r="B21" s="54" t="n">
        <v>8</v>
      </c>
      <c r="C21" s="54" t="n">
        <v>8</v>
      </c>
      <c r="D21" s="54" t="n">
        <v>13</v>
      </c>
      <c r="E21" s="54" t="n">
        <v>13</v>
      </c>
      <c r="F21" s="54" t="n">
        <v>13</v>
      </c>
      <c r="G21" s="54" t="n">
        <v>10</v>
      </c>
    </row>
    <row r="22" customFormat="false" ht="16" hidden="false" customHeight="false" outlineLevel="0" collapsed="false">
      <c r="A22" s="76" t="s">
        <v>94</v>
      </c>
      <c r="B22" s="56" t="n">
        <v>6</v>
      </c>
      <c r="C22" s="54" t="n">
        <v>7</v>
      </c>
      <c r="D22" s="56" t="n">
        <v>7</v>
      </c>
      <c r="E22" s="56" t="n">
        <v>6</v>
      </c>
      <c r="F22" s="54" t="n">
        <v>9</v>
      </c>
      <c r="G22" s="54" t="n">
        <v>4</v>
      </c>
    </row>
    <row r="23" customFormat="false" ht="16" hidden="false" customHeight="false" outlineLevel="0" collapsed="false">
      <c r="A23" s="77" t="s">
        <v>101</v>
      </c>
      <c r="B23" s="54" t="n">
        <v>8</v>
      </c>
      <c r="C23" s="54" t="n">
        <v>7</v>
      </c>
      <c r="D23" s="54" t="n">
        <v>7</v>
      </c>
      <c r="E23" s="54" t="n">
        <v>5</v>
      </c>
      <c r="F23" s="54" t="n">
        <v>10</v>
      </c>
      <c r="G23" s="54" t="n">
        <v>13</v>
      </c>
    </row>
    <row r="24" customFormat="false" ht="16" hidden="false" customHeight="false" outlineLevel="0" collapsed="false">
      <c r="A24" s="8" t="s">
        <v>108</v>
      </c>
      <c r="B24" s="54" t="n">
        <v>1</v>
      </c>
      <c r="C24" s="54" t="n">
        <v>1</v>
      </c>
      <c r="D24" s="54" t="n">
        <v>1</v>
      </c>
      <c r="E24" s="54" t="n">
        <v>3</v>
      </c>
      <c r="F24" s="54" t="n">
        <v>3</v>
      </c>
      <c r="G24" s="54" t="n">
        <v>4</v>
      </c>
      <c r="N24" s="78"/>
      <c r="O24" s="78"/>
      <c r="P24" s="78"/>
      <c r="Q24" s="78"/>
    </row>
    <row r="25" customFormat="false" ht="17" hidden="false" customHeight="false" outlineLevel="0" collapsed="false">
      <c r="A25" s="8" t="s">
        <v>115</v>
      </c>
      <c r="B25" s="9" t="s">
        <v>116</v>
      </c>
      <c r="C25" s="9" t="s">
        <v>47</v>
      </c>
      <c r="D25" s="9" t="s">
        <v>47</v>
      </c>
      <c r="E25" s="9" t="s">
        <v>47</v>
      </c>
      <c r="F25" s="54" t="n">
        <v>3</v>
      </c>
      <c r="G25" s="54" t="n">
        <v>2</v>
      </c>
      <c r="N25" s="78"/>
      <c r="O25" s="78"/>
      <c r="P25" s="78"/>
      <c r="Q25" s="78"/>
    </row>
    <row r="26" customFormat="false" ht="16" hidden="false" customHeight="false" outlineLevel="0" collapsed="false">
      <c r="A26" s="8" t="s">
        <v>131</v>
      </c>
      <c r="B26" s="79" t="n">
        <f aca="false">SUM(B22:B24)</f>
        <v>15</v>
      </c>
      <c r="C26" s="54" t="n">
        <f aca="false">SUM(C22:C24)</f>
        <v>15</v>
      </c>
      <c r="D26" s="54" t="n">
        <f aca="false">SUM(D22:D24)</f>
        <v>15</v>
      </c>
      <c r="E26" s="54" t="n">
        <f aca="false">SUM(E22:E24)</f>
        <v>14</v>
      </c>
      <c r="F26" s="54" t="n">
        <f aca="false">SUM(F22:F25)</f>
        <v>25</v>
      </c>
      <c r="G26" s="54" t="n">
        <f aca="false">SUM(G22:G25)</f>
        <v>23</v>
      </c>
      <c r="H26" s="80"/>
      <c r="I26" s="80"/>
      <c r="M26" s="33"/>
      <c r="O26" s="33"/>
      <c r="P26" s="33"/>
      <c r="Q26" s="33"/>
    </row>
    <row r="27" customFormat="false" ht="16" hidden="false" customHeight="false" outlineLevel="0" collapsed="false">
      <c r="A27" s="8" t="s">
        <v>132</v>
      </c>
      <c r="B27" s="79" t="n">
        <f aca="false">B26+B21</f>
        <v>23</v>
      </c>
      <c r="C27" s="79" t="n">
        <f aca="false">C26+C21</f>
        <v>23</v>
      </c>
      <c r="D27" s="79" t="n">
        <f aca="false">D26+D21</f>
        <v>28</v>
      </c>
      <c r="E27" s="79" t="n">
        <f aca="false">E26+E21</f>
        <v>27</v>
      </c>
      <c r="F27" s="79" t="n">
        <f aca="false">F26+F21</f>
        <v>38</v>
      </c>
      <c r="G27" s="79" t="n">
        <f aca="false">G26+G21</f>
        <v>33</v>
      </c>
      <c r="H27" s="80"/>
      <c r="I27" s="80"/>
      <c r="M27" s="33"/>
      <c r="O27" s="33"/>
      <c r="P27" s="33"/>
      <c r="Q27" s="33"/>
    </row>
    <row r="28" customFormat="false" ht="17" hidden="false" customHeight="false" outlineLevel="0" collapsed="false">
      <c r="A28" s="8" t="s">
        <v>124</v>
      </c>
      <c r="B28" s="54" t="n">
        <v>5</v>
      </c>
      <c r="C28" s="54" t="n">
        <v>2</v>
      </c>
      <c r="D28" s="9" t="s">
        <v>47</v>
      </c>
      <c r="E28" s="9" t="s">
        <v>47</v>
      </c>
      <c r="F28" s="54" t="n">
        <v>7</v>
      </c>
      <c r="G28" s="54" t="n">
        <v>5</v>
      </c>
      <c r="H28" s="80"/>
      <c r="I28" s="80"/>
      <c r="M28" s="33"/>
      <c r="O28" s="33"/>
      <c r="P28" s="33"/>
      <c r="Q28" s="33"/>
    </row>
    <row r="29" customFormat="false" ht="17" hidden="false" customHeight="false" outlineLevel="0" collapsed="false">
      <c r="A29" s="8" t="s">
        <v>119</v>
      </c>
      <c r="B29" s="9" t="s">
        <v>116</v>
      </c>
      <c r="C29" s="9" t="s">
        <v>47</v>
      </c>
      <c r="D29" s="9" t="s">
        <v>47</v>
      </c>
      <c r="E29" s="9" t="s">
        <v>47</v>
      </c>
      <c r="F29" s="54" t="n">
        <v>2</v>
      </c>
      <c r="G29" s="54" t="n">
        <v>1</v>
      </c>
      <c r="H29" s="80"/>
      <c r="I29" s="80"/>
      <c r="M29" s="33"/>
      <c r="O29" s="33"/>
      <c r="P29" s="33"/>
      <c r="Q29" s="33"/>
    </row>
    <row r="30" customFormat="false" ht="17" hidden="false" customHeight="false" outlineLevel="0" collapsed="false">
      <c r="A30" s="8" t="s">
        <v>127</v>
      </c>
      <c r="B30" s="9" t="s">
        <v>116</v>
      </c>
      <c r="C30" s="9" t="s">
        <v>47</v>
      </c>
      <c r="D30" s="9" t="s">
        <v>47</v>
      </c>
      <c r="E30" s="9" t="s">
        <v>47</v>
      </c>
      <c r="F30" s="54" t="n">
        <v>2</v>
      </c>
      <c r="G30" s="54" t="n">
        <v>1</v>
      </c>
      <c r="H30" s="80"/>
      <c r="I30" s="80"/>
      <c r="M30" s="33"/>
      <c r="O30" s="33"/>
      <c r="P30" s="33"/>
      <c r="Q30" s="33"/>
    </row>
    <row r="31" customFormat="false" ht="17" hidden="false" customHeight="false" outlineLevel="0" collapsed="false">
      <c r="A31" s="8" t="s">
        <v>133</v>
      </c>
      <c r="B31" s="79" t="n">
        <f aca="false">5</f>
        <v>5</v>
      </c>
      <c r="C31" s="79" t="n">
        <f aca="false">2</f>
        <v>2</v>
      </c>
      <c r="D31" s="9" t="s">
        <v>47</v>
      </c>
      <c r="E31" s="9" t="s">
        <v>47</v>
      </c>
      <c r="F31" s="54" t="n">
        <f aca="false">SUM(F28:F30)</f>
        <v>11</v>
      </c>
      <c r="G31" s="54" t="n">
        <f aca="false">SUM(G28:G30)</f>
        <v>7</v>
      </c>
      <c r="H31" s="80"/>
      <c r="I31" s="80"/>
      <c r="M31" s="33"/>
      <c r="O31" s="33"/>
      <c r="P31" s="33"/>
      <c r="Q31" s="33"/>
    </row>
    <row r="32" customFormat="false" ht="17" hidden="false" customHeight="false" outlineLevel="0" collapsed="false">
      <c r="A32" s="8" t="s">
        <v>134</v>
      </c>
      <c r="B32" s="79" t="n">
        <f aca="false">B31+B27</f>
        <v>28</v>
      </c>
      <c r="C32" s="79" t="n">
        <f aca="false">C31+C27</f>
        <v>25</v>
      </c>
      <c r="D32" s="79" t="s">
        <v>47</v>
      </c>
      <c r="E32" s="79" t="s">
        <v>47</v>
      </c>
      <c r="F32" s="81" t="n">
        <f aca="false">F31+F27</f>
        <v>49</v>
      </c>
      <c r="G32" s="81" t="n">
        <f aca="false">G31+G27</f>
        <v>40</v>
      </c>
      <c r="H32" s="80"/>
      <c r="I32" s="80"/>
      <c r="M32" s="33"/>
      <c r="O32" s="33"/>
      <c r="P32" s="33"/>
      <c r="Q32" s="33"/>
    </row>
    <row r="33" customFormat="false" ht="16" hidden="false" customHeight="false" outlineLevel="0" collapsed="false">
      <c r="A33" s="8" t="s">
        <v>135</v>
      </c>
      <c r="B33" s="82" t="n">
        <f aca="false">101-B21</f>
        <v>93</v>
      </c>
      <c r="C33" s="82" t="n">
        <f aca="false">74-C21</f>
        <v>66</v>
      </c>
      <c r="D33" s="82" t="n">
        <f aca="false">96-D21</f>
        <v>83</v>
      </c>
      <c r="E33" s="82" t="n">
        <f aca="false">62-E21</f>
        <v>49</v>
      </c>
      <c r="F33" s="82" t="n">
        <f aca="false">87-F21</f>
        <v>74</v>
      </c>
      <c r="G33" s="82" t="n">
        <f aca="false">70-G21</f>
        <v>60</v>
      </c>
      <c r="H33" s="80"/>
      <c r="I33" s="80"/>
      <c r="M33" s="33"/>
      <c r="O33" s="33"/>
      <c r="P33" s="33"/>
      <c r="Q33" s="33"/>
    </row>
    <row r="34" customFormat="false" ht="16" hidden="false" customHeight="false" outlineLevel="0" collapsed="false">
      <c r="A34" s="8" t="s">
        <v>136</v>
      </c>
      <c r="B34" s="82" t="n">
        <f aca="false">101-B21-B26</f>
        <v>78</v>
      </c>
      <c r="C34" s="82" t="n">
        <f aca="false">74-C21-C26</f>
        <v>51</v>
      </c>
      <c r="D34" s="82" t="n">
        <f aca="false">96-D21-D26</f>
        <v>68</v>
      </c>
      <c r="E34" s="82" t="n">
        <f aca="false">62-E21-E26</f>
        <v>35</v>
      </c>
      <c r="F34" s="82" t="n">
        <f aca="false">87-F21-F26</f>
        <v>49</v>
      </c>
      <c r="G34" s="82" t="n">
        <f aca="false">70-G21-G26</f>
        <v>37</v>
      </c>
      <c r="H34" s="80"/>
      <c r="I34" s="80"/>
      <c r="M34" s="33"/>
      <c r="O34" s="33"/>
      <c r="P34" s="33"/>
      <c r="Q34" s="33"/>
    </row>
    <row r="35" customFormat="false" ht="17" hidden="false" customHeight="false" outlineLevel="0" collapsed="false">
      <c r="A35" s="8" t="s">
        <v>137</v>
      </c>
      <c r="B35" s="82" t="n">
        <f aca="false">101-B31-B26-B21</f>
        <v>73</v>
      </c>
      <c r="C35" s="82" t="n">
        <f aca="false">74-C31-C26-C21</f>
        <v>49</v>
      </c>
      <c r="D35" s="83" t="s">
        <v>47</v>
      </c>
      <c r="E35" s="83" t="s">
        <v>47</v>
      </c>
      <c r="F35" s="82" t="n">
        <f aca="false">87-F31-F26-F21</f>
        <v>38</v>
      </c>
      <c r="G35" s="82" t="n">
        <f aca="false">70-G31-G26-G21</f>
        <v>30</v>
      </c>
      <c r="H35" s="80"/>
      <c r="I35" s="80"/>
      <c r="M35" s="33"/>
      <c r="O35" s="33"/>
      <c r="P35" s="33"/>
      <c r="Q35" s="33"/>
    </row>
    <row r="36" customFormat="false" ht="16" hidden="false" customHeight="false" outlineLevel="0" collapsed="false">
      <c r="E36" s="80"/>
      <c r="F36" s="80"/>
      <c r="G36" s="80"/>
      <c r="H36" s="80"/>
      <c r="I36" s="80"/>
      <c r="M36" s="33"/>
      <c r="O36" s="33"/>
      <c r="P36" s="33"/>
      <c r="Q36" s="33"/>
    </row>
    <row r="37" customFormat="false" ht="16" hidden="false" customHeight="false" outlineLevel="0" collapsed="false">
      <c r="A37" s="74" t="s">
        <v>138</v>
      </c>
      <c r="B37" s="74"/>
      <c r="C37" s="74"/>
      <c r="D37" s="74"/>
      <c r="E37" s="74"/>
      <c r="F37" s="74"/>
      <c r="G37" s="74"/>
      <c r="H37" s="80"/>
      <c r="I37" s="80"/>
      <c r="M37" s="33"/>
      <c r="O37" s="33"/>
      <c r="P37" s="33"/>
      <c r="Q37" s="33"/>
    </row>
    <row r="38" customFormat="false" ht="16" hidden="false" customHeight="true" outlineLevel="0" collapsed="false">
      <c r="A38" s="75" t="s">
        <v>68</v>
      </c>
      <c r="B38" s="36" t="s">
        <v>139</v>
      </c>
      <c r="C38" s="36"/>
      <c r="D38" s="36" t="s">
        <v>70</v>
      </c>
      <c r="E38" s="36"/>
      <c r="F38" s="36" t="s">
        <v>71</v>
      </c>
      <c r="G38" s="36"/>
      <c r="H38" s="80"/>
      <c r="I38" s="80"/>
      <c r="M38" s="33"/>
      <c r="O38" s="33"/>
      <c r="P38" s="33"/>
      <c r="Q38" s="33"/>
    </row>
    <row r="39" customFormat="false" ht="16" hidden="false" customHeight="false" outlineLevel="0" collapsed="false">
      <c r="A39" s="75"/>
      <c r="B39" s="8" t="s">
        <v>72</v>
      </c>
      <c r="C39" s="8" t="s">
        <v>73</v>
      </c>
      <c r="D39" s="8" t="s">
        <v>74</v>
      </c>
      <c r="E39" s="8" t="s">
        <v>75</v>
      </c>
      <c r="F39" s="8" t="s">
        <v>76</v>
      </c>
      <c r="G39" s="8" t="s">
        <v>77</v>
      </c>
      <c r="H39" s="80"/>
      <c r="I39" s="80"/>
      <c r="M39" s="33"/>
      <c r="O39" s="33"/>
      <c r="P39" s="33"/>
      <c r="Q39" s="33"/>
    </row>
    <row r="40" customFormat="false" ht="16" hidden="false" customHeight="false" outlineLevel="0" collapsed="false">
      <c r="A40" s="75"/>
      <c r="B40" s="39" t="s">
        <v>78</v>
      </c>
      <c r="C40" s="39"/>
      <c r="D40" s="39" t="s">
        <v>79</v>
      </c>
      <c r="E40" s="39"/>
      <c r="F40" s="39" t="s">
        <v>80</v>
      </c>
      <c r="G40" s="39"/>
      <c r="H40" s="80"/>
      <c r="I40" s="80"/>
      <c r="M40" s="33"/>
      <c r="O40" s="33"/>
      <c r="P40" s="33"/>
      <c r="Q40" s="33"/>
    </row>
    <row r="41" customFormat="false" ht="16" hidden="false" customHeight="false" outlineLevel="0" collapsed="false">
      <c r="A41" s="8" t="s">
        <v>87</v>
      </c>
      <c r="B41" s="84" t="n">
        <f aca="false">B21*100/101</f>
        <v>7.92079207920792</v>
      </c>
      <c r="C41" s="84" t="n">
        <f aca="false">C21*100/74</f>
        <v>10.8108108108108</v>
      </c>
      <c r="D41" s="84" t="n">
        <f aca="false">100*D21/96</f>
        <v>13.5416666666667</v>
      </c>
      <c r="E41" s="84" t="n">
        <f aca="false">100*E21/62</f>
        <v>20.9677419354839</v>
      </c>
      <c r="F41" s="84" t="n">
        <f aca="false">F21*100/87</f>
        <v>14.9425287356322</v>
      </c>
      <c r="G41" s="84" t="n">
        <f aca="false">100*G21/70</f>
        <v>14.2857142857143</v>
      </c>
      <c r="H41" s="80"/>
      <c r="I41" s="80"/>
      <c r="M41" s="33"/>
      <c r="O41" s="33"/>
      <c r="P41" s="33"/>
      <c r="Q41" s="33"/>
    </row>
    <row r="42" customFormat="false" ht="16" hidden="false" customHeight="false" outlineLevel="0" collapsed="false">
      <c r="A42" s="76" t="s">
        <v>94</v>
      </c>
      <c r="B42" s="84" t="n">
        <f aca="false">B22*100/101</f>
        <v>5.94059405940594</v>
      </c>
      <c r="C42" s="84" t="n">
        <f aca="false">C22*100/74</f>
        <v>9.45945945945946</v>
      </c>
      <c r="D42" s="84" t="n">
        <f aca="false">100*D22/96</f>
        <v>7.29166666666667</v>
      </c>
      <c r="E42" s="84" t="n">
        <f aca="false">100*E22/62</f>
        <v>9.67741935483871</v>
      </c>
      <c r="F42" s="84" t="n">
        <f aca="false">F22*100/87</f>
        <v>10.3448275862069</v>
      </c>
      <c r="G42" s="84" t="n">
        <f aca="false">100*G22/70</f>
        <v>5.71428571428571</v>
      </c>
      <c r="H42" s="80"/>
      <c r="I42" s="80"/>
      <c r="M42" s="33"/>
      <c r="O42" s="33"/>
      <c r="P42" s="33"/>
      <c r="Q42" s="33"/>
    </row>
    <row r="43" customFormat="false" ht="16" hidden="false" customHeight="false" outlineLevel="0" collapsed="false">
      <c r="A43" s="77" t="s">
        <v>101</v>
      </c>
      <c r="B43" s="84" t="n">
        <f aca="false">B23*100/101</f>
        <v>7.92079207920792</v>
      </c>
      <c r="C43" s="84" t="n">
        <f aca="false">C23*100/74</f>
        <v>9.45945945945946</v>
      </c>
      <c r="D43" s="84" t="n">
        <f aca="false">100*D23/96</f>
        <v>7.29166666666667</v>
      </c>
      <c r="E43" s="84" t="n">
        <f aca="false">100*E23/62</f>
        <v>8.06451612903226</v>
      </c>
      <c r="F43" s="84" t="n">
        <f aca="false">F23*100/87</f>
        <v>11.4942528735632</v>
      </c>
      <c r="G43" s="84" t="n">
        <f aca="false">100*G23/70</f>
        <v>18.5714285714286</v>
      </c>
      <c r="AD43" s="33"/>
      <c r="AM43" s="33"/>
      <c r="AN43" s="33"/>
      <c r="AO43" s="33"/>
    </row>
    <row r="44" customFormat="false" ht="16" hidden="false" customHeight="false" outlineLevel="0" collapsed="false">
      <c r="A44" s="8" t="s">
        <v>108</v>
      </c>
      <c r="B44" s="84" t="n">
        <f aca="false">B24*100/101</f>
        <v>0.99009900990099</v>
      </c>
      <c r="C44" s="84" t="n">
        <f aca="false">C24*100/74</f>
        <v>1.35135135135135</v>
      </c>
      <c r="D44" s="84" t="n">
        <f aca="false">100*D24/96</f>
        <v>1.04166666666667</v>
      </c>
      <c r="E44" s="84" t="n">
        <f aca="false">100*E24/62</f>
        <v>4.83870967741936</v>
      </c>
      <c r="F44" s="84" t="n">
        <f aca="false">F24*100/87</f>
        <v>3.44827586206897</v>
      </c>
      <c r="G44" s="84" t="n">
        <f aca="false">100*G24/70</f>
        <v>5.71428571428571</v>
      </c>
      <c r="I44" s="80"/>
      <c r="J44" s="33"/>
      <c r="K44" s="80"/>
      <c r="L44" s="80"/>
      <c r="M44" s="80"/>
      <c r="AD44" s="33"/>
      <c r="AM44" s="33"/>
      <c r="AN44" s="33"/>
      <c r="AO44" s="33"/>
    </row>
    <row r="45" customFormat="false" ht="17" hidden="false" customHeight="false" outlineLevel="0" collapsed="false">
      <c r="A45" s="8" t="s">
        <v>115</v>
      </c>
      <c r="B45" s="83" t="s">
        <v>116</v>
      </c>
      <c r="C45" s="83" t="s">
        <v>47</v>
      </c>
      <c r="D45" s="83" t="s">
        <v>47</v>
      </c>
      <c r="E45" s="83" t="s">
        <v>47</v>
      </c>
      <c r="F45" s="84" t="n">
        <f aca="false">F25*100/87</f>
        <v>3.44827586206897</v>
      </c>
      <c r="G45" s="84" t="n">
        <f aca="false">100*G25/70</f>
        <v>2.85714285714286</v>
      </c>
      <c r="I45" s="80"/>
      <c r="J45" s="33"/>
      <c r="K45" s="80"/>
      <c r="L45" s="80"/>
      <c r="M45" s="80"/>
      <c r="AD45" s="33"/>
      <c r="AM45" s="33"/>
      <c r="AN45" s="33"/>
      <c r="AO45" s="33"/>
    </row>
    <row r="46" customFormat="false" ht="16" hidden="false" customHeight="false" outlineLevel="0" collapsed="false">
      <c r="A46" s="8" t="s">
        <v>131</v>
      </c>
      <c r="B46" s="84" t="n">
        <f aca="false">B26*100/101</f>
        <v>14.8514851485149</v>
      </c>
      <c r="C46" s="84" t="n">
        <f aca="false">C26*100/74</f>
        <v>20.2702702702703</v>
      </c>
      <c r="D46" s="84" t="n">
        <f aca="false">100*D26/96</f>
        <v>15.625</v>
      </c>
      <c r="E46" s="84" t="n">
        <f aca="false">100*E26/62</f>
        <v>22.5806451612903</v>
      </c>
      <c r="F46" s="84" t="n">
        <f aca="false">F26*100/87</f>
        <v>28.735632183908</v>
      </c>
      <c r="G46" s="84" t="n">
        <f aca="false">100*G26/70</f>
        <v>32.8571428571429</v>
      </c>
      <c r="I46" s="80"/>
      <c r="J46" s="33"/>
      <c r="K46" s="80"/>
      <c r="L46" s="80"/>
      <c r="M46" s="80"/>
      <c r="AD46" s="33"/>
      <c r="AM46" s="33"/>
      <c r="AN46" s="33"/>
      <c r="AO46" s="33"/>
      <c r="AP46" s="85"/>
      <c r="AQ46" s="33"/>
      <c r="AR46" s="33"/>
    </row>
    <row r="47" customFormat="false" ht="16" hidden="false" customHeight="false" outlineLevel="0" collapsed="false">
      <c r="A47" s="8" t="s">
        <v>132</v>
      </c>
      <c r="B47" s="84" t="n">
        <f aca="false">B46+B41</f>
        <v>22.7722772277228</v>
      </c>
      <c r="C47" s="84" t="n">
        <f aca="false">C46+C41</f>
        <v>31.0810810810811</v>
      </c>
      <c r="D47" s="84" t="n">
        <f aca="false">D46+D41</f>
        <v>29.1666666666667</v>
      </c>
      <c r="E47" s="84" t="n">
        <f aca="false">E46+E41</f>
        <v>43.5483870967742</v>
      </c>
      <c r="F47" s="84" t="n">
        <f aca="false">F46+F41</f>
        <v>43.6781609195402</v>
      </c>
      <c r="G47" s="84" t="n">
        <f aca="false">G46+G41</f>
        <v>47.1428571428571</v>
      </c>
      <c r="I47" s="80"/>
      <c r="J47" s="33"/>
      <c r="K47" s="80"/>
      <c r="L47" s="80"/>
      <c r="M47" s="80"/>
      <c r="AD47" s="33"/>
      <c r="AM47" s="33"/>
      <c r="AN47" s="33"/>
      <c r="AO47" s="33"/>
      <c r="AP47" s="85"/>
      <c r="AQ47" s="33"/>
      <c r="AR47" s="33"/>
    </row>
    <row r="48" customFormat="false" ht="17" hidden="false" customHeight="false" outlineLevel="0" collapsed="false">
      <c r="A48" s="8" t="s">
        <v>124</v>
      </c>
      <c r="B48" s="84" t="n">
        <f aca="false">B28*100/101</f>
        <v>4.95049504950495</v>
      </c>
      <c r="C48" s="84" t="n">
        <f aca="false">C28*100/74</f>
        <v>2.7027027027027</v>
      </c>
      <c r="D48" s="83" t="s">
        <v>47</v>
      </c>
      <c r="E48" s="83" t="s">
        <v>47</v>
      </c>
      <c r="F48" s="84" t="n">
        <f aca="false">F28*100/87</f>
        <v>8.04597701149425</v>
      </c>
      <c r="G48" s="84" t="n">
        <f aca="false">100*G28/70</f>
        <v>7.14285714285714</v>
      </c>
      <c r="I48" s="80"/>
      <c r="J48" s="33"/>
      <c r="K48" s="80"/>
      <c r="L48" s="80"/>
      <c r="M48" s="80"/>
      <c r="AD48" s="33"/>
      <c r="AM48" s="33"/>
      <c r="AN48" s="33"/>
      <c r="AO48" s="33"/>
      <c r="AP48" s="85"/>
      <c r="AQ48" s="33"/>
      <c r="AR48" s="33"/>
    </row>
    <row r="49" customFormat="false" ht="17" hidden="false" customHeight="false" outlineLevel="0" collapsed="false">
      <c r="A49" s="8" t="s">
        <v>119</v>
      </c>
      <c r="B49" s="83" t="s">
        <v>116</v>
      </c>
      <c r="C49" s="83" t="s">
        <v>47</v>
      </c>
      <c r="D49" s="83" t="s">
        <v>47</v>
      </c>
      <c r="E49" s="83" t="s">
        <v>47</v>
      </c>
      <c r="F49" s="84" t="n">
        <f aca="false">F29*100/87</f>
        <v>2.29885057471264</v>
      </c>
      <c r="G49" s="84" t="n">
        <f aca="false">100*G29/70</f>
        <v>1.42857142857143</v>
      </c>
      <c r="I49" s="80"/>
      <c r="J49" s="33"/>
      <c r="K49" s="80"/>
      <c r="L49" s="80"/>
      <c r="M49" s="80"/>
      <c r="AD49" s="33"/>
      <c r="AM49" s="33"/>
      <c r="AN49" s="33"/>
      <c r="AO49" s="33"/>
      <c r="AP49" s="85"/>
      <c r="AQ49" s="33"/>
      <c r="AR49" s="33"/>
    </row>
    <row r="50" customFormat="false" ht="17" hidden="false" customHeight="false" outlineLevel="0" collapsed="false">
      <c r="A50" s="8" t="s">
        <v>127</v>
      </c>
      <c r="B50" s="83" t="s">
        <v>116</v>
      </c>
      <c r="C50" s="83" t="s">
        <v>47</v>
      </c>
      <c r="D50" s="83" t="s">
        <v>47</v>
      </c>
      <c r="E50" s="83" t="s">
        <v>47</v>
      </c>
      <c r="F50" s="84" t="n">
        <f aca="false">F30*100/87</f>
        <v>2.29885057471264</v>
      </c>
      <c r="G50" s="84" t="n">
        <f aca="false">100*G30/70</f>
        <v>1.42857142857143</v>
      </c>
      <c r="I50" s="80"/>
      <c r="J50" s="33"/>
      <c r="K50" s="80"/>
      <c r="L50" s="80"/>
      <c r="M50" s="80"/>
      <c r="AD50" s="33"/>
      <c r="AM50" s="33"/>
      <c r="AN50" s="33"/>
      <c r="AO50" s="33"/>
      <c r="AP50" s="85"/>
      <c r="AQ50" s="33"/>
      <c r="AR50" s="33"/>
    </row>
    <row r="51" customFormat="false" ht="17" hidden="false" customHeight="false" outlineLevel="0" collapsed="false">
      <c r="A51" s="8" t="s">
        <v>133</v>
      </c>
      <c r="B51" s="84" t="n">
        <f aca="false">B31*100/101</f>
        <v>4.95049504950495</v>
      </c>
      <c r="C51" s="84" t="n">
        <f aca="false">C31*100/74</f>
        <v>2.7027027027027</v>
      </c>
      <c r="D51" s="83" t="s">
        <v>47</v>
      </c>
      <c r="E51" s="83" t="s">
        <v>47</v>
      </c>
      <c r="F51" s="84" t="n">
        <f aca="false">F31*100/87</f>
        <v>12.6436781609195</v>
      </c>
      <c r="G51" s="84" t="n">
        <f aca="false">100*G31/70</f>
        <v>10</v>
      </c>
      <c r="I51" s="80"/>
      <c r="J51" s="33"/>
      <c r="K51" s="80"/>
      <c r="L51" s="80"/>
      <c r="M51" s="80"/>
      <c r="AD51" s="33"/>
      <c r="AM51" s="33"/>
      <c r="AN51" s="33"/>
      <c r="AO51" s="33"/>
      <c r="AP51" s="85"/>
      <c r="AQ51" s="33"/>
      <c r="AR51" s="33"/>
    </row>
    <row r="52" customFormat="false" ht="17" hidden="false" customHeight="false" outlineLevel="0" collapsed="false">
      <c r="A52" s="8" t="s">
        <v>134</v>
      </c>
      <c r="B52" s="84" t="n">
        <f aca="false">B51+B46+B41</f>
        <v>27.7227722772277</v>
      </c>
      <c r="C52" s="84" t="n">
        <f aca="false">C51+C46+C41</f>
        <v>33.7837837837838</v>
      </c>
      <c r="D52" s="83" t="s">
        <v>47</v>
      </c>
      <c r="E52" s="83" t="s">
        <v>47</v>
      </c>
      <c r="F52" s="84" t="n">
        <f aca="false">F51+F46+F41</f>
        <v>56.3218390804598</v>
      </c>
      <c r="G52" s="84" t="n">
        <f aca="false">G51+G46+G41</f>
        <v>57.1428571428571</v>
      </c>
      <c r="I52" s="80"/>
      <c r="J52" s="33"/>
      <c r="K52" s="80"/>
      <c r="L52" s="80"/>
      <c r="M52" s="80"/>
      <c r="AD52" s="33"/>
      <c r="AM52" s="33"/>
      <c r="AN52" s="33"/>
      <c r="AO52" s="33"/>
      <c r="AP52" s="85"/>
      <c r="AQ52" s="33"/>
      <c r="AR52" s="33"/>
    </row>
    <row r="53" customFormat="false" ht="35" hidden="false" customHeight="true" outlineLevel="0" collapsed="false">
      <c r="A53" s="8" t="s">
        <v>135</v>
      </c>
      <c r="B53" s="82" t="n">
        <f aca="false">100-B41</f>
        <v>92.0792079207921</v>
      </c>
      <c r="C53" s="82" t="n">
        <f aca="false">100-C41</f>
        <v>89.1891891891892</v>
      </c>
      <c r="D53" s="82" t="n">
        <f aca="false">100-D41</f>
        <v>86.4583333333333</v>
      </c>
      <c r="E53" s="82" t="n">
        <f aca="false">100-E41</f>
        <v>79.0322580645161</v>
      </c>
      <c r="F53" s="82" t="n">
        <f aca="false">100-F41</f>
        <v>85.0574712643678</v>
      </c>
      <c r="G53" s="82" t="n">
        <f aca="false">100-G41</f>
        <v>85.7142857142857</v>
      </c>
      <c r="I53" s="80"/>
      <c r="J53" s="33"/>
      <c r="K53" s="80"/>
      <c r="L53" s="80"/>
      <c r="M53" s="80"/>
      <c r="AD53" s="33"/>
      <c r="AM53" s="33"/>
      <c r="AN53" s="33"/>
      <c r="AO53" s="33"/>
      <c r="AP53" s="85"/>
      <c r="AQ53" s="33"/>
      <c r="AR53" s="33"/>
    </row>
    <row r="54" customFormat="false" ht="16" hidden="false" customHeight="false" outlineLevel="0" collapsed="false">
      <c r="A54" s="8" t="s">
        <v>136</v>
      </c>
      <c r="B54" s="82" t="n">
        <f aca="false">100-B41-B46</f>
        <v>77.2277227722772</v>
      </c>
      <c r="C54" s="82" t="n">
        <f aca="false">100-C41-C46</f>
        <v>68.9189189189189</v>
      </c>
      <c r="D54" s="82" t="n">
        <f aca="false">100-D41-D46</f>
        <v>70.8333333333333</v>
      </c>
      <c r="E54" s="82" t="n">
        <f aca="false">100-E41-E46</f>
        <v>56.4516129032258</v>
      </c>
      <c r="F54" s="82" t="n">
        <f aca="false">100-F41-F46</f>
        <v>56.3218390804598</v>
      </c>
      <c r="G54" s="82" t="n">
        <f aca="false">100-G41-G46</f>
        <v>52.8571428571429</v>
      </c>
      <c r="I54" s="80"/>
      <c r="J54" s="33"/>
      <c r="K54" s="80"/>
      <c r="L54" s="80"/>
      <c r="M54" s="80"/>
      <c r="AD54" s="33"/>
      <c r="AM54" s="33"/>
      <c r="AN54" s="33"/>
      <c r="AO54" s="33"/>
      <c r="AP54" s="85"/>
      <c r="AQ54" s="33"/>
      <c r="AR54" s="33"/>
    </row>
    <row r="55" customFormat="false" ht="16" hidden="false" customHeight="true" outlineLevel="0" collapsed="false">
      <c r="A55" s="8" t="s">
        <v>137</v>
      </c>
      <c r="B55" s="82" t="n">
        <f aca="false">100-B51-B46-B41</f>
        <v>72.2772277227723</v>
      </c>
      <c r="C55" s="82" t="n">
        <f aca="false">100-C51-C46-C41</f>
        <v>66.2162162162162</v>
      </c>
      <c r="D55" s="83" t="s">
        <v>47</v>
      </c>
      <c r="E55" s="83" t="s">
        <v>47</v>
      </c>
      <c r="F55" s="82" t="n">
        <f aca="false">100-F51-F46-F41</f>
        <v>43.6781609195402</v>
      </c>
      <c r="G55" s="82" t="n">
        <f aca="false">100-G51-G46-G41</f>
        <v>42.8571428571429</v>
      </c>
      <c r="I55" s="80"/>
      <c r="J55" s="33"/>
      <c r="K55" s="80"/>
      <c r="L55" s="80"/>
      <c r="M55" s="80"/>
      <c r="AD55" s="33"/>
      <c r="AM55" s="33"/>
      <c r="AN55" s="33"/>
      <c r="AO55" s="33"/>
      <c r="AP55" s="85"/>
      <c r="AQ55" s="33"/>
      <c r="AR55" s="33"/>
    </row>
    <row r="56" customFormat="false" ht="16" hidden="false" customHeight="false" outlineLevel="0" collapsed="false">
      <c r="I56" s="80"/>
      <c r="J56" s="33"/>
      <c r="K56" s="80"/>
      <c r="L56" s="80"/>
      <c r="M56" s="80"/>
      <c r="AD56" s="33"/>
      <c r="AM56" s="33"/>
      <c r="AN56" s="33"/>
      <c r="AO56" s="33"/>
      <c r="AP56" s="85"/>
      <c r="AQ56" s="33"/>
      <c r="AR56" s="33"/>
    </row>
    <row r="57" customFormat="false" ht="16" hidden="false" customHeight="false" outlineLevel="0" collapsed="false">
      <c r="A57" s="74" t="s">
        <v>140</v>
      </c>
      <c r="B57" s="74"/>
      <c r="C57" s="74"/>
      <c r="D57" s="74"/>
      <c r="E57" s="74"/>
      <c r="F57" s="74"/>
      <c r="G57" s="74"/>
      <c r="I57" s="80"/>
      <c r="J57" s="33"/>
      <c r="K57" s="80"/>
      <c r="L57" s="80"/>
      <c r="M57" s="80"/>
      <c r="AD57" s="33"/>
      <c r="AM57" s="33"/>
      <c r="AN57" s="33"/>
      <c r="AO57" s="33"/>
      <c r="AP57" s="85"/>
      <c r="AQ57" s="33"/>
      <c r="AR57" s="33"/>
    </row>
    <row r="58" customFormat="false" ht="16" hidden="false" customHeight="true" outlineLevel="0" collapsed="false">
      <c r="A58" s="75" t="s">
        <v>68</v>
      </c>
      <c r="B58" s="36" t="s">
        <v>69</v>
      </c>
      <c r="C58" s="36"/>
      <c r="D58" s="36" t="s">
        <v>70</v>
      </c>
      <c r="E58" s="36"/>
      <c r="F58" s="36" t="s">
        <v>71</v>
      </c>
      <c r="G58" s="36"/>
      <c r="I58" s="80"/>
      <c r="J58" s="33"/>
      <c r="K58" s="80"/>
      <c r="L58" s="80"/>
      <c r="M58" s="80"/>
      <c r="AP58" s="85"/>
      <c r="AQ58" s="33"/>
      <c r="AR58" s="33"/>
    </row>
    <row r="59" customFormat="false" ht="16" hidden="false" customHeight="false" outlineLevel="0" collapsed="false">
      <c r="A59" s="75"/>
      <c r="B59" s="8" t="s">
        <v>72</v>
      </c>
      <c r="C59" s="8" t="s">
        <v>73</v>
      </c>
      <c r="D59" s="8" t="s">
        <v>74</v>
      </c>
      <c r="E59" s="8" t="s">
        <v>75</v>
      </c>
      <c r="F59" s="8" t="s">
        <v>76</v>
      </c>
      <c r="G59" s="8" t="s">
        <v>77</v>
      </c>
      <c r="AP59" s="85"/>
      <c r="AQ59" s="33"/>
      <c r="AR59" s="33"/>
    </row>
    <row r="60" customFormat="false" ht="16" hidden="false" customHeight="false" outlineLevel="0" collapsed="false">
      <c r="A60" s="75"/>
      <c r="B60" s="39" t="s">
        <v>78</v>
      </c>
      <c r="C60" s="39"/>
      <c r="D60" s="39" t="s">
        <v>79</v>
      </c>
      <c r="E60" s="39"/>
      <c r="F60" s="39" t="s">
        <v>80</v>
      </c>
      <c r="G60" s="39"/>
      <c r="AP60" s="85"/>
      <c r="AQ60" s="33"/>
      <c r="AR60" s="33"/>
    </row>
    <row r="61" customFormat="false" ht="16" hidden="false" customHeight="false" outlineLevel="0" collapsed="false">
      <c r="A61" s="8" t="s">
        <v>87</v>
      </c>
      <c r="B61" s="84" t="n">
        <f aca="false">8*100/137</f>
        <v>5.83941605839416</v>
      </c>
      <c r="C61" s="84" t="n">
        <f aca="false">8*100/137</f>
        <v>5.83941605839416</v>
      </c>
      <c r="D61" s="84" t="n">
        <f aca="false">100*13/142</f>
        <v>9.15492957746479</v>
      </c>
      <c r="E61" s="84" t="n">
        <f aca="false">100*13/142</f>
        <v>9.15492957746479</v>
      </c>
      <c r="F61" s="84" t="n">
        <f aca="false">100*13/146</f>
        <v>8.9041095890411</v>
      </c>
      <c r="G61" s="84" t="n">
        <f aca="false">100*10/146</f>
        <v>6.84931506849315</v>
      </c>
    </row>
    <row r="62" customFormat="false" ht="16" hidden="false" customHeight="false" outlineLevel="0" collapsed="false">
      <c r="A62" s="76" t="s">
        <v>94</v>
      </c>
      <c r="B62" s="86" t="n">
        <f aca="false">6*100/33</f>
        <v>18.1818181818182</v>
      </c>
      <c r="C62" s="84" t="n">
        <f aca="false">7*100/33</f>
        <v>21.2121212121212</v>
      </c>
      <c r="D62" s="87" t="n">
        <f aca="false">7*100/36</f>
        <v>19.4444444444444</v>
      </c>
      <c r="E62" s="87" t="n">
        <f aca="false">6*100/36</f>
        <v>16.6666666666667</v>
      </c>
      <c r="F62" s="84" t="n">
        <f aca="false">100*9/47</f>
        <v>19.1489361702128</v>
      </c>
      <c r="G62" s="84" t="n">
        <f aca="false">100*4/47</f>
        <v>8.51063829787234</v>
      </c>
    </row>
    <row r="63" customFormat="false" ht="16" hidden="false" customHeight="false" outlineLevel="0" collapsed="false">
      <c r="A63" s="77" t="s">
        <v>101</v>
      </c>
      <c r="B63" s="84" t="n">
        <f aca="false">8*100/33</f>
        <v>24.2424242424242</v>
      </c>
      <c r="C63" s="84" t="n">
        <f aca="false">6*100/33</f>
        <v>18.1818181818182</v>
      </c>
      <c r="D63" s="84" t="n">
        <f aca="false">7*100/36</f>
        <v>19.4444444444444</v>
      </c>
      <c r="E63" s="84" t="n">
        <f aca="false">5*100/36</f>
        <v>13.8888888888889</v>
      </c>
      <c r="F63" s="84" t="n">
        <f aca="false">100*10/47</f>
        <v>21.2765957446808</v>
      </c>
      <c r="G63" s="84" t="n">
        <f aca="false">100*13/47</f>
        <v>27.6595744680851</v>
      </c>
    </row>
    <row r="64" customFormat="false" ht="16" hidden="false" customHeight="false" outlineLevel="0" collapsed="false">
      <c r="A64" s="8" t="s">
        <v>108</v>
      </c>
      <c r="B64" s="84" t="n">
        <f aca="false">1*100/25</f>
        <v>4</v>
      </c>
      <c r="C64" s="84" t="n">
        <f aca="false">1*100/25</f>
        <v>4</v>
      </c>
      <c r="D64" s="84" t="n">
        <f aca="false">1*100/21</f>
        <v>4.76190476190476</v>
      </c>
      <c r="E64" s="84" t="n">
        <f aca="false">3*100/21</f>
        <v>14.2857142857143</v>
      </c>
      <c r="F64" s="84" t="n">
        <f aca="false">100*3/44</f>
        <v>6.81818181818182</v>
      </c>
      <c r="G64" s="84" t="n">
        <f aca="false">100*4/44</f>
        <v>9.09090909090909</v>
      </c>
    </row>
    <row r="65" customFormat="false" ht="17" hidden="false" customHeight="false" outlineLevel="0" collapsed="false">
      <c r="A65" s="8" t="s">
        <v>115</v>
      </c>
      <c r="B65" s="83" t="s">
        <v>116</v>
      </c>
      <c r="C65" s="83" t="s">
        <v>47</v>
      </c>
      <c r="D65" s="83" t="s">
        <v>47</v>
      </c>
      <c r="E65" s="83" t="s">
        <v>47</v>
      </c>
      <c r="F65" s="84" t="n">
        <f aca="false">100*3/9</f>
        <v>33.3333333333333</v>
      </c>
      <c r="G65" s="84" t="n">
        <f aca="false">100*2/9</f>
        <v>22.2222222222222</v>
      </c>
    </row>
    <row r="66" customFormat="false" ht="16" hidden="false" customHeight="false" outlineLevel="0" collapsed="false">
      <c r="A66" s="8" t="s">
        <v>131</v>
      </c>
      <c r="B66" s="84" t="n">
        <f aca="false">100*B26/(33+33+25)</f>
        <v>16.4835164835165</v>
      </c>
      <c r="C66" s="84" t="n">
        <f aca="false">100*C26/(33+33+25)</f>
        <v>16.4835164835165</v>
      </c>
      <c r="D66" s="84" t="n">
        <f aca="false">100*D26/(36+36+21)</f>
        <v>16.1290322580645</v>
      </c>
      <c r="E66" s="84" t="n">
        <f aca="false">100*E26/(36+36+21)</f>
        <v>15.0537634408602</v>
      </c>
      <c r="F66" s="84" t="n">
        <f aca="false">100*F26/(47+46+33+9)</f>
        <v>18.5185185185185</v>
      </c>
      <c r="G66" s="84" t="n">
        <f aca="false">100*G26/(47+46+33+9)</f>
        <v>17.037037037037</v>
      </c>
    </row>
    <row r="67" customFormat="false" ht="17" hidden="false" customHeight="false" outlineLevel="0" collapsed="false">
      <c r="A67" s="8" t="s">
        <v>124</v>
      </c>
      <c r="B67" s="84" t="n">
        <f aca="false">5*100/33</f>
        <v>15.1515151515152</v>
      </c>
      <c r="C67" s="84" t="n">
        <f aca="false">2*100/33</f>
        <v>6.06060606060606</v>
      </c>
      <c r="D67" s="83" t="s">
        <v>47</v>
      </c>
      <c r="E67" s="83" t="s">
        <v>47</v>
      </c>
      <c r="F67" s="84" t="n">
        <f aca="false">100*7/93</f>
        <v>7.52688172043011</v>
      </c>
      <c r="G67" s="84" t="n">
        <f aca="false">100*5/93</f>
        <v>5.37634408602151</v>
      </c>
    </row>
    <row r="68" customFormat="false" ht="17" hidden="false" customHeight="false" outlineLevel="0" collapsed="false">
      <c r="A68" s="8" t="s">
        <v>119</v>
      </c>
      <c r="B68" s="83" t="s">
        <v>116</v>
      </c>
      <c r="C68" s="83" t="s">
        <v>47</v>
      </c>
      <c r="D68" s="83" t="s">
        <v>47</v>
      </c>
      <c r="E68" s="83" t="s">
        <v>47</v>
      </c>
      <c r="F68" s="84" t="n">
        <f aca="false">2*100/17</f>
        <v>11.7647058823529</v>
      </c>
      <c r="G68" s="84" t="n">
        <f aca="false">1*100/17</f>
        <v>5.88235294117647</v>
      </c>
    </row>
    <row r="69" customFormat="false" ht="17" hidden="false" customHeight="false" outlineLevel="0" collapsed="false">
      <c r="A69" s="8" t="s">
        <v>127</v>
      </c>
      <c r="B69" s="83" t="s">
        <v>116</v>
      </c>
      <c r="C69" s="83" t="s">
        <v>47</v>
      </c>
      <c r="D69" s="83" t="s">
        <v>47</v>
      </c>
      <c r="E69" s="83" t="s">
        <v>47</v>
      </c>
      <c r="F69" s="84" t="n">
        <f aca="false">100*2/19</f>
        <v>10.5263157894737</v>
      </c>
      <c r="G69" s="84" t="n">
        <f aca="false">100*1/19</f>
        <v>5.26315789473684</v>
      </c>
    </row>
    <row r="70" customFormat="false" ht="16" hidden="false" customHeight="false" outlineLevel="0" collapsed="false">
      <c r="A70" s="8" t="s">
        <v>133</v>
      </c>
      <c r="B70" s="84" t="n">
        <f aca="false">5*100/33</f>
        <v>15.1515151515152</v>
      </c>
      <c r="C70" s="84" t="n">
        <f aca="false">2*100/33</f>
        <v>6.06060606060606</v>
      </c>
      <c r="D70" s="83"/>
      <c r="E70" s="83"/>
      <c r="F70" s="84" t="n">
        <f aca="false">100*SUM(F28:F31)/(93+13+17)</f>
        <v>17.8861788617886</v>
      </c>
      <c r="G70" s="84" t="n">
        <f aca="false">100*SUM(G28:G31)/(93+13+17)</f>
        <v>11.3821138211382</v>
      </c>
    </row>
  </sheetData>
  <mergeCells count="33">
    <mergeCell ref="A1:J1"/>
    <mergeCell ref="A3:G3"/>
    <mergeCell ref="A4:A6"/>
    <mergeCell ref="B4:C4"/>
    <mergeCell ref="D4:E4"/>
    <mergeCell ref="F4:G4"/>
    <mergeCell ref="B6:C6"/>
    <mergeCell ref="D6:E6"/>
    <mergeCell ref="F6:G6"/>
    <mergeCell ref="A17:G17"/>
    <mergeCell ref="A18:A20"/>
    <mergeCell ref="B18:C18"/>
    <mergeCell ref="D18:E18"/>
    <mergeCell ref="F18:G18"/>
    <mergeCell ref="B20:C20"/>
    <mergeCell ref="D20:E20"/>
    <mergeCell ref="F20:G20"/>
    <mergeCell ref="A37:G37"/>
    <mergeCell ref="A38:A40"/>
    <mergeCell ref="B38:C38"/>
    <mergeCell ref="D38:E38"/>
    <mergeCell ref="F38:G38"/>
    <mergeCell ref="B40:C40"/>
    <mergeCell ref="D40:E40"/>
    <mergeCell ref="F40:G40"/>
    <mergeCell ref="A57:G57"/>
    <mergeCell ref="A58:A60"/>
    <mergeCell ref="B58:C58"/>
    <mergeCell ref="D58:E58"/>
    <mergeCell ref="F58:G58"/>
    <mergeCell ref="B60:C60"/>
    <mergeCell ref="D60:E60"/>
    <mergeCell ref="F60:G6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BS64"/>
  <sheetViews>
    <sheetView windowProtection="false"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RowHeight="16"/>
  <cols>
    <col collapsed="false" hidden="false" max="1" min="1" style="0" width="34.7888888888889"/>
  </cols>
  <sheetData>
    <row r="1" customFormat="false" ht="271" hidden="false" customHeight="true" outlineLevel="0" collapsed="false">
      <c r="A1" s="88" t="s">
        <v>141</v>
      </c>
      <c r="B1" s="88"/>
      <c r="C1" s="88"/>
      <c r="D1" s="88"/>
      <c r="E1" s="88"/>
      <c r="F1" s="88"/>
      <c r="G1" s="88"/>
      <c r="H1" s="88"/>
      <c r="I1" s="88"/>
      <c r="J1" s="88"/>
      <c r="K1" s="88"/>
      <c r="L1" s="88"/>
      <c r="M1" s="88"/>
      <c r="N1" s="88"/>
      <c r="O1" s="88"/>
      <c r="P1" s="89"/>
      <c r="Q1" s="89"/>
      <c r="R1" s="89"/>
      <c r="S1" s="89"/>
      <c r="T1" s="89"/>
      <c r="U1" s="89"/>
      <c r="V1" s="89"/>
      <c r="W1" s="89"/>
      <c r="X1" s="89"/>
      <c r="Y1" s="89"/>
    </row>
    <row r="2" customFormat="false" ht="17" hidden="false" customHeight="false" outlineLevel="0" collapsed="false">
      <c r="P2" s="90"/>
    </row>
    <row r="3" customFormat="false" ht="17" hidden="false" customHeight="true" outlineLevel="0" collapsed="false">
      <c r="B3" s="91" t="s">
        <v>142</v>
      </c>
      <c r="C3" s="91"/>
      <c r="D3" s="91"/>
      <c r="E3" s="91"/>
      <c r="F3" s="91"/>
      <c r="G3" s="91"/>
      <c r="H3" s="91"/>
      <c r="I3" s="91"/>
      <c r="J3" s="91"/>
      <c r="K3" s="91"/>
      <c r="L3" s="91"/>
      <c r="M3" s="91"/>
      <c r="AL3" s="92" t="s">
        <v>143</v>
      </c>
      <c r="AM3" s="91" t="s">
        <v>142</v>
      </c>
      <c r="AN3" s="91"/>
      <c r="AO3" s="91"/>
      <c r="AP3" s="91"/>
      <c r="AQ3" s="91"/>
      <c r="AR3" s="91"/>
      <c r="AS3" s="91"/>
      <c r="AT3" s="91"/>
      <c r="AU3" s="91"/>
      <c r="AV3" s="91"/>
      <c r="AW3" s="91"/>
      <c r="AX3" s="91"/>
      <c r="AY3" s="91" t="s">
        <v>144</v>
      </c>
      <c r="AZ3" s="91"/>
      <c r="BA3" s="91"/>
      <c r="BB3" s="91"/>
      <c r="BC3" s="91"/>
      <c r="BD3" s="91"/>
      <c r="BE3" s="91"/>
      <c r="BF3" s="91"/>
      <c r="BG3" s="91"/>
      <c r="BH3" s="93" t="s">
        <v>145</v>
      </c>
      <c r="BI3" s="93"/>
      <c r="BJ3" s="93"/>
      <c r="BK3" s="93"/>
      <c r="BL3" s="93"/>
      <c r="BM3" s="93"/>
      <c r="BN3" s="93"/>
      <c r="BO3" s="93"/>
      <c r="BP3" s="93"/>
      <c r="BQ3" s="93"/>
      <c r="BR3" s="93"/>
      <c r="BS3" s="93"/>
    </row>
    <row r="4" customFormat="false" ht="16" hidden="false" customHeight="true" outlineLevel="0" collapsed="false">
      <c r="B4" s="94" t="s">
        <v>146</v>
      </c>
      <c r="C4" s="94"/>
      <c r="D4" s="94"/>
      <c r="E4" s="92" t="s">
        <v>147</v>
      </c>
      <c r="F4" s="92"/>
      <c r="G4" s="92"/>
      <c r="H4" s="95" t="s">
        <v>148</v>
      </c>
      <c r="I4" s="95"/>
      <c r="J4" s="95"/>
      <c r="K4" s="96" t="s">
        <v>149</v>
      </c>
      <c r="L4" s="96"/>
      <c r="M4" s="96"/>
      <c r="AL4" s="92"/>
      <c r="AM4" s="97" t="s">
        <v>146</v>
      </c>
      <c r="AN4" s="97"/>
      <c r="AO4" s="97"/>
      <c r="AP4" s="98" t="s">
        <v>147</v>
      </c>
      <c r="AQ4" s="98"/>
      <c r="AR4" s="98"/>
      <c r="AS4" s="99" t="s">
        <v>148</v>
      </c>
      <c r="AT4" s="99"/>
      <c r="AU4" s="99"/>
      <c r="AV4" s="100" t="s">
        <v>149</v>
      </c>
      <c r="AW4" s="100"/>
      <c r="AX4" s="100"/>
      <c r="AY4" s="97" t="s">
        <v>146</v>
      </c>
      <c r="AZ4" s="97"/>
      <c r="BA4" s="97"/>
      <c r="BB4" s="101" t="s">
        <v>147</v>
      </c>
      <c r="BC4" s="101"/>
      <c r="BD4" s="101"/>
      <c r="BE4" s="100" t="s">
        <v>148</v>
      </c>
      <c r="BF4" s="100"/>
      <c r="BG4" s="100"/>
      <c r="BH4" s="98" t="s">
        <v>146</v>
      </c>
      <c r="BI4" s="98"/>
      <c r="BJ4" s="98"/>
      <c r="BK4" s="101" t="s">
        <v>147</v>
      </c>
      <c r="BL4" s="101"/>
      <c r="BM4" s="101"/>
      <c r="BN4" s="99" t="s">
        <v>148</v>
      </c>
      <c r="BO4" s="99"/>
      <c r="BP4" s="99"/>
      <c r="BQ4" s="100" t="s">
        <v>149</v>
      </c>
      <c r="BR4" s="100"/>
      <c r="BS4" s="100"/>
    </row>
    <row r="5" customFormat="false" ht="17" hidden="false" customHeight="false" outlineLevel="0" collapsed="false">
      <c r="A5" s="92" t="s">
        <v>150</v>
      </c>
      <c r="B5" s="102" t="n">
        <v>4.1</v>
      </c>
      <c r="C5" s="102"/>
      <c r="D5" s="102"/>
      <c r="E5" s="102" t="n">
        <v>4.1</v>
      </c>
      <c r="F5" s="102"/>
      <c r="G5" s="102"/>
      <c r="H5" s="102" t="n">
        <v>3.9</v>
      </c>
      <c r="I5" s="102"/>
      <c r="J5" s="102"/>
      <c r="K5" s="103" t="n">
        <v>3.8</v>
      </c>
      <c r="L5" s="103"/>
      <c r="M5" s="103"/>
      <c r="AL5" s="92"/>
      <c r="AM5" s="104"/>
      <c r="AN5" s="105"/>
      <c r="AO5" s="105"/>
      <c r="AP5" s="105"/>
      <c r="AQ5" s="105"/>
      <c r="AR5" s="105"/>
      <c r="AS5" s="106"/>
      <c r="AT5" s="106"/>
      <c r="AU5" s="106"/>
      <c r="AV5" s="106"/>
      <c r="AW5" s="106"/>
      <c r="AX5" s="107"/>
      <c r="AY5" s="104"/>
      <c r="AZ5" s="105"/>
      <c r="BA5" s="105"/>
      <c r="BB5" s="75"/>
      <c r="BC5" s="106"/>
      <c r="BD5" s="106"/>
      <c r="BE5" s="106"/>
      <c r="BF5" s="106"/>
      <c r="BG5" s="107"/>
      <c r="BH5" s="108"/>
      <c r="BI5" s="105"/>
      <c r="BJ5" s="105"/>
      <c r="BK5" s="75"/>
      <c r="BL5" s="106"/>
      <c r="BM5" s="106"/>
      <c r="BN5" s="106"/>
      <c r="BO5" s="106"/>
      <c r="BP5" s="106"/>
      <c r="BQ5" s="106"/>
      <c r="BR5" s="106"/>
      <c r="BS5" s="109"/>
    </row>
    <row r="6" customFormat="false" ht="19" hidden="false" customHeight="true" outlineLevel="0" collapsed="false">
      <c r="A6" s="110" t="s">
        <v>151</v>
      </c>
      <c r="B6" s="111" t="n">
        <v>5.6</v>
      </c>
      <c r="C6" s="111"/>
      <c r="D6" s="111"/>
      <c r="E6" s="112" t="n">
        <v>5.7</v>
      </c>
      <c r="F6" s="112"/>
      <c r="G6" s="112"/>
      <c r="H6" s="102" t="n">
        <v>5.9</v>
      </c>
      <c r="I6" s="102"/>
      <c r="J6" s="102"/>
      <c r="K6" s="103" t="n">
        <v>6</v>
      </c>
      <c r="L6" s="103"/>
      <c r="M6" s="103"/>
      <c r="AL6" s="92"/>
      <c r="AM6" s="104"/>
      <c r="AN6" s="105"/>
      <c r="AO6" s="105"/>
      <c r="AP6" s="105"/>
      <c r="AQ6" s="105"/>
      <c r="AR6" s="105"/>
      <c r="AS6" s="106"/>
      <c r="AT6" s="106"/>
      <c r="AU6" s="106"/>
      <c r="AV6" s="106"/>
      <c r="AW6" s="106"/>
      <c r="AX6" s="107"/>
      <c r="AY6" s="104"/>
      <c r="AZ6" s="105"/>
      <c r="BA6" s="105"/>
      <c r="BB6" s="75"/>
      <c r="BC6" s="106"/>
      <c r="BD6" s="106"/>
      <c r="BE6" s="106"/>
      <c r="BF6" s="106"/>
      <c r="BG6" s="107"/>
      <c r="BH6" s="108"/>
      <c r="BI6" s="105"/>
      <c r="BJ6" s="105"/>
      <c r="BK6" s="75"/>
      <c r="BL6" s="106"/>
      <c r="BM6" s="106"/>
      <c r="BN6" s="106"/>
      <c r="BO6" s="106"/>
      <c r="BP6" s="106"/>
      <c r="BQ6" s="106"/>
      <c r="BR6" s="106"/>
      <c r="BS6" s="109"/>
    </row>
    <row r="7" customFormat="false" ht="51" hidden="false" customHeight="false" outlineLevel="0" collapsed="false">
      <c r="A7" s="113" t="s">
        <v>143</v>
      </c>
      <c r="B7" s="114" t="s">
        <v>152</v>
      </c>
      <c r="C7" s="41" t="s">
        <v>153</v>
      </c>
      <c r="D7" s="41" t="s">
        <v>154</v>
      </c>
      <c r="E7" s="114" t="s">
        <v>152</v>
      </c>
      <c r="F7" s="41" t="s">
        <v>153</v>
      </c>
      <c r="G7" s="41" t="s">
        <v>154</v>
      </c>
      <c r="H7" s="114" t="s">
        <v>152</v>
      </c>
      <c r="I7" s="41" t="s">
        <v>153</v>
      </c>
      <c r="J7" s="41" t="s">
        <v>154</v>
      </c>
      <c r="K7" s="114" t="s">
        <v>152</v>
      </c>
      <c r="L7" s="41" t="s">
        <v>153</v>
      </c>
      <c r="M7" s="42" t="s">
        <v>154</v>
      </c>
      <c r="AL7" s="92"/>
      <c r="AM7" s="115" t="s">
        <v>152</v>
      </c>
      <c r="AN7" s="9" t="s">
        <v>153</v>
      </c>
      <c r="AO7" s="9" t="s">
        <v>154</v>
      </c>
      <c r="AP7" s="9" t="s">
        <v>152</v>
      </c>
      <c r="AQ7" s="9" t="s">
        <v>153</v>
      </c>
      <c r="AR7" s="9" t="s">
        <v>154</v>
      </c>
      <c r="AS7" s="9" t="s">
        <v>152</v>
      </c>
      <c r="AT7" s="9" t="s">
        <v>153</v>
      </c>
      <c r="AU7" s="9" t="s">
        <v>154</v>
      </c>
      <c r="AV7" s="9" t="s">
        <v>152</v>
      </c>
      <c r="AW7" s="9" t="s">
        <v>153</v>
      </c>
      <c r="AX7" s="116" t="s">
        <v>154</v>
      </c>
      <c r="AY7" s="115" t="s">
        <v>152</v>
      </c>
      <c r="AZ7" s="9" t="s">
        <v>153</v>
      </c>
      <c r="BA7" s="9" t="s">
        <v>154</v>
      </c>
      <c r="BB7" s="9" t="s">
        <v>152</v>
      </c>
      <c r="BC7" s="9" t="s">
        <v>153</v>
      </c>
      <c r="BD7" s="9" t="s">
        <v>154</v>
      </c>
      <c r="BE7" s="9" t="s">
        <v>152</v>
      </c>
      <c r="BF7" s="9" t="s">
        <v>153</v>
      </c>
      <c r="BG7" s="116" t="s">
        <v>154</v>
      </c>
      <c r="BH7" s="117" t="s">
        <v>152</v>
      </c>
      <c r="BI7" s="9" t="s">
        <v>153</v>
      </c>
      <c r="BJ7" s="9" t="s">
        <v>154</v>
      </c>
      <c r="BK7" s="9" t="s">
        <v>152</v>
      </c>
      <c r="BL7" s="9" t="s">
        <v>153</v>
      </c>
      <c r="BM7" s="9" t="s">
        <v>154</v>
      </c>
      <c r="BN7" s="9" t="s">
        <v>152</v>
      </c>
      <c r="BO7" s="9" t="s">
        <v>153</v>
      </c>
      <c r="BP7" s="9" t="s">
        <v>154</v>
      </c>
      <c r="BQ7" s="9" t="s">
        <v>152</v>
      </c>
      <c r="BR7" s="9" t="s">
        <v>153</v>
      </c>
      <c r="BS7" s="42" t="s">
        <v>154</v>
      </c>
    </row>
    <row r="8" customFormat="false" ht="16" hidden="false" customHeight="false" outlineLevel="0" collapsed="false">
      <c r="A8" s="118" t="n">
        <v>0</v>
      </c>
      <c r="B8" s="119" t="n">
        <v>96.94</v>
      </c>
      <c r="C8" s="10" t="n">
        <v>112.47</v>
      </c>
      <c r="D8" s="120" t="n">
        <f aca="false">C8-MAX(C$8:C$22)</f>
        <v>-119.95</v>
      </c>
      <c r="E8" s="121" t="n">
        <f aca="false">0.5*193.78</f>
        <v>96.89</v>
      </c>
      <c r="F8" s="10" t="n">
        <v>310.45</v>
      </c>
      <c r="G8" s="120" t="n">
        <f aca="false">(F8-MAX(F$8:F$22))/2</f>
        <v>-125.21</v>
      </c>
      <c r="H8" s="121" t="n">
        <f aca="false">0.1*968.68</f>
        <v>96.868</v>
      </c>
      <c r="I8" s="10" t="n">
        <v>1910.1</v>
      </c>
      <c r="J8" s="120" t="n">
        <f aca="false">(I8-MAX(I$8:I$22))/10</f>
        <v>-143.092</v>
      </c>
      <c r="K8" s="121" t="n">
        <f aca="false">0.05*1937.51</f>
        <v>96.8755</v>
      </c>
      <c r="L8" s="10" t="n">
        <v>3868.92</v>
      </c>
      <c r="M8" s="120" t="n">
        <f aca="false">(L8-MAX(L$8:L$22))/20</f>
        <v>-150.6185</v>
      </c>
      <c r="AL8" s="118" t="n">
        <v>0</v>
      </c>
      <c r="AM8" s="122" t="n">
        <v>96.94</v>
      </c>
      <c r="AN8" s="123" t="n">
        <v>112.47</v>
      </c>
      <c r="AO8" s="123" t="n">
        <f aca="false">AN8-MAX(AN$8:AN$22)</f>
        <v>-119.95</v>
      </c>
      <c r="AP8" s="124" t="n">
        <f aca="false">0.5*193.78</f>
        <v>96.89</v>
      </c>
      <c r="AQ8" s="123" t="n">
        <v>310.45</v>
      </c>
      <c r="AR8" s="123" t="n">
        <f aca="false">(AQ8-MAX(AQ$8:AQ$22))/2-AO8</f>
        <v>-5.26000000000002</v>
      </c>
      <c r="AS8" s="123" t="n">
        <f aca="false">0.1*968.68</f>
        <v>96.868</v>
      </c>
      <c r="AT8" s="123" t="n">
        <v>1910.1</v>
      </c>
      <c r="AU8" s="123" t="n">
        <f aca="false">(AT8-MAX(AT$8:AT$22))/10-AO8</f>
        <v>-23.142</v>
      </c>
      <c r="AV8" s="123" t="n">
        <f aca="false">0.05*1937.51</f>
        <v>96.8755</v>
      </c>
      <c r="AW8" s="123" t="n">
        <v>3868.92</v>
      </c>
      <c r="AX8" s="125" t="n">
        <f aca="false">(AW8-MAX(AW$8:AW$22))/20-AO8</f>
        <v>-30.6685</v>
      </c>
      <c r="AY8" s="126" t="n">
        <v>87.95</v>
      </c>
      <c r="AZ8" s="123" t="n">
        <v>109.98</v>
      </c>
      <c r="BA8" s="123" t="n">
        <f aca="false">(AZ8-MAX(AZ$8:AZ$22))</f>
        <v>-107.7</v>
      </c>
      <c r="BB8" s="123" t="n">
        <f aca="false">0.5*175.62</f>
        <v>87.81</v>
      </c>
      <c r="BC8" s="123" t="n">
        <v>305.04</v>
      </c>
      <c r="BD8" s="123" t="n">
        <f aca="false">(BC8-MAX(BC$8:BC$22))/2-BA8</f>
        <v>-9.56500000000001</v>
      </c>
      <c r="BE8" s="123" t="n">
        <f aca="false">0.1*877.04</f>
        <v>87.704</v>
      </c>
      <c r="BF8" s="123" t="n">
        <v>1761.54</v>
      </c>
      <c r="BG8" s="125" t="n">
        <f aca="false">(BF8-MAX(BF$8:BF$22))/10-BA8</f>
        <v>-27.068</v>
      </c>
      <c r="BH8" s="127" t="n">
        <v>94.95</v>
      </c>
      <c r="BI8" s="123" t="n">
        <v>103.35</v>
      </c>
      <c r="BJ8" s="123" t="n">
        <f aca="false">(BI8-MAX(BI$8:BI$22))</f>
        <v>-77.62</v>
      </c>
      <c r="BK8" s="123" t="n">
        <f aca="false">0.5*189.69</f>
        <v>94.845</v>
      </c>
      <c r="BL8" s="123" t="n">
        <v>299.03</v>
      </c>
      <c r="BM8" s="123" t="n">
        <f aca="false">(BL8-MAX(BL$8:BL$22))/2-BJ8</f>
        <v>-17.035</v>
      </c>
      <c r="BN8" s="123" t="n">
        <f aca="false">0.1*948.14</f>
        <v>94.814</v>
      </c>
      <c r="BO8" s="123" t="n">
        <v>1837.94</v>
      </c>
      <c r="BP8" s="123" t="n">
        <f aca="false">(BO8-MAX(BO$8:BO$22))/10-BJ8</f>
        <v>-39.55</v>
      </c>
      <c r="BQ8" s="123" t="n">
        <f aca="false">0.05*1896.19</f>
        <v>94.8095</v>
      </c>
      <c r="BR8" s="123" t="n">
        <v>3844</v>
      </c>
      <c r="BS8" s="125" t="n">
        <f aca="false">(BR8-MAX(BR$8:BR$22))/20-BJ8</f>
        <v>-53.6905</v>
      </c>
    </row>
    <row r="9" customFormat="false" ht="16" hidden="false" customHeight="false" outlineLevel="0" collapsed="false">
      <c r="A9" s="118" t="n">
        <v>1</v>
      </c>
      <c r="B9" s="119" t="n">
        <v>96.48</v>
      </c>
      <c r="C9" s="10" t="n">
        <v>112.24</v>
      </c>
      <c r="D9" s="120" t="n">
        <f aca="false">C9-MAX(C$8:C$22)</f>
        <v>-120.18</v>
      </c>
      <c r="E9" s="121" t="n">
        <f aca="false">0.5*192.21</f>
        <v>96.105</v>
      </c>
      <c r="F9" s="10" t="n">
        <v>309.52</v>
      </c>
      <c r="G9" s="120" t="n">
        <f aca="false">(F9-MAX(F$8:F$22))/2</f>
        <v>-125.675</v>
      </c>
      <c r="H9" s="121" t="n">
        <f aca="false">0.1*959.83</f>
        <v>95.983</v>
      </c>
      <c r="I9" s="10" t="n">
        <v>1904.6</v>
      </c>
      <c r="J9" s="120" t="n">
        <f aca="false">(I9-MAX(I$8:I$22))/10</f>
        <v>-143.642</v>
      </c>
      <c r="K9" s="121" t="n">
        <f aca="false">0.05*1920.43</f>
        <v>96.0215</v>
      </c>
      <c r="L9" s="10" t="n">
        <v>3858.49</v>
      </c>
      <c r="M9" s="120" t="n">
        <f aca="false">(L9-MAX(L$8:L$22))/20</f>
        <v>-151.14</v>
      </c>
      <c r="AL9" s="118" t="n">
        <v>1</v>
      </c>
      <c r="AM9" s="122" t="n">
        <v>96.48</v>
      </c>
      <c r="AN9" s="123" t="n">
        <v>112.24</v>
      </c>
      <c r="AO9" s="123" t="n">
        <f aca="false">AN9-MAX(AN$8:AN$22)</f>
        <v>-120.18</v>
      </c>
      <c r="AP9" s="124" t="n">
        <f aca="false">0.5*192.21</f>
        <v>96.105</v>
      </c>
      <c r="AQ9" s="123" t="n">
        <v>309.52</v>
      </c>
      <c r="AR9" s="123" t="n">
        <f aca="false">(AQ9-MAX(AQ$8:AQ$22))/2-AO9</f>
        <v>-5.49500000000002</v>
      </c>
      <c r="AS9" s="123" t="n">
        <f aca="false">0.1*959.83</f>
        <v>95.983</v>
      </c>
      <c r="AT9" s="123" t="n">
        <v>1904.6</v>
      </c>
      <c r="AU9" s="123" t="n">
        <f aca="false">(AT9-MAX(AT$8:AT$22))/10-AO9</f>
        <v>-23.462</v>
      </c>
      <c r="AV9" s="123" t="n">
        <f aca="false">0.05*1920.43</f>
        <v>96.0215</v>
      </c>
      <c r="AW9" s="123" t="n">
        <v>3858.49</v>
      </c>
      <c r="AX9" s="125" t="n">
        <f aca="false">(AW9-MAX(AW$8:AW$22))/20-AO9</f>
        <v>-30.96</v>
      </c>
      <c r="AY9" s="126" t="n">
        <v>87.56</v>
      </c>
      <c r="AZ9" s="123" t="n">
        <v>109.78</v>
      </c>
      <c r="BA9" s="123" t="n">
        <f aca="false">(AZ9-MAX(AZ$8:AZ$22))</f>
        <v>-107.9</v>
      </c>
      <c r="BB9" s="123" t="n">
        <f aca="false">0.5*173.53</f>
        <v>86.765</v>
      </c>
      <c r="BC9" s="123" t="n">
        <v>303.55</v>
      </c>
      <c r="BD9" s="123" t="n">
        <f aca="false">(BC9-MAX(BC$8:BC$22))/2-BA9</f>
        <v>-10.11</v>
      </c>
      <c r="BE9" s="123" t="n">
        <f aca="false">0.1*862.71</f>
        <v>86.271</v>
      </c>
      <c r="BF9" s="123" t="n">
        <v>1750.37</v>
      </c>
      <c r="BG9" s="125" t="n">
        <f aca="false">(BF9-MAX(BF$8:BF$22))/10-BA9</f>
        <v>-27.985</v>
      </c>
      <c r="BH9" s="127" t="n">
        <v>94.54</v>
      </c>
      <c r="BI9" s="123" t="n">
        <v>103.14</v>
      </c>
      <c r="BJ9" s="123" t="n">
        <f aca="false">(BI9-MAX(BI$8:BI$22))</f>
        <v>-77.83</v>
      </c>
      <c r="BK9" s="123" t="n">
        <f aca="false">0.5*187.56</f>
        <v>93.78</v>
      </c>
      <c r="BL9" s="123" t="n">
        <v>297.66</v>
      </c>
      <c r="BM9" s="123" t="n">
        <f aca="false">(BL9-MAX(BL$8:BL$22))/2-BJ9</f>
        <v>-17.51</v>
      </c>
      <c r="BN9" s="123" t="n">
        <f aca="false">0.1*935.76</f>
        <v>93.576</v>
      </c>
      <c r="BO9" s="123" t="n">
        <v>1829.8</v>
      </c>
      <c r="BP9" s="123" t="n">
        <f aca="false">(BO9-MAX(BO$8:BO$22))/10-BJ9</f>
        <v>-40.154</v>
      </c>
      <c r="BQ9" s="123" t="n">
        <f aca="false">0.05*1871.36</f>
        <v>93.568</v>
      </c>
      <c r="BR9" s="123" t="n">
        <v>3827.47</v>
      </c>
      <c r="BS9" s="125" t="n">
        <f aca="false">(BR9-MAX(BR$8:BR$22))/20-BJ9</f>
        <v>-54.307</v>
      </c>
    </row>
    <row r="10" customFormat="false" ht="16" hidden="false" customHeight="false" outlineLevel="0" collapsed="false">
      <c r="A10" s="118" t="n">
        <v>2</v>
      </c>
      <c r="B10" s="119" t="n">
        <v>93.63</v>
      </c>
      <c r="C10" s="10" t="n">
        <v>110.68</v>
      </c>
      <c r="D10" s="120" t="n">
        <f aca="false">C10-MAX(C$8:C$22)</f>
        <v>-121.74</v>
      </c>
      <c r="E10" s="121" t="n">
        <f aca="false">0.5*184.94</f>
        <v>92.47</v>
      </c>
      <c r="F10" s="10" t="n">
        <v>304.34</v>
      </c>
      <c r="G10" s="120" t="n">
        <f aca="false">(F10-MAX(F$8:F$22))/2</f>
        <v>-128.265</v>
      </c>
      <c r="H10" s="121" t="n">
        <f aca="false">0.1*919.89</f>
        <v>91.989</v>
      </c>
      <c r="I10" s="10" t="n">
        <v>1875.07</v>
      </c>
      <c r="J10" s="120" t="n">
        <f aca="false">(I10-MAX(I$8:I$22))/10</f>
        <v>-146.595</v>
      </c>
      <c r="K10" s="121" t="n">
        <f aca="false">0.05*1842.46</f>
        <v>92.123</v>
      </c>
      <c r="L10" s="10" t="n">
        <v>3801.47</v>
      </c>
      <c r="M10" s="120" t="n">
        <f aca="false">(L10-MAX(L$8:L$22))/20</f>
        <v>-153.991</v>
      </c>
      <c r="AL10" s="118" t="n">
        <v>2</v>
      </c>
      <c r="AM10" s="122" t="n">
        <v>93.63</v>
      </c>
      <c r="AN10" s="123" t="n">
        <v>110.68</v>
      </c>
      <c r="AO10" s="123" t="n">
        <f aca="false">AN10-MAX(AN$8:AN$22)</f>
        <v>-121.74</v>
      </c>
      <c r="AP10" s="124" t="n">
        <f aca="false">0.5*184.94</f>
        <v>92.47</v>
      </c>
      <c r="AQ10" s="123" t="n">
        <v>304.34</v>
      </c>
      <c r="AR10" s="123" t="n">
        <f aca="false">(AQ10-MAX(AQ$8:AQ$22))/2-AO10</f>
        <v>-6.52500000000003</v>
      </c>
      <c r="AS10" s="123" t="n">
        <f aca="false">0.1*919.89</f>
        <v>91.989</v>
      </c>
      <c r="AT10" s="123" t="n">
        <v>1875.07</v>
      </c>
      <c r="AU10" s="123" t="n">
        <f aca="false">(AT10-MAX(AT$8:AT$22))/10-AO10</f>
        <v>-24.855</v>
      </c>
      <c r="AV10" s="123" t="n">
        <f aca="false">0.05*1842.46</f>
        <v>92.123</v>
      </c>
      <c r="AW10" s="123" t="n">
        <v>3801.47</v>
      </c>
      <c r="AX10" s="125" t="n">
        <f aca="false">(AW10-MAX(AW$8:AW$22))/20-AO10</f>
        <v>-32.251</v>
      </c>
      <c r="AY10" s="126" t="n">
        <v>84.97</v>
      </c>
      <c r="AZ10" s="123" t="n">
        <v>108.42</v>
      </c>
      <c r="BA10" s="123" t="n">
        <f aca="false">(AZ10-MAX(AZ$8:AZ$22))</f>
        <v>-109.26</v>
      </c>
      <c r="BB10" s="123" t="n">
        <f aca="false">0.5*166.52</f>
        <v>83.26</v>
      </c>
      <c r="BC10" s="123" t="n">
        <v>297.34</v>
      </c>
      <c r="BD10" s="123" t="n">
        <f aca="false">(BC10-MAX(BC$8:BC$22))/2-BA10</f>
        <v>-11.855</v>
      </c>
      <c r="BE10" s="123" t="n">
        <f aca="false">0.1*825.49</f>
        <v>82.549</v>
      </c>
      <c r="BF10" s="123" t="n">
        <v>1710.27</v>
      </c>
      <c r="BG10" s="125" t="n">
        <f aca="false">(BF10-MAX(BF$8:BF$22))/10-BA10</f>
        <v>-30.635</v>
      </c>
      <c r="BH10" s="127" t="n">
        <v>91.59</v>
      </c>
      <c r="BI10" s="123" t="n">
        <v>101.49</v>
      </c>
      <c r="BJ10" s="123" t="n">
        <f aca="false">(BI10-MAX(BI$8:BI$22))</f>
        <v>-79.48</v>
      </c>
      <c r="BK10" s="123" t="n">
        <f aca="false">0.5*178.4</f>
        <v>89.2</v>
      </c>
      <c r="BL10" s="123" t="n">
        <v>290.23</v>
      </c>
      <c r="BM10" s="123" t="n">
        <f aca="false">(BL10-MAX(BL$8:BL$22))/2-BJ10</f>
        <v>-19.575</v>
      </c>
      <c r="BN10" s="123" t="n">
        <f aca="false">0.1*889.32</f>
        <v>88.932</v>
      </c>
      <c r="BO10" s="123" t="n">
        <v>1788.61</v>
      </c>
      <c r="BP10" s="123" t="n">
        <f aca="false">(BO10-MAX(BO$8:BO$22))/10-BJ10</f>
        <v>-42.623</v>
      </c>
      <c r="BQ10" s="123" t="n">
        <f aca="false">0.05*1781.13</f>
        <v>89.0565</v>
      </c>
      <c r="BR10" s="123" t="n">
        <v>3746.29</v>
      </c>
      <c r="BS10" s="125" t="n">
        <f aca="false">(BR10-MAX(BR$8:BR$22))/20-BJ10</f>
        <v>-56.716</v>
      </c>
    </row>
    <row r="11" customFormat="false" ht="16" hidden="false" customHeight="false" outlineLevel="0" collapsed="false">
      <c r="A11" s="118" t="n">
        <v>3</v>
      </c>
      <c r="B11" s="119" t="n">
        <v>81.19</v>
      </c>
      <c r="C11" s="10" t="n">
        <v>104.87</v>
      </c>
      <c r="D11" s="120" t="n">
        <f aca="false">C11-MAX(C$8:C$22)</f>
        <v>-127.55</v>
      </c>
      <c r="E11" s="121" t="n">
        <f aca="false">0.5*160.26</f>
        <v>80.13</v>
      </c>
      <c r="F11" s="10" t="n">
        <v>289.33</v>
      </c>
      <c r="G11" s="120" t="n">
        <f aca="false">(F11-MAX(F$8:F$22))/2</f>
        <v>-135.77</v>
      </c>
      <c r="H11" s="121" t="n">
        <f aca="false">0.1*797.14</f>
        <v>79.714</v>
      </c>
      <c r="I11" s="10" t="n">
        <v>1791.8</v>
      </c>
      <c r="J11" s="120" t="n">
        <f aca="false">(I11-MAX(I$8:I$22))/10</f>
        <v>-154.922</v>
      </c>
      <c r="K11" s="121" t="n">
        <f aca="false">0.05*1603.59</f>
        <v>80.1795</v>
      </c>
      <c r="L11" s="10" t="n">
        <v>3642.44</v>
      </c>
      <c r="M11" s="120" t="n">
        <f aca="false">(L11-MAX(L$8:L$22))/20</f>
        <v>-161.9425</v>
      </c>
      <c r="AL11" s="118" t="n">
        <v>3</v>
      </c>
      <c r="AM11" s="122" t="n">
        <v>81.19</v>
      </c>
      <c r="AN11" s="123" t="n">
        <v>104.87</v>
      </c>
      <c r="AO11" s="123" t="n">
        <f aca="false">AN11-MAX(AN$8:AN$22)</f>
        <v>-127.55</v>
      </c>
      <c r="AP11" s="124" t="n">
        <f aca="false">0.5*160.26</f>
        <v>80.13</v>
      </c>
      <c r="AQ11" s="123" t="n">
        <v>289.33</v>
      </c>
      <c r="AR11" s="123" t="n">
        <f aca="false">(AQ11-MAX(AQ$8:AQ$22))/2-AO11</f>
        <v>-8.22000000000003</v>
      </c>
      <c r="AS11" s="123" t="n">
        <f aca="false">0.1*797.14</f>
        <v>79.714</v>
      </c>
      <c r="AT11" s="123" t="n">
        <v>1791.8</v>
      </c>
      <c r="AU11" s="123" t="n">
        <f aca="false">(AT11-MAX(AT$8:AT$22))/10-AO11</f>
        <v>-27.372</v>
      </c>
      <c r="AV11" s="123" t="n">
        <f aca="false">0.05*1603.59</f>
        <v>80.1795</v>
      </c>
      <c r="AW11" s="123" t="n">
        <v>3642.44</v>
      </c>
      <c r="AX11" s="125" t="n">
        <f aca="false">(AW11-MAX(AW$8:AW$22))/20-AO11</f>
        <v>-34.3925</v>
      </c>
      <c r="AY11" s="126" t="n">
        <v>72.61</v>
      </c>
      <c r="AZ11" s="123" t="n">
        <v>102.59</v>
      </c>
      <c r="BA11" s="123" t="n">
        <f aca="false">(AZ11-MAX(AZ$8:AZ$22))</f>
        <v>-115.09</v>
      </c>
      <c r="BB11" s="123" t="n">
        <f aca="false">0.5*142.45</f>
        <v>71.225</v>
      </c>
      <c r="BC11" s="123" t="n">
        <v>281.05</v>
      </c>
      <c r="BD11" s="123" t="n">
        <f aca="false">(BC11-MAX(BC$8:BC$22))/2-BA11</f>
        <v>-14.17</v>
      </c>
      <c r="BE11" s="123" t="n">
        <f aca="false">0.1*715.24</f>
        <v>71.524</v>
      </c>
      <c r="BF11" s="123" t="n">
        <v>1624.01</v>
      </c>
      <c r="BG11" s="125" t="n">
        <f aca="false">(BF11-MAX(BF$8:BF$22))/10-BA11</f>
        <v>-33.431</v>
      </c>
      <c r="BH11" s="127" t="n">
        <v>80.18</v>
      </c>
      <c r="BI11" s="123" t="n">
        <v>94.54</v>
      </c>
      <c r="BJ11" s="123" t="n">
        <f aca="false">(BI11-MAX(BI$8:BI$22))</f>
        <v>-86.43</v>
      </c>
      <c r="BK11" s="123" t="n">
        <f aca="false">0.5*152.7</f>
        <v>76.35</v>
      </c>
      <c r="BL11" s="123" t="n">
        <v>267.59</v>
      </c>
      <c r="BM11" s="123" t="n">
        <f aca="false">(BL11-MAX(BL$8:BL$22))/2-BJ11</f>
        <v>-23.945</v>
      </c>
      <c r="BN11" s="123" t="n">
        <f aca="false">0.1*770.71</f>
        <v>77.071</v>
      </c>
      <c r="BO11" s="123" t="n">
        <v>1676.89</v>
      </c>
      <c r="BP11" s="123" t="n">
        <f aca="false">(BO11-MAX(BO$8:BO$22))/10-BJ11</f>
        <v>-46.845</v>
      </c>
      <c r="BQ11" s="123" t="n">
        <f aca="false">0.05*1546.16</f>
        <v>77.308</v>
      </c>
      <c r="BR11" s="123" t="n">
        <v>3527.73</v>
      </c>
      <c r="BS11" s="125" t="n">
        <f aca="false">(BR11-MAX(BR$8:BR$22))/20-BJ11</f>
        <v>-60.694</v>
      </c>
    </row>
    <row r="12" customFormat="false" ht="15" hidden="false" customHeight="false" outlineLevel="0" collapsed="false">
      <c r="A12" s="118" t="n">
        <v>4</v>
      </c>
      <c r="B12" s="119" t="n">
        <v>49.69</v>
      </c>
      <c r="C12" s="15" t="n">
        <v>98.21</v>
      </c>
      <c r="D12" s="128" t="n">
        <f aca="false">C12-MAX(C$8:C$22)</f>
        <v>-134.21</v>
      </c>
      <c r="E12" s="121" t="n">
        <f aca="false">0.5*99.36</f>
        <v>49.68</v>
      </c>
      <c r="F12" s="15" t="n">
        <v>274.53</v>
      </c>
      <c r="G12" s="128" t="n">
        <f aca="false">(F12-MAX(F$8:F$22))/2</f>
        <v>-143.17</v>
      </c>
      <c r="H12" s="121" t="n">
        <f aca="false">0.1*521.77</f>
        <v>52.177</v>
      </c>
      <c r="I12" s="15" t="n">
        <v>1728.91</v>
      </c>
      <c r="J12" s="128" t="n">
        <f aca="false">(I12-MAX(I$8:I$22))/10</f>
        <v>-161.211</v>
      </c>
      <c r="K12" s="121" t="n">
        <f aca="false">0.05*1061.7</f>
        <v>53.085</v>
      </c>
      <c r="L12" s="15" t="n">
        <v>3535.48</v>
      </c>
      <c r="M12" s="128" t="n">
        <f aca="false">(L12-MAX(L$8:L$22))/20</f>
        <v>-167.2905</v>
      </c>
      <c r="AL12" s="118" t="n">
        <v>4</v>
      </c>
      <c r="AM12" s="129" t="n">
        <v>49.69</v>
      </c>
      <c r="AN12" s="16" t="n">
        <v>98.21</v>
      </c>
      <c r="AO12" s="123" t="n">
        <f aca="false">AN12-MAX(AN$8:AN$22)</f>
        <v>-134.21</v>
      </c>
      <c r="AP12" s="130" t="n">
        <f aca="false">0.5*99.36</f>
        <v>49.68</v>
      </c>
      <c r="AQ12" s="16" t="n">
        <v>274.53</v>
      </c>
      <c r="AR12" s="123" t="n">
        <f aca="false">(AQ12-MAX(AQ$8:AQ$22))/2-AO12</f>
        <v>-8.96000000000004</v>
      </c>
      <c r="AS12" s="16" t="n">
        <f aca="false">0.1*521.77</f>
        <v>52.177</v>
      </c>
      <c r="AT12" s="16" t="n">
        <v>1728.91</v>
      </c>
      <c r="AU12" s="123" t="n">
        <f aca="false">(AT12-MAX(AT$8:AT$22))/10-AO12</f>
        <v>-27.001</v>
      </c>
      <c r="AV12" s="16" t="n">
        <f aca="false">0.05*1061.7</f>
        <v>53.085</v>
      </c>
      <c r="AW12" s="16" t="n">
        <v>3535.48</v>
      </c>
      <c r="AX12" s="125" t="n">
        <f aca="false">(AW12-MAX(AW$8:AW$22))/20-AO12</f>
        <v>-33.0805</v>
      </c>
      <c r="AY12" s="131" t="n">
        <v>42.18</v>
      </c>
      <c r="AZ12" s="16" t="n">
        <v>93.69</v>
      </c>
      <c r="BA12" s="123" t="n">
        <f aca="false">(AZ12-MAX(AZ$8:AZ$22))</f>
        <v>-123.99</v>
      </c>
      <c r="BB12" s="123" t="n">
        <f aca="false">0.5*84.36</f>
        <v>42.18</v>
      </c>
      <c r="BC12" s="123" t="n">
        <v>261.21</v>
      </c>
      <c r="BD12" s="123" t="n">
        <f aca="false">(BC12-MAX(BC$8:BC$22))/2-BA12</f>
        <v>-15.19</v>
      </c>
      <c r="BE12" s="16" t="n">
        <f aca="false">0.1*452.76</f>
        <v>45.276</v>
      </c>
      <c r="BF12" s="16" t="n">
        <v>1547.1</v>
      </c>
      <c r="BG12" s="125" t="n">
        <f aca="false">(BF12-MAX(BF$8:BF$22))/10-BA12</f>
        <v>-32.222</v>
      </c>
      <c r="BH12" s="132" t="n">
        <v>53.5</v>
      </c>
      <c r="BI12" s="16" t="n">
        <v>83.98</v>
      </c>
      <c r="BJ12" s="123" t="n">
        <f aca="false">(BI12-MAX(BI$8:BI$22))</f>
        <v>-96.99</v>
      </c>
      <c r="BK12" s="123" t="n">
        <f aca="false">0.5*101.38</f>
        <v>50.69</v>
      </c>
      <c r="BL12" s="123" t="n">
        <v>236.54</v>
      </c>
      <c r="BM12" s="123" t="n">
        <f aca="false">(BL12-MAX(BL$8:BL$22))/2-BJ12</f>
        <v>-28.91</v>
      </c>
      <c r="BN12" s="16" t="n">
        <f aca="false">0.1*544.72</f>
        <v>54.472</v>
      </c>
      <c r="BO12" s="16" t="n">
        <v>1550.31</v>
      </c>
      <c r="BP12" s="123" t="n">
        <f aca="false">(BO12-MAX(BO$8:BO$22))/10-BJ12</f>
        <v>-48.943</v>
      </c>
      <c r="BQ12" s="16" t="n">
        <f aca="false">0.05*1110.88</f>
        <v>55.544</v>
      </c>
      <c r="BR12" s="16" t="n">
        <v>3289.92</v>
      </c>
      <c r="BS12" s="125" t="n">
        <f aca="false">(BR12-MAX(BR$8:BR$22))/20-BJ12</f>
        <v>-62.0245</v>
      </c>
    </row>
    <row r="13" customFormat="false" ht="15" hidden="false" customHeight="false" outlineLevel="0" collapsed="false">
      <c r="A13" s="118" t="n">
        <v>5</v>
      </c>
      <c r="B13" s="119" t="n">
        <v>14.13</v>
      </c>
      <c r="C13" s="10" t="n">
        <v>103.26</v>
      </c>
      <c r="D13" s="120" t="n">
        <f aca="false">C13-MAX(C$8:C$22)</f>
        <v>-129.16</v>
      </c>
      <c r="E13" s="121" t="n">
        <f aca="false">0.5*31.58</f>
        <v>15.79</v>
      </c>
      <c r="F13" s="10" t="n">
        <v>286.59</v>
      </c>
      <c r="G13" s="120" t="n">
        <f aca="false">(F13-MAX(F$8:F$22))/2</f>
        <v>-137.14</v>
      </c>
      <c r="H13" s="121" t="n">
        <f aca="false">0.1*203</f>
        <v>20.3</v>
      </c>
      <c r="I13" s="10" t="n">
        <v>1841.58</v>
      </c>
      <c r="J13" s="120" t="n">
        <f aca="false">(I13-MAX(I$8:I$22))/10</f>
        <v>-149.944</v>
      </c>
      <c r="K13" s="121" t="n">
        <f aca="false">0.05*431.06</f>
        <v>21.553</v>
      </c>
      <c r="L13" s="10" t="n">
        <v>3790.93</v>
      </c>
      <c r="M13" s="120" t="n">
        <f aca="false">(L13-MAX(L$8:L$22))/20</f>
        <v>-154.518</v>
      </c>
      <c r="AL13" s="118" t="n">
        <v>5</v>
      </c>
      <c r="AM13" s="122" t="n">
        <v>14.13</v>
      </c>
      <c r="AN13" s="123" t="n">
        <v>103.26</v>
      </c>
      <c r="AO13" s="123" t="n">
        <f aca="false">AN13-MAX(AN$8:AN$22)</f>
        <v>-129.16</v>
      </c>
      <c r="AP13" s="124" t="n">
        <f aca="false">0.5*31.58</f>
        <v>15.79</v>
      </c>
      <c r="AQ13" s="123" t="n">
        <v>286.59</v>
      </c>
      <c r="AR13" s="123" t="n">
        <f aca="false">(AQ13-MAX(AQ$8:AQ$22))/2-AO13</f>
        <v>-7.98000000000005</v>
      </c>
      <c r="AS13" s="123" t="n">
        <f aca="false">0.1*203</f>
        <v>20.3</v>
      </c>
      <c r="AT13" s="123" t="n">
        <v>1841.58</v>
      </c>
      <c r="AU13" s="123" t="n">
        <f aca="false">(AT13-MAX(AT$8:AT$22))/10-AO13</f>
        <v>-20.784</v>
      </c>
      <c r="AV13" s="123" t="n">
        <f aca="false">0.05*431.06</f>
        <v>21.553</v>
      </c>
      <c r="AW13" s="123" t="n">
        <v>3790.93</v>
      </c>
      <c r="AX13" s="125" t="n">
        <f aca="false">(AW13-MAX(AW$8:AW$22))/20-AO13</f>
        <v>-25.358</v>
      </c>
      <c r="AY13" s="126" t="n">
        <v>6.63</v>
      </c>
      <c r="AZ13" s="123" t="n">
        <v>94.3</v>
      </c>
      <c r="BA13" s="123" t="n">
        <f aca="false">(AZ13-MAX(AZ$8:AZ$22))</f>
        <v>-123.38</v>
      </c>
      <c r="BB13" s="123" t="n">
        <f aca="false">0.5*15.18</f>
        <v>7.59</v>
      </c>
      <c r="BC13" s="123" t="n">
        <v>264.31</v>
      </c>
      <c r="BD13" s="123" t="n">
        <f aca="false">(BC13-MAX(BC$8:BC$22))/2-BA13</f>
        <v>-14.25</v>
      </c>
      <c r="BE13" s="123" t="n">
        <f aca="false">0.1*117.96</f>
        <v>11.796</v>
      </c>
      <c r="BF13" s="123" t="n">
        <v>1616.01</v>
      </c>
      <c r="BG13" s="125" t="n">
        <f aca="false">(BF13-MAX(BF$8:BF$22))/10-BA13</f>
        <v>-25.941</v>
      </c>
      <c r="BH13" s="127" t="n">
        <v>20.25</v>
      </c>
      <c r="BI13" s="123" t="n">
        <v>81.42</v>
      </c>
      <c r="BJ13" s="123" t="n">
        <f aca="false">(BI13-MAX(BI$8:BI$22))</f>
        <v>-99.55</v>
      </c>
      <c r="BK13" s="130" t="n">
        <f aca="false">0.5*43.26</f>
        <v>21.63</v>
      </c>
      <c r="BL13" s="16" t="n">
        <v>229.48</v>
      </c>
      <c r="BM13" s="123" t="n">
        <f aca="false">(BL13-MAX(BL$8:BL$22))/2-BJ13</f>
        <v>-29.88</v>
      </c>
      <c r="BN13" s="123" t="n">
        <f aca="false">0.1*267.85</f>
        <v>26.785</v>
      </c>
      <c r="BO13" s="123" t="n">
        <v>1580.6</v>
      </c>
      <c r="BP13" s="123" t="n">
        <f aca="false">(BO13-MAX(BO$8:BO$22))/10-BJ13</f>
        <v>-43.354</v>
      </c>
      <c r="BQ13" s="123" t="n">
        <f aca="false">0.05*577.92</f>
        <v>28.896</v>
      </c>
      <c r="BR13" s="123" t="n">
        <v>3395.53</v>
      </c>
      <c r="BS13" s="125" t="n">
        <f aca="false">(BR13-MAX(BR$8:BR$22))/20-BJ13</f>
        <v>-54.184</v>
      </c>
    </row>
    <row r="14" customFormat="false" ht="15" hidden="false" customHeight="false" outlineLevel="0" collapsed="false">
      <c r="A14" s="118" t="n">
        <v>6</v>
      </c>
      <c r="B14" s="10" t="n">
        <v>-7.74</v>
      </c>
      <c r="C14" s="10" t="n">
        <v>107.91</v>
      </c>
      <c r="D14" s="120" t="n">
        <f aca="false">C14-MAX(C$8:C$22)</f>
        <v>-124.51</v>
      </c>
      <c r="E14" s="121" t="n">
        <f aca="false">0.5*-10.74</f>
        <v>-5.37</v>
      </c>
      <c r="F14" s="10" t="n">
        <v>302.03</v>
      </c>
      <c r="G14" s="120" t="n">
        <f aca="false">(F14-MAX(F$8:F$22))/2</f>
        <v>-129.42</v>
      </c>
      <c r="H14" s="121" t="n">
        <f aca="false">0.1*-15.72</f>
        <v>-1.572</v>
      </c>
      <c r="I14" s="10" t="n">
        <v>1976.05</v>
      </c>
      <c r="J14" s="120" t="n">
        <f aca="false">(I14-MAX(I$8:I$22))/10</f>
        <v>-136.497</v>
      </c>
      <c r="K14" s="121" t="n">
        <f aca="false">0.05*-12.74</f>
        <v>-0.637</v>
      </c>
      <c r="L14" s="10" t="n">
        <v>4090.6</v>
      </c>
      <c r="M14" s="120" t="n">
        <f aca="false">(L14-MAX(L$8:L$22))/20</f>
        <v>-139.5345</v>
      </c>
      <c r="AL14" s="118" t="n">
        <v>6</v>
      </c>
      <c r="AM14" s="122" t="n">
        <v>-7.74</v>
      </c>
      <c r="AN14" s="123" t="n">
        <v>107.91</v>
      </c>
      <c r="AO14" s="123" t="n">
        <f aca="false">AN14-MAX(AN$8:AN$22)</f>
        <v>-124.51</v>
      </c>
      <c r="AP14" s="124" t="n">
        <f aca="false">0.5*-10.74</f>
        <v>-5.37</v>
      </c>
      <c r="AQ14" s="123" t="n">
        <v>302.03</v>
      </c>
      <c r="AR14" s="123" t="n">
        <f aca="false">(AQ14-MAX(AQ$8:AQ$22))/2-AO14</f>
        <v>-4.91000000000003</v>
      </c>
      <c r="AS14" s="123" t="n">
        <f aca="false">0.1*-15.72</f>
        <v>-1.572</v>
      </c>
      <c r="AT14" s="123" t="n">
        <v>1976.05</v>
      </c>
      <c r="AU14" s="123" t="n">
        <f aca="false">(AT14-MAX(AT$8:AT$22))/10-AO14</f>
        <v>-11.987</v>
      </c>
      <c r="AV14" s="123" t="n">
        <f aca="false">0.05*-12.74</f>
        <v>-0.637</v>
      </c>
      <c r="AW14" s="123" t="n">
        <v>4090.6</v>
      </c>
      <c r="AX14" s="125" t="n">
        <f aca="false">(AW14-MAX(AW$8:AW$22))/20-AO14</f>
        <v>-15.0245</v>
      </c>
      <c r="AY14" s="126" t="n">
        <v>-15.6</v>
      </c>
      <c r="AZ14" s="123" t="n">
        <v>94.03</v>
      </c>
      <c r="BA14" s="123" t="n">
        <f aca="false">(AZ14-MAX(AZ$8:AZ$22))</f>
        <v>-123.65</v>
      </c>
      <c r="BB14" s="123" t="n">
        <f aca="false">0.5*-31.33</f>
        <v>-15.665</v>
      </c>
      <c r="BC14" s="123" t="n">
        <v>265</v>
      </c>
      <c r="BD14" s="123" t="n">
        <f aca="false">(BC14-MAX(BC$8:BC$22))/2-BA14</f>
        <v>-13.635</v>
      </c>
      <c r="BE14" s="123" t="n">
        <f aca="false">0.1*-129.32</f>
        <v>-12.932</v>
      </c>
      <c r="BF14" s="123" t="n">
        <v>1668</v>
      </c>
      <c r="BG14" s="125" t="n">
        <f aca="false">(BF14-MAX(BF$8:BF$22))/10-BA14</f>
        <v>-20.472</v>
      </c>
      <c r="BH14" s="127" t="n">
        <v>0.08</v>
      </c>
      <c r="BI14" s="123" t="n">
        <v>79.17</v>
      </c>
      <c r="BJ14" s="123" t="n">
        <f aca="false">(BI14-MAX(BI$8:BI$22))</f>
        <v>-101.8</v>
      </c>
      <c r="BK14" s="123" t="n">
        <f aca="false">0.5*5.96</f>
        <v>2.98</v>
      </c>
      <c r="BL14" s="123" t="n">
        <v>231.55</v>
      </c>
      <c r="BM14" s="123" t="n">
        <f aca="false">(BL14-MAX(BL$8:BL$22))/2-BJ14</f>
        <v>-26.595</v>
      </c>
      <c r="BN14" s="123" t="n">
        <f aca="false">0.1*58.69</f>
        <v>5.869</v>
      </c>
      <c r="BO14" s="123" t="n">
        <v>1647.87</v>
      </c>
      <c r="BP14" s="123" t="n">
        <f aca="false">(BO14-MAX(BO$8:BO$22))/10-BJ14</f>
        <v>-34.377</v>
      </c>
      <c r="BQ14" s="123" t="n">
        <f aca="false">0.05*157.46</f>
        <v>7.873</v>
      </c>
      <c r="BR14" s="123" t="n">
        <v>3588.71</v>
      </c>
      <c r="BS14" s="125" t="n">
        <f aca="false">(BR14-MAX(BR$8:BR$22))/20-BJ14</f>
        <v>-42.275</v>
      </c>
    </row>
    <row r="15" customFormat="false" ht="15" hidden="false" customHeight="false" outlineLevel="0" collapsed="false">
      <c r="A15" s="118" t="n">
        <v>7</v>
      </c>
      <c r="B15" s="119" t="n">
        <v>-20.19</v>
      </c>
      <c r="C15" s="10" t="n">
        <v>109.07</v>
      </c>
      <c r="D15" s="120" t="n">
        <f aca="false">C15-MAX(C$8:C$22)</f>
        <v>-123.35</v>
      </c>
      <c r="E15" s="121" t="n">
        <f aca="false">0.5*-38.2</f>
        <v>-19.1</v>
      </c>
      <c r="F15" s="10" t="n">
        <v>309.17</v>
      </c>
      <c r="G15" s="120" t="n">
        <f aca="false">(F15-MAX(F$8:F$22))/2</f>
        <v>-125.85</v>
      </c>
      <c r="H15" s="121" t="n">
        <f aca="false">0.1*-165.85</f>
        <v>-16.585</v>
      </c>
      <c r="I15" s="10" t="n">
        <v>2055.71</v>
      </c>
      <c r="J15" s="120" t="n">
        <f aca="false">(I15-MAX(I$8:I$22))/10</f>
        <v>-128.531</v>
      </c>
      <c r="K15" s="121" t="n">
        <f aca="false">0.05*-319.95</f>
        <v>-15.9975</v>
      </c>
      <c r="L15" s="10" t="n">
        <v>4270.6</v>
      </c>
      <c r="M15" s="120" t="n">
        <f aca="false">(L15-MAX(L$8:L$22))/20</f>
        <v>-130.5345</v>
      </c>
      <c r="AL15" s="118" t="n">
        <v>7</v>
      </c>
      <c r="AM15" s="122" t="n">
        <v>-20.19</v>
      </c>
      <c r="AN15" s="123" t="n">
        <v>109.07</v>
      </c>
      <c r="AO15" s="123" t="n">
        <f aca="false">AN15-MAX(AN$8:AN$22)</f>
        <v>-123.35</v>
      </c>
      <c r="AP15" s="124" t="n">
        <f aca="false">0.5*-38.2</f>
        <v>-19.1</v>
      </c>
      <c r="AQ15" s="123" t="n">
        <v>309.17</v>
      </c>
      <c r="AR15" s="123" t="n">
        <f aca="false">(AQ15-MAX(AQ$8:AQ$22))/2-AO15</f>
        <v>-2.5</v>
      </c>
      <c r="AS15" s="123" t="n">
        <f aca="false">0.1*-165.85</f>
        <v>-16.585</v>
      </c>
      <c r="AT15" s="123" t="n">
        <v>2055.71</v>
      </c>
      <c r="AU15" s="123" t="n">
        <f aca="false">(AT15-MAX(AT$8:AT$22))/10-AO15</f>
        <v>-5.18100000000001</v>
      </c>
      <c r="AV15" s="123" t="n">
        <f aca="false">0.05*-319.95</f>
        <v>-15.9975</v>
      </c>
      <c r="AW15" s="123" t="n">
        <v>4270.6</v>
      </c>
      <c r="AX15" s="125" t="n">
        <f aca="false">(AW15-MAX(AW$8:AW$22))/20-AO15</f>
        <v>-7.18449999999999</v>
      </c>
      <c r="AY15" s="126" t="n">
        <v>-27.66</v>
      </c>
      <c r="AZ15" s="123" t="n">
        <v>92.26</v>
      </c>
      <c r="BA15" s="123" t="n">
        <f aca="false">(AZ15-MAX(AZ$8:AZ$22))</f>
        <v>-125.42</v>
      </c>
      <c r="BB15" s="130" t="n">
        <f aca="false">0.5*-55.77</f>
        <v>-27.885</v>
      </c>
      <c r="BC15" s="16" t="n">
        <v>260.88</v>
      </c>
      <c r="BD15" s="123" t="n">
        <f aca="false">(BC15-MAX(BC$8:BC$22))/2-BA15</f>
        <v>-13.925</v>
      </c>
      <c r="BE15" s="123" t="n">
        <f aca="false">0.1*-267.05</f>
        <v>-26.705</v>
      </c>
      <c r="BF15" s="123" t="n">
        <v>1673.13</v>
      </c>
      <c r="BG15" s="125" t="n">
        <f aca="false">(BF15-MAX(BF$8:BF$22))/10-BA15</f>
        <v>-18.189</v>
      </c>
      <c r="BH15" s="127" t="n">
        <v>-10.57</v>
      </c>
      <c r="BI15" s="123" t="n">
        <v>77.42</v>
      </c>
      <c r="BJ15" s="123" t="n">
        <f aca="false">(BI15-MAX(BI$8:BI$22))</f>
        <v>-103.55</v>
      </c>
      <c r="BK15" s="123" t="n">
        <f aca="false">0.5*-17.53</f>
        <v>-8.765</v>
      </c>
      <c r="BL15" s="123" t="n">
        <v>234.8</v>
      </c>
      <c r="BM15" s="123" t="n">
        <f aca="false">(BL15-MAX(BL$8:BL$22))/2-BJ15</f>
        <v>-23.22</v>
      </c>
      <c r="BN15" s="123" t="n">
        <f aca="false">0.1*-75.08</f>
        <v>-7.508</v>
      </c>
      <c r="BO15" s="123" t="n">
        <v>1690.08</v>
      </c>
      <c r="BP15" s="123" t="n">
        <f aca="false">(BO15-MAX(BO$8:BO$22))/10-BJ15</f>
        <v>-28.406</v>
      </c>
      <c r="BQ15" s="123" t="n">
        <f aca="false">0.05*-123.72</f>
        <v>-6.186</v>
      </c>
      <c r="BR15" s="123" t="n">
        <v>3718.3</v>
      </c>
      <c r="BS15" s="125" t="n">
        <f aca="false">(BR15-MAX(BR$8:BR$22))/20-BJ15</f>
        <v>-34.0455</v>
      </c>
    </row>
    <row r="16" customFormat="false" ht="15" hidden="false" customHeight="false" outlineLevel="0" collapsed="false">
      <c r="A16" s="118" t="n">
        <v>8</v>
      </c>
      <c r="B16" s="119" t="n">
        <v>-26.47</v>
      </c>
      <c r="C16" s="10" t="n">
        <v>111.27</v>
      </c>
      <c r="D16" s="120" t="n">
        <f aca="false">C16-MAX(C$8:C$22)</f>
        <v>-121.15</v>
      </c>
      <c r="E16" s="121" t="n">
        <f aca="false">0.5*-53.05</f>
        <v>-26.525</v>
      </c>
      <c r="F16" s="10" t="n">
        <v>314.94</v>
      </c>
      <c r="G16" s="120" t="n">
        <f aca="false">(F16-MAX(F$8:F$22))/2</f>
        <v>-122.965</v>
      </c>
      <c r="H16" s="121" t="n">
        <f aca="false">0.1*-260.38</f>
        <v>-26.038</v>
      </c>
      <c r="I16" s="10" t="n">
        <v>2105.62</v>
      </c>
      <c r="J16" s="120" t="n">
        <f aca="false">(I16-MAX(I$8:I$22))/10</f>
        <v>-123.54</v>
      </c>
      <c r="K16" s="121" t="n">
        <f aca="false">0.05*-517.31</f>
        <v>-25.8655</v>
      </c>
      <c r="L16" s="10" t="n">
        <v>4380.5</v>
      </c>
      <c r="M16" s="120" t="n">
        <f aca="false">(L16-MAX(L$8:L$22))/20</f>
        <v>-125.0395</v>
      </c>
      <c r="AL16" s="118" t="n">
        <v>8</v>
      </c>
      <c r="AM16" s="122" t="n">
        <v>-26.47</v>
      </c>
      <c r="AN16" s="123" t="n">
        <v>111.27</v>
      </c>
      <c r="AO16" s="123" t="n">
        <f aca="false">AN16-MAX(AN$8:AN$22)</f>
        <v>-121.15</v>
      </c>
      <c r="AP16" s="124" t="n">
        <f aca="false">0.5*-53.05</f>
        <v>-26.525</v>
      </c>
      <c r="AQ16" s="123" t="n">
        <v>314.94</v>
      </c>
      <c r="AR16" s="123" t="n">
        <f aca="false">(AQ16-MAX(AQ$8:AQ$22))/2-AO16</f>
        <v>-1.81500000000001</v>
      </c>
      <c r="AS16" s="123" t="n">
        <f aca="false">0.1*-260.38</f>
        <v>-26.038</v>
      </c>
      <c r="AT16" s="123" t="n">
        <v>2105.62</v>
      </c>
      <c r="AU16" s="123" t="n">
        <f aca="false">(AT16-MAX(AT$8:AT$22))/10-AO16</f>
        <v>-2.39000000000001</v>
      </c>
      <c r="AV16" s="123" t="n">
        <f aca="false">0.05*-517.31</f>
        <v>-25.8655</v>
      </c>
      <c r="AW16" s="123" t="n">
        <v>4380.5</v>
      </c>
      <c r="AX16" s="125" t="n">
        <f aca="false">(AW16-MAX(AW$8:AW$22))/20-AO16</f>
        <v>-3.88950000000001</v>
      </c>
      <c r="AY16" s="126" t="n">
        <v>-34.31</v>
      </c>
      <c r="AZ16" s="123" t="n">
        <v>93.31</v>
      </c>
      <c r="BA16" s="123" t="n">
        <f aca="false">(AZ16-MAX(AZ$8:AZ$22))</f>
        <v>-124.37</v>
      </c>
      <c r="BB16" s="123" t="n">
        <f aca="false">0.5*-69.43</f>
        <v>-34.715</v>
      </c>
      <c r="BC16" s="123" t="n">
        <v>262.23</v>
      </c>
      <c r="BD16" s="123" t="n">
        <f aca="false">(BC16-MAX(BC$8:BC$22))/2-BA16</f>
        <v>-14.3</v>
      </c>
      <c r="BE16" s="123" t="n">
        <f aca="false">0.1*-342.31</f>
        <v>-34.231</v>
      </c>
      <c r="BF16" s="123" t="n">
        <v>1690.63</v>
      </c>
      <c r="BG16" s="125" t="n">
        <f aca="false">(BF16-MAX(BF$8:BF$22))/10-BA16</f>
        <v>-17.489</v>
      </c>
      <c r="BH16" s="127" t="n">
        <v>-17.57</v>
      </c>
      <c r="BI16" s="123" t="n">
        <v>78.58</v>
      </c>
      <c r="BJ16" s="123" t="n">
        <f aca="false">(BI16-MAX(BI$8:BI$22))</f>
        <v>-102.39</v>
      </c>
      <c r="BK16" s="123" t="n">
        <f aca="false">0.5*-33.14</f>
        <v>-16.57</v>
      </c>
      <c r="BL16" s="123" t="n">
        <v>240.69</v>
      </c>
      <c r="BM16" s="123" t="n">
        <f aca="false">(BL16-MAX(BL$8:BL$22))/2-BJ16</f>
        <v>-21.435</v>
      </c>
      <c r="BN16" s="123" t="n">
        <f aca="false">0.1*-160.14</f>
        <v>-16.014</v>
      </c>
      <c r="BO16" s="123" t="n">
        <v>1732.05</v>
      </c>
      <c r="BP16" s="123" t="n">
        <f aca="false">(BO16-MAX(BO$8:BO$22))/10-BJ16</f>
        <v>-25.369</v>
      </c>
      <c r="BQ16" s="123" t="n">
        <f aca="false">0.05*-306.16</f>
        <v>-15.308</v>
      </c>
      <c r="BR16" s="123" t="n">
        <v>3829.9</v>
      </c>
      <c r="BS16" s="125" t="n">
        <f aca="false">(BR16-MAX(BR$8:BR$22))/20-BJ16</f>
        <v>-29.6255</v>
      </c>
    </row>
    <row r="17" customFormat="false" ht="16" hidden="false" customHeight="false" outlineLevel="0" collapsed="false">
      <c r="A17" s="118" t="n">
        <v>9</v>
      </c>
      <c r="B17" s="119" t="n">
        <v>-30.61</v>
      </c>
      <c r="C17" s="10" t="n">
        <v>115.32</v>
      </c>
      <c r="D17" s="120" t="n">
        <f aca="false">C17-MAX(C$8:C$22)</f>
        <v>-117.1</v>
      </c>
      <c r="E17" s="121" t="n">
        <f aca="false">0.5*-64.21</f>
        <v>-32.105</v>
      </c>
      <c r="F17" s="10" t="n">
        <v>321.02</v>
      </c>
      <c r="G17" s="120" t="n">
        <f aca="false">(F17-MAX(F$8:F$22))/2</f>
        <v>-119.925</v>
      </c>
      <c r="H17" s="121" t="n">
        <f aca="false">0.1*-332.37</f>
        <v>-33.237</v>
      </c>
      <c r="I17" s="10" t="n">
        <v>2129.98</v>
      </c>
      <c r="J17" s="120" t="n">
        <f aca="false">(I17-MAX(I$8:I$22))/10</f>
        <v>-121.104</v>
      </c>
      <c r="K17" s="121" t="n">
        <f aca="false">0.05*-664.89</f>
        <v>-33.2445</v>
      </c>
      <c r="L17" s="10" t="n">
        <v>4431.1</v>
      </c>
      <c r="M17" s="120" t="n">
        <f aca="false">(L17-MAX(L$8:L$22))/20</f>
        <v>-122.5095</v>
      </c>
      <c r="AL17" s="118" t="n">
        <v>9</v>
      </c>
      <c r="AM17" s="122" t="n">
        <v>-30.61</v>
      </c>
      <c r="AN17" s="123" t="n">
        <v>115.32</v>
      </c>
      <c r="AO17" s="123" t="n">
        <f aca="false">AN17-MAX(AN$8:AN$22)</f>
        <v>-117.1</v>
      </c>
      <c r="AP17" s="124" t="n">
        <f aca="false">0.5*-64.21</f>
        <v>-32.105</v>
      </c>
      <c r="AQ17" s="123" t="n">
        <v>321.02</v>
      </c>
      <c r="AR17" s="123" t="n">
        <f aca="false">(AQ17-MAX(AQ$8:AQ$22))/2-AO17</f>
        <v>-2.82500000000002</v>
      </c>
      <c r="AS17" s="123" t="n">
        <f aca="false">0.1*-332.37</f>
        <v>-33.237</v>
      </c>
      <c r="AT17" s="123" t="n">
        <v>2129.98</v>
      </c>
      <c r="AU17" s="123" t="n">
        <f aca="false">(AT17-MAX(AT$8:AT$22))/10-AO17</f>
        <v>-4.00400000000001</v>
      </c>
      <c r="AV17" s="123" t="n">
        <f aca="false">0.05*-664.89</f>
        <v>-33.2445</v>
      </c>
      <c r="AW17" s="123" t="n">
        <v>4431.1</v>
      </c>
      <c r="AX17" s="125" t="n">
        <f aca="false">(AW17-MAX(AW$8:AW$22))/20-AO17</f>
        <v>-5.40949999999998</v>
      </c>
      <c r="AY17" s="126" t="n">
        <v>-38.8</v>
      </c>
      <c r="AZ17" s="123" t="n">
        <v>96.01</v>
      </c>
      <c r="BA17" s="123" t="n">
        <f aca="false">(AZ17-MAX(AZ$8:AZ$22))</f>
        <v>-121.67</v>
      </c>
      <c r="BB17" s="123" t="n">
        <f aca="false">0.5*-80.06</f>
        <v>-40.03</v>
      </c>
      <c r="BC17" s="123" t="n">
        <v>265.53</v>
      </c>
      <c r="BD17" s="123" t="n">
        <f aca="false">(BC17-MAX(BC$8:BC$22))/2-BA17</f>
        <v>-15.35</v>
      </c>
      <c r="BE17" s="123" t="n">
        <f aca="false">0.1*-397.56</f>
        <v>-39.756</v>
      </c>
      <c r="BF17" s="123" t="n">
        <v>1711.79</v>
      </c>
      <c r="BG17" s="125" t="n">
        <f aca="false">(BF17-MAX(BF$8:BF$22))/10-BA17</f>
        <v>-18.073</v>
      </c>
      <c r="BH17" s="127" t="n">
        <v>-24.6</v>
      </c>
      <c r="BI17" s="123" t="n">
        <v>78.8</v>
      </c>
      <c r="BJ17" s="123" t="n">
        <f aca="false">(BI17-MAX(BI$8:BI$22))</f>
        <v>-102.17</v>
      </c>
      <c r="BK17" s="123" t="n">
        <f aca="false">0.5*-48.08</f>
        <v>-24.04</v>
      </c>
      <c r="BL17" s="123" t="n">
        <v>243.2</v>
      </c>
      <c r="BM17" s="123" t="n">
        <f aca="false">(BL17-MAX(BL$8:BL$22))/2-BJ17</f>
        <v>-20.4</v>
      </c>
      <c r="BN17" s="123" t="n">
        <f aca="false">0.1*-248.48</f>
        <v>-24.848</v>
      </c>
      <c r="BO17" s="123" t="n">
        <v>1743.82</v>
      </c>
      <c r="BP17" s="123" t="n">
        <f aca="false">(BO17-MAX(BO$8:BO$22))/10-BJ17</f>
        <v>-24.412</v>
      </c>
      <c r="BQ17" s="123" t="n">
        <f aca="false">0.05*-495.99</f>
        <v>-24.7995</v>
      </c>
      <c r="BR17" s="123" t="n">
        <v>3863.39</v>
      </c>
      <c r="BS17" s="125" t="n">
        <f aca="false">(BR17-MAX(BR$8:BR$22))/20-BJ17</f>
        <v>-28.171</v>
      </c>
    </row>
    <row r="18" customFormat="false" ht="16" hidden="false" customHeight="false" outlineLevel="0" collapsed="false">
      <c r="A18" s="118" t="n">
        <v>10</v>
      </c>
      <c r="B18" s="119" t="n">
        <v>-43.17</v>
      </c>
      <c r="C18" s="10" t="n">
        <v>129.57</v>
      </c>
      <c r="D18" s="120" t="n">
        <f aca="false">C18-MAX(C$8:C$22)</f>
        <v>-102.85</v>
      </c>
      <c r="E18" s="121" t="n">
        <f aca="false">0.5*-90.35</f>
        <v>-45.175</v>
      </c>
      <c r="F18" s="10" t="n">
        <v>344.17</v>
      </c>
      <c r="G18" s="120" t="n">
        <f aca="false">(F18-MAX(F$8:F$22))/2</f>
        <v>-108.35</v>
      </c>
      <c r="H18" s="121" t="n">
        <f aca="false">0.1*-460.53</f>
        <v>-46.053</v>
      </c>
      <c r="I18" s="10" t="n">
        <v>2229.25</v>
      </c>
      <c r="J18" s="120" t="n">
        <f aca="false">(I18-MAX(I$8:I$22))/10</f>
        <v>-111.177</v>
      </c>
      <c r="K18" s="121" t="n">
        <f aca="false">0.05*-921.88</f>
        <v>-46.094</v>
      </c>
      <c r="L18" s="10" t="n">
        <v>4628.47</v>
      </c>
      <c r="M18" s="120" t="n">
        <f aca="false">(L18-MAX(L$8:L$22))/20</f>
        <v>-112.641</v>
      </c>
      <c r="AL18" s="118" t="n">
        <v>10</v>
      </c>
      <c r="AM18" s="122" t="n">
        <v>-43.17</v>
      </c>
      <c r="AN18" s="123" t="n">
        <v>129.57</v>
      </c>
      <c r="AO18" s="123" t="n">
        <f aca="false">AN18-MAX(AN$8:AN$22)</f>
        <v>-102.85</v>
      </c>
      <c r="AP18" s="124" t="n">
        <f aca="false">0.5*-90.35</f>
        <v>-45.175</v>
      </c>
      <c r="AQ18" s="123" t="n">
        <v>344.17</v>
      </c>
      <c r="AR18" s="123" t="n">
        <f aca="false">(AQ18-MAX(AQ$8:AQ$22))/2-AO18</f>
        <v>-5.5</v>
      </c>
      <c r="AS18" s="123" t="n">
        <f aca="false">0.1*-460.53</f>
        <v>-46.053</v>
      </c>
      <c r="AT18" s="123" t="n">
        <v>2229.25</v>
      </c>
      <c r="AU18" s="123" t="n">
        <f aca="false">(AT18-MAX(AT$8:AT$22))/10-AO18</f>
        <v>-8.327</v>
      </c>
      <c r="AV18" s="123" t="n">
        <f aca="false">0.05*-921.88</f>
        <v>-46.094</v>
      </c>
      <c r="AW18" s="123" t="n">
        <v>4628.47</v>
      </c>
      <c r="AX18" s="125" t="n">
        <f aca="false">(AW18-MAX(AW$8:AW$22))/20-AO18</f>
        <v>-9.791</v>
      </c>
      <c r="AY18" s="126" t="n">
        <v>-49.14</v>
      </c>
      <c r="AZ18" s="123" t="n">
        <v>110.32</v>
      </c>
      <c r="BA18" s="123" t="n">
        <f aca="false">(AZ18-MAX(AZ$8:AZ$22))</f>
        <v>-107.36</v>
      </c>
      <c r="BB18" s="123" t="n">
        <f aca="false">0.5*-99.6</f>
        <v>-49.8</v>
      </c>
      <c r="BC18" s="123" t="n">
        <v>290.88</v>
      </c>
      <c r="BD18" s="123" t="n">
        <f aca="false">(BC18-MAX(BC$8:BC$22))/2-BA18</f>
        <v>-16.985</v>
      </c>
      <c r="BE18" s="123" t="n">
        <f aca="false">0.1*-495.47</f>
        <v>-49.547</v>
      </c>
      <c r="BF18" s="123" t="n">
        <v>1841.77</v>
      </c>
      <c r="BG18" s="125" t="n">
        <f aca="false">(BF18-MAX(BF$8:BF$22))/10-BA18</f>
        <v>-19.385</v>
      </c>
      <c r="BH18" s="127" t="n">
        <v>-39.35</v>
      </c>
      <c r="BI18" s="123" t="n">
        <v>85.98</v>
      </c>
      <c r="BJ18" s="123" t="n">
        <f aca="false">(BI18-MAX(BI$8:BI$22))</f>
        <v>-94.99</v>
      </c>
      <c r="BK18" s="123" t="n">
        <f aca="false">0.5*-76.77</f>
        <v>-38.385</v>
      </c>
      <c r="BL18" s="123" t="n">
        <v>259.24</v>
      </c>
      <c r="BM18" s="123" t="n">
        <f aca="false">(BL18-MAX(BL$8:BL$22))/2-BJ18</f>
        <v>-19.56</v>
      </c>
      <c r="BN18" s="123" t="n">
        <f aca="false">0.1*-394.41</f>
        <v>-39.441</v>
      </c>
      <c r="BO18" s="123" t="n">
        <v>1807.17</v>
      </c>
      <c r="BP18" s="123" t="n">
        <f aca="false">(BO18-MAX(BO$8:BO$22))/10-BJ18</f>
        <v>-25.257</v>
      </c>
      <c r="BQ18" s="123" t="n">
        <f aca="false">0.05*-788.98</f>
        <v>-39.449</v>
      </c>
      <c r="BR18" s="123" t="n">
        <v>3988.56</v>
      </c>
      <c r="BS18" s="125" t="n">
        <f aca="false">(BR18-MAX(BR$8:BR$22))/20-BJ18</f>
        <v>-29.0925</v>
      </c>
    </row>
    <row r="19" customFormat="false" ht="16" hidden="false" customHeight="false" outlineLevel="0" collapsed="false">
      <c r="A19" s="118" t="n">
        <v>11</v>
      </c>
      <c r="B19" s="119" t="n">
        <v>-66.9</v>
      </c>
      <c r="C19" s="10" t="n">
        <v>158.18</v>
      </c>
      <c r="D19" s="120" t="n">
        <f aca="false">C19-MAX(C$8:C$22)</f>
        <v>-74.24</v>
      </c>
      <c r="E19" s="121" t="n">
        <f aca="false">0.5*-134.11</f>
        <v>-67.055</v>
      </c>
      <c r="F19" s="10" t="n">
        <v>398.34</v>
      </c>
      <c r="G19" s="120" t="n">
        <f aca="false">(F19-MAX(F$8:F$22))/2</f>
        <v>-81.265</v>
      </c>
      <c r="H19" s="121" t="n">
        <f aca="false">0.1*-664.92</f>
        <v>-66.492</v>
      </c>
      <c r="I19" s="10" t="n">
        <v>2499.98</v>
      </c>
      <c r="J19" s="120" t="n">
        <f aca="false">(I19-MAX(I$8:I$22))/10</f>
        <v>-84.104</v>
      </c>
      <c r="K19" s="121" t="n">
        <f aca="false">0.05*-1325.26</f>
        <v>-66.263</v>
      </c>
      <c r="L19" s="10" t="n">
        <v>5171.93</v>
      </c>
      <c r="M19" s="120" t="n">
        <f aca="false">(L19-MAX(L$8:L$22))/20</f>
        <v>-85.468</v>
      </c>
      <c r="AL19" s="118" t="n">
        <v>11</v>
      </c>
      <c r="AM19" s="122" t="n">
        <v>-66.9</v>
      </c>
      <c r="AN19" s="123" t="n">
        <v>158.18</v>
      </c>
      <c r="AO19" s="123" t="n">
        <f aca="false">AN19-MAX(AN$8:AN$22)</f>
        <v>-74.24</v>
      </c>
      <c r="AP19" s="124" t="n">
        <f aca="false">0.5*-134.11</f>
        <v>-67.055</v>
      </c>
      <c r="AQ19" s="123" t="n">
        <v>398.34</v>
      </c>
      <c r="AR19" s="123" t="n">
        <f aca="false">(AQ19-MAX(AQ$8:AQ$22))/2-AO19</f>
        <v>-7.02500000000003</v>
      </c>
      <c r="AS19" s="123" t="n">
        <f aca="false">0.1*-664.92</f>
        <v>-66.492</v>
      </c>
      <c r="AT19" s="123" t="n">
        <v>2499.98</v>
      </c>
      <c r="AU19" s="123" t="n">
        <f aca="false">(AT19-MAX(AT$8:AT$22))/10-AO19</f>
        <v>-9.86400000000002</v>
      </c>
      <c r="AV19" s="123" t="n">
        <f aca="false">0.05*-1325.26</f>
        <v>-66.263</v>
      </c>
      <c r="AW19" s="123" t="n">
        <v>5171.93</v>
      </c>
      <c r="AX19" s="125" t="n">
        <f aca="false">(AW19-MAX(AW$8:AW$22))/20-AO19</f>
        <v>-11.228</v>
      </c>
      <c r="AY19" s="126" t="n">
        <v>-70.17</v>
      </c>
      <c r="AZ19" s="123" t="n">
        <v>141.87</v>
      </c>
      <c r="BA19" s="123" t="n">
        <f aca="false">(AZ19-MAX(AZ$8:AZ$22))</f>
        <v>-75.81</v>
      </c>
      <c r="BB19" s="123" t="n">
        <f aca="false">0.5*-136.57</f>
        <v>-68.285</v>
      </c>
      <c r="BC19" s="123" t="n">
        <v>355.65</v>
      </c>
      <c r="BD19" s="123" t="n">
        <f aca="false">(BC19-MAX(BC$8:BC$22))/2-BA19</f>
        <v>-16.15</v>
      </c>
      <c r="BE19" s="123" t="n">
        <f aca="false">0.1*-680.41</f>
        <v>-68.041</v>
      </c>
      <c r="BF19" s="123" t="n">
        <v>2170.29</v>
      </c>
      <c r="BG19" s="125" t="n">
        <f aca="false">(BF19-MAX(BF$8:BF$22))/10-BA19</f>
        <v>-18.083</v>
      </c>
      <c r="BH19" s="127" t="n">
        <v>-63.61</v>
      </c>
      <c r="BI19" s="123" t="n">
        <v>111.75</v>
      </c>
      <c r="BJ19" s="123" t="n">
        <f aca="false">(BI19-MAX(BI$8:BI$22))</f>
        <v>-69.22</v>
      </c>
      <c r="BK19" s="123" t="n">
        <f aca="false">0.5*-120.84</f>
        <v>-60.42</v>
      </c>
      <c r="BL19" s="123" t="n">
        <v>316.41</v>
      </c>
      <c r="BM19" s="123" t="n">
        <f aca="false">(BL19-MAX(BL$8:BL$22))/2-BJ19</f>
        <v>-16.745</v>
      </c>
      <c r="BN19" s="123" t="n">
        <f aca="false">0.1*-598.2</f>
        <v>-59.82</v>
      </c>
      <c r="BO19" s="123" t="n">
        <v>2092.06</v>
      </c>
      <c r="BP19" s="123" t="n">
        <f aca="false">(BO19-MAX(BO$8:BO$22))/10-BJ19</f>
        <v>-22.538</v>
      </c>
      <c r="BQ19" s="123" t="n">
        <f aca="false">0.05*-1188.67</f>
        <v>-59.4335</v>
      </c>
      <c r="BR19" s="123" t="n">
        <v>4563.54</v>
      </c>
      <c r="BS19" s="125" t="n">
        <f aca="false">(BR19-MAX(BR$8:BR$22))/20-BJ19</f>
        <v>-26.1135</v>
      </c>
    </row>
    <row r="20" customFormat="false" ht="16" hidden="false" customHeight="false" outlineLevel="0" collapsed="false">
      <c r="A20" s="118" t="n">
        <v>12</v>
      </c>
      <c r="B20" s="119" t="n">
        <v>-90.31</v>
      </c>
      <c r="C20" s="10" t="n">
        <v>186.52</v>
      </c>
      <c r="D20" s="120" t="n">
        <f aca="false">C20-MAX(C$8:C$22)</f>
        <v>-45.9</v>
      </c>
      <c r="E20" s="121" t="n">
        <f aca="false">0.5*-177.82</f>
        <v>-88.91</v>
      </c>
      <c r="F20" s="10" t="n">
        <v>456.65</v>
      </c>
      <c r="G20" s="120" t="n">
        <f aca="false">(F20-MAX(F$8:F$22))/2</f>
        <v>-52.11</v>
      </c>
      <c r="H20" s="121" t="n">
        <f aca="false">0.1*-890.28</f>
        <v>-89.028</v>
      </c>
      <c r="I20" s="10" t="n">
        <v>2793.52</v>
      </c>
      <c r="J20" s="120" t="n">
        <f aca="false">(I20-MAX(I$8:I$22))/10</f>
        <v>-54.75</v>
      </c>
      <c r="K20" s="121" t="n">
        <f aca="false">0.05*-1769.95</f>
        <v>-88.4975</v>
      </c>
      <c r="L20" s="10" t="n">
        <v>5770.12</v>
      </c>
      <c r="M20" s="120" t="n">
        <f aca="false">(L20-MAX(L$8:L$22))/20</f>
        <v>-55.5585</v>
      </c>
      <c r="AL20" s="118" t="n">
        <v>12</v>
      </c>
      <c r="AM20" s="122" t="n">
        <v>-90.31</v>
      </c>
      <c r="AN20" s="123" t="n">
        <v>186.52</v>
      </c>
      <c r="AO20" s="123" t="n">
        <f aca="false">AN20-MAX(AN$8:AN$22)</f>
        <v>-45.9</v>
      </c>
      <c r="AP20" s="124" t="n">
        <f aca="false">0.5*-177.82</f>
        <v>-88.91</v>
      </c>
      <c r="AQ20" s="123" t="n">
        <v>456.65</v>
      </c>
      <c r="AR20" s="123" t="n">
        <f aca="false">(AQ20-MAX(AQ$8:AQ$22))/2-AO20</f>
        <v>-6.21000000000004</v>
      </c>
      <c r="AS20" s="123" t="n">
        <f aca="false">0.1*-890.28</f>
        <v>-89.028</v>
      </c>
      <c r="AT20" s="123" t="n">
        <v>2793.52</v>
      </c>
      <c r="AU20" s="123" t="n">
        <f aca="false">(AT20-MAX(AT$8:AT$22))/10-AO20</f>
        <v>-8.85000000000002</v>
      </c>
      <c r="AV20" s="123" t="n">
        <f aca="false">0.05*-1769.95</f>
        <v>-88.4975</v>
      </c>
      <c r="AW20" s="123" t="n">
        <v>5770.12</v>
      </c>
      <c r="AX20" s="125" t="n">
        <f aca="false">(AW20-MAX(AW$8:AW$22))/20-AO20</f>
        <v>-9.65850000000003</v>
      </c>
      <c r="AY20" s="126" t="n">
        <v>-92.03</v>
      </c>
      <c r="AZ20" s="123" t="n">
        <v>173.49</v>
      </c>
      <c r="BA20" s="123" t="n">
        <f aca="false">(AZ20-MAX(AZ$8:AZ$22))</f>
        <v>-44.19</v>
      </c>
      <c r="BB20" s="123" t="n">
        <f aca="false">0.5*-176.09</f>
        <v>-88.045</v>
      </c>
      <c r="BC20" s="123" t="n">
        <v>426.9</v>
      </c>
      <c r="BD20" s="123" t="n">
        <f aca="false">(BC20-MAX(BC$8:BC$22))/2-BA20</f>
        <v>-12.145</v>
      </c>
      <c r="BE20" s="123" t="n">
        <f aca="false">0.1*-885.76</f>
        <v>-88.576</v>
      </c>
      <c r="BF20" s="123" t="n">
        <v>2522.84</v>
      </c>
      <c r="BG20" s="125" t="n">
        <f aca="false">(BF20-MAX(BF$8:BF$22))/10-BA20</f>
        <v>-14.448</v>
      </c>
      <c r="BH20" s="127" t="n">
        <v>-85.9</v>
      </c>
      <c r="BI20" s="123" t="n">
        <v>141.37</v>
      </c>
      <c r="BJ20" s="123" t="n">
        <f aca="false">(BI20-MAX(BI$8:BI$22))</f>
        <v>-39.6</v>
      </c>
      <c r="BK20" s="123" t="n">
        <f aca="false">0.5*-162.65</f>
        <v>-81.325</v>
      </c>
      <c r="BL20" s="123" t="n">
        <v>386.24</v>
      </c>
      <c r="BM20" s="123" t="n">
        <f aca="false">(BL20-MAX(BL$8:BL$22))/2-BJ20</f>
        <v>-11.45</v>
      </c>
      <c r="BN20" s="123" t="n">
        <f aca="false">0.1*-804.85</f>
        <v>-80.485</v>
      </c>
      <c r="BO20" s="123" t="n">
        <v>2449.84</v>
      </c>
      <c r="BP20" s="123" t="n">
        <f aca="false">(BO20-MAX(BO$8:BO$22))/10-BJ20</f>
        <v>-16.38</v>
      </c>
      <c r="BQ20" s="123" t="n">
        <f aca="false">0.05*-1594.52</f>
        <v>-79.726</v>
      </c>
      <c r="BR20" s="123" t="n">
        <v>5294.84</v>
      </c>
      <c r="BS20" s="125" t="n">
        <f aca="false">(BR20-MAX(BR$8:BR$22))/20-BJ20</f>
        <v>-19.1685</v>
      </c>
    </row>
    <row r="21" customFormat="false" ht="16" hidden="false" customHeight="false" outlineLevel="0" collapsed="false">
      <c r="A21" s="118" t="n">
        <v>13</v>
      </c>
      <c r="B21" s="119" t="n">
        <v>-114.37</v>
      </c>
      <c r="C21" s="10" t="n">
        <v>210.62</v>
      </c>
      <c r="D21" s="120" t="n">
        <f aca="false">C21-MAX(C$8:C$22)</f>
        <v>-21.8</v>
      </c>
      <c r="E21" s="121" t="n">
        <f aca="false">0.5*-223.54</f>
        <v>-111.77</v>
      </c>
      <c r="F21" s="10" t="n">
        <v>510.68</v>
      </c>
      <c r="G21" s="120" t="n">
        <f aca="false">(F21-MAX(F$8:F$22))/2</f>
        <v>-25.095</v>
      </c>
      <c r="H21" s="121" t="n">
        <f aca="false">0.1*-1104.52</f>
        <v>-110.452</v>
      </c>
      <c r="I21" s="10" t="n">
        <v>3071.84</v>
      </c>
      <c r="J21" s="120" t="n">
        <f aca="false">(I21-MAX(I$8:I$22))/10</f>
        <v>-26.918</v>
      </c>
      <c r="K21" s="121" t="n">
        <f aca="false">0.05*-2203</f>
        <v>-110.15</v>
      </c>
      <c r="L21" s="10" t="n">
        <v>6339.16</v>
      </c>
      <c r="M21" s="120" t="n">
        <f aca="false">(L21-MAX(L$8:L$22))/20</f>
        <v>-27.1065</v>
      </c>
      <c r="AL21" s="118" t="n">
        <v>13</v>
      </c>
      <c r="AM21" s="122" t="n">
        <v>-114.37</v>
      </c>
      <c r="AN21" s="123" t="n">
        <v>210.62</v>
      </c>
      <c r="AO21" s="123" t="n">
        <f aca="false">AN21-MAX(AN$8:AN$22)</f>
        <v>-21.8</v>
      </c>
      <c r="AP21" s="124" t="n">
        <f aca="false">0.5*-223.54</f>
        <v>-111.77</v>
      </c>
      <c r="AQ21" s="123" t="n">
        <v>510.68</v>
      </c>
      <c r="AR21" s="123" t="n">
        <f aca="false">(AQ21-MAX(AQ$8:AQ$22))/2-AO21</f>
        <v>-3.29500000000002</v>
      </c>
      <c r="AS21" s="123" t="n">
        <f aca="false">0.1*-1104.52</f>
        <v>-110.452</v>
      </c>
      <c r="AT21" s="123" t="n">
        <v>3071.84</v>
      </c>
      <c r="AU21" s="123" t="n">
        <f aca="false">(AT21-MAX(AT$8:AT$22))/10-AO21</f>
        <v>-5.118</v>
      </c>
      <c r="AV21" s="123" t="n">
        <f aca="false">0.05*-2203</f>
        <v>-110.15</v>
      </c>
      <c r="AW21" s="123" t="n">
        <v>6339.16</v>
      </c>
      <c r="AX21" s="125" t="n">
        <f aca="false">(AW21-MAX(AW$8:AW$22))/20-AO21</f>
        <v>-5.30650000000002</v>
      </c>
      <c r="AY21" s="126" t="n">
        <v>-113.37</v>
      </c>
      <c r="AZ21" s="123" t="n">
        <v>197.71</v>
      </c>
      <c r="BA21" s="123" t="n">
        <f aca="false">(AZ21-MAX(AZ$8:AZ$22))</f>
        <v>-19.97</v>
      </c>
      <c r="BB21" s="123" t="n">
        <f aca="false">0.5*-216.81</f>
        <v>-108.405</v>
      </c>
      <c r="BC21" s="123" t="n">
        <v>488.1</v>
      </c>
      <c r="BD21" s="123" t="n">
        <f aca="false">(BC21-MAX(BC$8:BC$22))/2-BA21</f>
        <v>-5.76500000000002</v>
      </c>
      <c r="BE21" s="123" t="n">
        <f aca="false">0.1*-1072.84</f>
        <v>-107.284</v>
      </c>
      <c r="BF21" s="123" t="n">
        <v>2831.96</v>
      </c>
      <c r="BG21" s="125" t="n">
        <f aca="false">(BF21-MAX(BF$8:BF$22))/10-BA21</f>
        <v>-7.75599999999998</v>
      </c>
      <c r="BH21" s="127" t="n">
        <v>-106.39</v>
      </c>
      <c r="BI21" s="123" t="n">
        <v>164.24</v>
      </c>
      <c r="BJ21" s="123" t="n">
        <f aca="false">(BI21-MAX(BI$8:BI$22))</f>
        <v>-16.73</v>
      </c>
      <c r="BK21" s="123" t="n">
        <f aca="false">0.5*-203.59</f>
        <v>-101.795</v>
      </c>
      <c r="BL21" s="123" t="n">
        <v>445.22</v>
      </c>
      <c r="BM21" s="123" t="n">
        <f aca="false">(BL21-MAX(BL$8:BL$22))/2-BJ21</f>
        <v>-4.82999999999998</v>
      </c>
      <c r="BN21" s="123" t="n">
        <f aca="false">0.1*-996.31</f>
        <v>-99.631</v>
      </c>
      <c r="BO21" s="123" t="n">
        <v>2765.74</v>
      </c>
      <c r="BP21" s="123" t="n">
        <f aca="false">(BO21-MAX(BO$8:BO$22))/10-BJ21</f>
        <v>-7.66000000000002</v>
      </c>
      <c r="BQ21" s="123" t="n">
        <f aca="false">0.05*-1971.19</f>
        <v>-98.5595</v>
      </c>
      <c r="BR21" s="123" t="n">
        <v>5951.34</v>
      </c>
      <c r="BS21" s="125" t="n">
        <f aca="false">(BR21-MAX(BR$8:BR$22))/20-BJ21</f>
        <v>-9.2135</v>
      </c>
    </row>
    <row r="22" customFormat="false" ht="17" hidden="false" customHeight="false" outlineLevel="0" collapsed="false">
      <c r="A22" s="133" t="n">
        <v>14</v>
      </c>
      <c r="B22" s="134" t="n">
        <v>-128.36</v>
      </c>
      <c r="C22" s="17" t="n">
        <v>232.42</v>
      </c>
      <c r="D22" s="135" t="n">
        <f aca="false">C22-MAX(C$8:C$22)</f>
        <v>0</v>
      </c>
      <c r="E22" s="136" t="n">
        <f aca="false">0.5*-252.56</f>
        <v>-126.28</v>
      </c>
      <c r="F22" s="17" t="n">
        <v>560.87</v>
      </c>
      <c r="G22" s="135" t="n">
        <f aca="false">(F22-MAX(F$8:F$22))/2</f>
        <v>0</v>
      </c>
      <c r="H22" s="136" t="n">
        <f aca="false">0.1*-1251.2</f>
        <v>-125.12</v>
      </c>
      <c r="I22" s="17" t="n">
        <v>3341.02</v>
      </c>
      <c r="J22" s="135" t="n">
        <f aca="false">(I22-MAX(I$8:I$22))/10</f>
        <v>0</v>
      </c>
      <c r="K22" s="136" t="n">
        <f aca="false">0.05*-2501.88</f>
        <v>-125.094</v>
      </c>
      <c r="L22" s="17" t="n">
        <v>6881.29</v>
      </c>
      <c r="M22" s="135" t="n">
        <f aca="false">(L22-MAX(L$8:L$22))/20</f>
        <v>0</v>
      </c>
      <c r="AL22" s="133" t="n">
        <v>14</v>
      </c>
      <c r="AM22" s="137" t="n">
        <v>-128.36</v>
      </c>
      <c r="AN22" s="138" t="n">
        <v>232.42</v>
      </c>
      <c r="AO22" s="138" t="n">
        <f aca="false">AN22-MAX(AN$8:AN$22)</f>
        <v>0</v>
      </c>
      <c r="AP22" s="139" t="n">
        <f aca="false">0.5*-252.56</f>
        <v>-126.28</v>
      </c>
      <c r="AQ22" s="138" t="n">
        <v>560.87</v>
      </c>
      <c r="AR22" s="138" t="n">
        <f aca="false">(AQ22-MAX(AQ$8:AQ$22))/2-AO22</f>
        <v>0</v>
      </c>
      <c r="AS22" s="138" t="n">
        <f aca="false">0.1*-1251.2</f>
        <v>-125.12</v>
      </c>
      <c r="AT22" s="138" t="n">
        <v>3341.02</v>
      </c>
      <c r="AU22" s="138" t="n">
        <f aca="false">(AT22-MAX(AT$8:AT$22))/10-AO22</f>
        <v>0</v>
      </c>
      <c r="AV22" s="138" t="n">
        <f aca="false">0.05*-2501.88</f>
        <v>-125.094</v>
      </c>
      <c r="AW22" s="138" t="n">
        <v>6881.29</v>
      </c>
      <c r="AX22" s="140" t="n">
        <f aca="false">(AW22-MAX(AW$8:AW$22))/20-AO22</f>
        <v>0</v>
      </c>
      <c r="AY22" s="141" t="n">
        <v>-124.44</v>
      </c>
      <c r="AZ22" s="138" t="n">
        <v>217.68</v>
      </c>
      <c r="BA22" s="138" t="n">
        <f aca="false">(AZ22-MAX(AZ$8:AZ$22))</f>
        <v>0</v>
      </c>
      <c r="BB22" s="138" t="n">
        <f aca="false">0.5*-242.5</f>
        <v>-121.25</v>
      </c>
      <c r="BC22" s="138" t="n">
        <v>539.57</v>
      </c>
      <c r="BD22" s="138" t="n">
        <f aca="false">(BC22-MAX(BC$8:BC$22))/2-BA22</f>
        <v>0</v>
      </c>
      <c r="BE22" s="138" t="n">
        <f aca="false">0.1*-1197.57</f>
        <v>-119.757</v>
      </c>
      <c r="BF22" s="138" t="n">
        <v>3109.22</v>
      </c>
      <c r="BG22" s="140" t="n">
        <f aca="false">(BF22-MAX(BF$8:BF$22))/10-BA22</f>
        <v>0</v>
      </c>
      <c r="BH22" s="142" t="n">
        <v>-119.12</v>
      </c>
      <c r="BI22" s="138" t="n">
        <v>180.97</v>
      </c>
      <c r="BJ22" s="138" t="n">
        <f aca="false">(BI22-MAX(BI$8:BI$22))</f>
        <v>0</v>
      </c>
      <c r="BK22" s="138" t="n">
        <f aca="false">0.5*-233.26</f>
        <v>-116.63</v>
      </c>
      <c r="BL22" s="138" t="n">
        <v>488.34</v>
      </c>
      <c r="BM22" s="138" t="n">
        <f aca="false">(BL22-MAX(BL$8:BL$22))/2-BJ22</f>
        <v>0</v>
      </c>
      <c r="BN22" s="138" t="n">
        <f aca="false">0.1*-1148.65</f>
        <v>-114.865</v>
      </c>
      <c r="BO22" s="138" t="n">
        <v>3009.64</v>
      </c>
      <c r="BP22" s="138" t="n">
        <f aca="false">(BO22-MAX(BO$8:BO$22))/10-BJ22</f>
        <v>0</v>
      </c>
      <c r="BQ22" s="138" t="n">
        <f aca="false">0.05*-2275.42</f>
        <v>-113.771</v>
      </c>
      <c r="BR22" s="138" t="n">
        <v>6470.21</v>
      </c>
      <c r="BS22" s="140" t="n">
        <f aca="false">(BR22-MAX(BR$8:BR$22))/20-BJ22</f>
        <v>0</v>
      </c>
    </row>
    <row r="23" customFormat="false" ht="17" hidden="false" customHeight="false" outlineLevel="0" collapsed="false">
      <c r="A23" s="143"/>
      <c r="B23" s="6"/>
      <c r="C23" s="6"/>
      <c r="D23" s="6"/>
      <c r="E23" s="6"/>
      <c r="F23" s="6"/>
      <c r="G23" s="6"/>
      <c r="H23" s="6"/>
      <c r="I23" s="6"/>
      <c r="J23" s="6"/>
      <c r="K23" s="6"/>
      <c r="L23" s="6"/>
      <c r="M23" s="6"/>
      <c r="AL23" s="143"/>
      <c r="AM23" s="143"/>
      <c r="AN23" s="144"/>
      <c r="AO23" s="144"/>
      <c r="AP23" s="143"/>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row>
    <row r="24" customFormat="false" ht="17" hidden="false" customHeight="false" outlineLevel="0" collapsed="false">
      <c r="B24" s="91" t="s">
        <v>70</v>
      </c>
      <c r="C24" s="91"/>
      <c r="D24" s="91"/>
      <c r="E24" s="91"/>
      <c r="F24" s="91"/>
      <c r="G24" s="91"/>
      <c r="H24" s="91"/>
      <c r="I24" s="91"/>
      <c r="J24" s="91"/>
    </row>
    <row r="25" customFormat="false" ht="17" hidden="false" customHeight="true" outlineLevel="0" collapsed="false">
      <c r="B25" s="145" t="s">
        <v>146</v>
      </c>
      <c r="C25" s="145"/>
      <c r="D25" s="145"/>
      <c r="E25" s="95" t="s">
        <v>147</v>
      </c>
      <c r="F25" s="95"/>
      <c r="G25" s="95"/>
      <c r="H25" s="96" t="s">
        <v>148</v>
      </c>
      <c r="I25" s="96"/>
      <c r="J25" s="96"/>
    </row>
    <row r="26" customFormat="false" ht="17" hidden="false" customHeight="false" outlineLevel="0" collapsed="false">
      <c r="A26" s="146" t="s">
        <v>150</v>
      </c>
      <c r="B26" s="147" t="n">
        <v>6.9</v>
      </c>
      <c r="C26" s="147"/>
      <c r="D26" s="147"/>
      <c r="E26" s="102" t="n">
        <v>4.3</v>
      </c>
      <c r="F26" s="102"/>
      <c r="G26" s="102"/>
      <c r="H26" s="103" t="n">
        <v>4</v>
      </c>
      <c r="I26" s="103"/>
      <c r="J26" s="103"/>
    </row>
    <row r="27" customFormat="false" ht="17" hidden="false" customHeight="false" outlineLevel="0" collapsed="false">
      <c r="A27" s="148" t="s">
        <v>151</v>
      </c>
      <c r="B27" s="112" t="n">
        <v>5.2</v>
      </c>
      <c r="C27" s="112"/>
      <c r="D27" s="112"/>
      <c r="E27" s="102" t="n">
        <v>5.3</v>
      </c>
      <c r="F27" s="102"/>
      <c r="G27" s="102"/>
      <c r="H27" s="103" t="n">
        <v>5.4</v>
      </c>
      <c r="I27" s="103"/>
      <c r="J27" s="103"/>
    </row>
    <row r="28" customFormat="false" ht="51" hidden="false" customHeight="false" outlineLevel="0" collapsed="false">
      <c r="A28" s="149" t="s">
        <v>143</v>
      </c>
      <c r="B28" s="115" t="s">
        <v>152</v>
      </c>
      <c r="C28" s="9" t="s">
        <v>153</v>
      </c>
      <c r="D28" s="150" t="s">
        <v>154</v>
      </c>
      <c r="E28" s="115" t="s">
        <v>152</v>
      </c>
      <c r="F28" s="9" t="s">
        <v>153</v>
      </c>
      <c r="G28" s="116" t="s">
        <v>154</v>
      </c>
      <c r="H28" s="117" t="s">
        <v>152</v>
      </c>
      <c r="I28" s="9" t="s">
        <v>153</v>
      </c>
      <c r="J28" s="116" t="s">
        <v>154</v>
      </c>
    </row>
    <row r="29" customFormat="false" ht="16" hidden="false" customHeight="false" outlineLevel="0" collapsed="false">
      <c r="A29" s="151" t="n">
        <v>0</v>
      </c>
      <c r="B29" s="119" t="n">
        <v>87.95</v>
      </c>
      <c r="C29" s="10" t="n">
        <v>109.98</v>
      </c>
      <c r="D29" s="152" t="n">
        <f aca="false">(C29-MAX(C$29:C$43))</f>
        <v>-107.7</v>
      </c>
      <c r="E29" s="119" t="n">
        <f aca="false">0.5*175.62</f>
        <v>87.81</v>
      </c>
      <c r="F29" s="10" t="n">
        <v>305.04</v>
      </c>
      <c r="G29" s="120" t="n">
        <f aca="false">(F29-MAX(F$29:F$43))/2</f>
        <v>-117.265</v>
      </c>
      <c r="H29" s="121" t="n">
        <f aca="false">0.1*877.04</f>
        <v>87.704</v>
      </c>
      <c r="I29" s="10" t="n">
        <v>1761.54</v>
      </c>
      <c r="J29" s="120" t="n">
        <f aca="false">(I29-MAX(I$29:I$43))/10</f>
        <v>-134.768</v>
      </c>
    </row>
    <row r="30" customFormat="false" ht="16" hidden="false" customHeight="false" outlineLevel="0" collapsed="false">
      <c r="A30" s="151" t="n">
        <v>1</v>
      </c>
      <c r="B30" s="119" t="n">
        <v>87.56</v>
      </c>
      <c r="C30" s="10" t="n">
        <v>109.78</v>
      </c>
      <c r="D30" s="152" t="n">
        <f aca="false">(C30-MAX(C$29:C$43))</f>
        <v>-107.9</v>
      </c>
      <c r="E30" s="119" t="n">
        <f aca="false">0.5*173.53</f>
        <v>86.765</v>
      </c>
      <c r="F30" s="10" t="n">
        <v>303.55</v>
      </c>
      <c r="G30" s="120" t="n">
        <f aca="false">(F30-MAX(F$29:F$43))/2</f>
        <v>-118.01</v>
      </c>
      <c r="H30" s="121" t="n">
        <f aca="false">0.1*862.71</f>
        <v>86.271</v>
      </c>
      <c r="I30" s="10" t="n">
        <v>1750.37</v>
      </c>
      <c r="J30" s="120" t="n">
        <f aca="false">(I30-MAX(I$29:I$43))/10</f>
        <v>-135.885</v>
      </c>
    </row>
    <row r="31" customFormat="false" ht="16" hidden="false" customHeight="false" outlineLevel="0" collapsed="false">
      <c r="A31" s="151" t="n">
        <v>2</v>
      </c>
      <c r="B31" s="119" t="n">
        <v>84.97</v>
      </c>
      <c r="C31" s="10" t="n">
        <v>108.42</v>
      </c>
      <c r="D31" s="152" t="n">
        <f aca="false">(C31-MAX(C$29:C$43))</f>
        <v>-109.26</v>
      </c>
      <c r="E31" s="119" t="n">
        <f aca="false">0.5*166.52</f>
        <v>83.26</v>
      </c>
      <c r="F31" s="10" t="n">
        <v>297.34</v>
      </c>
      <c r="G31" s="120" t="n">
        <f aca="false">(F31-MAX(F$29:F$43))/2</f>
        <v>-121.115</v>
      </c>
      <c r="H31" s="121" t="n">
        <f aca="false">0.1*825.49</f>
        <v>82.549</v>
      </c>
      <c r="I31" s="10" t="n">
        <v>1710.27</v>
      </c>
      <c r="J31" s="120" t="n">
        <f aca="false">(I31-MAX(I$29:I$43))/10</f>
        <v>-139.895</v>
      </c>
    </row>
    <row r="32" customFormat="false" ht="16" hidden="false" customHeight="false" outlineLevel="0" collapsed="false">
      <c r="A32" s="151" t="n">
        <v>3</v>
      </c>
      <c r="B32" s="119" t="n">
        <v>72.61</v>
      </c>
      <c r="C32" s="10" t="n">
        <v>102.59</v>
      </c>
      <c r="D32" s="152" t="n">
        <f aca="false">(C32-MAX(C$29:C$43))</f>
        <v>-115.09</v>
      </c>
      <c r="E32" s="119" t="n">
        <f aca="false">0.5*142.45</f>
        <v>71.225</v>
      </c>
      <c r="F32" s="10" t="n">
        <v>281.05</v>
      </c>
      <c r="G32" s="120" t="n">
        <f aca="false">(F32-MAX(F$29:F$43))/2</f>
        <v>-129.26</v>
      </c>
      <c r="H32" s="121" t="n">
        <f aca="false">0.1*715.24</f>
        <v>71.524</v>
      </c>
      <c r="I32" s="10" t="n">
        <v>1624.01</v>
      </c>
      <c r="J32" s="120" t="n">
        <f aca="false">(I32-MAX(I$29:I$43))/10</f>
        <v>-148.521</v>
      </c>
    </row>
    <row r="33" customFormat="false" ht="16" hidden="false" customHeight="false" outlineLevel="0" collapsed="false">
      <c r="A33" s="151" t="n">
        <v>4</v>
      </c>
      <c r="B33" s="119" t="n">
        <v>42.18</v>
      </c>
      <c r="C33" s="15" t="n">
        <v>93.69</v>
      </c>
      <c r="D33" s="153" t="n">
        <f aca="false">(C33-MAX(C$29:C$43))</f>
        <v>-123.99</v>
      </c>
      <c r="E33" s="119" t="n">
        <f aca="false">0.5*84.36</f>
        <v>42.18</v>
      </c>
      <c r="F33" s="15" t="n">
        <v>261.21</v>
      </c>
      <c r="G33" s="128" t="n">
        <f aca="false">(F33-MAX(F$29:F$43))/2</f>
        <v>-139.18</v>
      </c>
      <c r="H33" s="121" t="n">
        <f aca="false">0.1*452.76</f>
        <v>45.276</v>
      </c>
      <c r="I33" s="15" t="n">
        <v>1547.1</v>
      </c>
      <c r="J33" s="128" t="n">
        <f aca="false">(I33-MAX(I$29:I$43))/10</f>
        <v>-156.212</v>
      </c>
    </row>
    <row r="34" customFormat="false" ht="16" hidden="false" customHeight="false" outlineLevel="0" collapsed="false">
      <c r="A34" s="151" t="n">
        <v>5</v>
      </c>
      <c r="B34" s="10" t="n">
        <v>6.63</v>
      </c>
      <c r="C34" s="10" t="n">
        <v>94.3</v>
      </c>
      <c r="D34" s="152" t="n">
        <f aca="false">(C34-MAX(C$29:C$43))</f>
        <v>-123.38</v>
      </c>
      <c r="E34" s="119" t="n">
        <f aca="false">0.5*15.18</f>
        <v>7.59</v>
      </c>
      <c r="F34" s="10" t="n">
        <v>264.31</v>
      </c>
      <c r="G34" s="120" t="n">
        <f aca="false">(F34-MAX(F$29:F$43))/2</f>
        <v>-137.63</v>
      </c>
      <c r="H34" s="121" t="n">
        <f aca="false">0.1*117.96</f>
        <v>11.796</v>
      </c>
      <c r="I34" s="10" t="n">
        <v>1616.01</v>
      </c>
      <c r="J34" s="120" t="n">
        <f aca="false">(I34-MAX(I$29:I$43))/10</f>
        <v>-149.321</v>
      </c>
    </row>
    <row r="35" customFormat="false" ht="16" hidden="false" customHeight="false" outlineLevel="0" collapsed="false">
      <c r="A35" s="151" t="n">
        <v>6</v>
      </c>
      <c r="B35" s="119" t="n">
        <v>-15.6</v>
      </c>
      <c r="C35" s="10" t="n">
        <v>94.03</v>
      </c>
      <c r="D35" s="152" t="n">
        <f aca="false">(C35-MAX(C$29:C$43))</f>
        <v>-123.65</v>
      </c>
      <c r="E35" s="119" t="n">
        <f aca="false">0.5*-31.33</f>
        <v>-15.665</v>
      </c>
      <c r="F35" s="10" t="n">
        <v>265</v>
      </c>
      <c r="G35" s="120" t="n">
        <f aca="false">(F35-MAX(F$29:F$43))/2</f>
        <v>-137.285</v>
      </c>
      <c r="H35" s="121" t="n">
        <f aca="false">0.1*-129.32</f>
        <v>-12.932</v>
      </c>
      <c r="I35" s="10" t="n">
        <v>1668</v>
      </c>
      <c r="J35" s="120" t="n">
        <f aca="false">(I35-MAX(I$29:I$43))/10</f>
        <v>-144.122</v>
      </c>
    </row>
    <row r="36" customFormat="false" ht="16" hidden="false" customHeight="false" outlineLevel="0" collapsed="false">
      <c r="A36" s="151" t="n">
        <v>7</v>
      </c>
      <c r="B36" s="119" t="n">
        <v>-27.66</v>
      </c>
      <c r="C36" s="15" t="n">
        <v>92.26</v>
      </c>
      <c r="D36" s="153" t="n">
        <f aca="false">(C36-MAX(C$29:C$43))</f>
        <v>-125.42</v>
      </c>
      <c r="E36" s="119" t="n">
        <f aca="false">0.5*-55.77</f>
        <v>-27.885</v>
      </c>
      <c r="F36" s="15" t="n">
        <v>260.88</v>
      </c>
      <c r="G36" s="128" t="n">
        <f aca="false">(F36-MAX(F$29:F$43))/2</f>
        <v>-139.345</v>
      </c>
      <c r="H36" s="121" t="n">
        <f aca="false">0.1*-267.05</f>
        <v>-26.705</v>
      </c>
      <c r="I36" s="10" t="n">
        <v>1673.13</v>
      </c>
      <c r="J36" s="120" t="n">
        <f aca="false">(I36-MAX(I$29:I$43))/10</f>
        <v>-143.609</v>
      </c>
    </row>
    <row r="37" customFormat="false" ht="16" hidden="false" customHeight="false" outlineLevel="0" collapsed="false">
      <c r="A37" s="151" t="n">
        <v>8</v>
      </c>
      <c r="B37" s="119" t="n">
        <v>-34.31</v>
      </c>
      <c r="C37" s="10" t="n">
        <v>93.31</v>
      </c>
      <c r="D37" s="152" t="n">
        <f aca="false">(C37-MAX(C$29:C$43))</f>
        <v>-124.37</v>
      </c>
      <c r="E37" s="119" t="n">
        <f aca="false">0.5*-69.43</f>
        <v>-34.715</v>
      </c>
      <c r="F37" s="10" t="n">
        <v>262.23</v>
      </c>
      <c r="G37" s="120" t="n">
        <f aca="false">(F37-MAX(F$29:F$43))/2</f>
        <v>-138.67</v>
      </c>
      <c r="H37" s="121" t="n">
        <f aca="false">0.1*-342.31</f>
        <v>-34.231</v>
      </c>
      <c r="I37" s="10" t="n">
        <v>1690.63</v>
      </c>
      <c r="J37" s="120" t="n">
        <f aca="false">(I37-MAX(I$29:I$43))/10</f>
        <v>-141.859</v>
      </c>
    </row>
    <row r="38" customFormat="false" ht="16" hidden="false" customHeight="false" outlineLevel="0" collapsed="false">
      <c r="A38" s="151" t="n">
        <v>9</v>
      </c>
      <c r="B38" s="119" t="n">
        <v>-38.8</v>
      </c>
      <c r="C38" s="10" t="n">
        <v>96.01</v>
      </c>
      <c r="D38" s="152" t="n">
        <f aca="false">(C38-MAX(C$29:C$43))</f>
        <v>-121.67</v>
      </c>
      <c r="E38" s="119" t="n">
        <f aca="false">0.5*-80.06</f>
        <v>-40.03</v>
      </c>
      <c r="F38" s="10" t="n">
        <v>265.53</v>
      </c>
      <c r="G38" s="120" t="n">
        <f aca="false">(F38-MAX(F$29:F$43))/2</f>
        <v>-137.02</v>
      </c>
      <c r="H38" s="121" t="n">
        <f aca="false">0.1*-397.56</f>
        <v>-39.756</v>
      </c>
      <c r="I38" s="10" t="n">
        <v>1711.79</v>
      </c>
      <c r="J38" s="120" t="n">
        <f aca="false">(I38-MAX(I$29:I$43))/10</f>
        <v>-139.743</v>
      </c>
    </row>
    <row r="39" customFormat="false" ht="16" hidden="false" customHeight="false" outlineLevel="0" collapsed="false">
      <c r="A39" s="151" t="n">
        <v>10</v>
      </c>
      <c r="B39" s="119" t="n">
        <v>-49.14</v>
      </c>
      <c r="C39" s="10" t="n">
        <v>110.32</v>
      </c>
      <c r="D39" s="152" t="n">
        <f aca="false">(C39-MAX(C$29:C$43))</f>
        <v>-107.36</v>
      </c>
      <c r="E39" s="119" t="n">
        <f aca="false">0.5*-99.6</f>
        <v>-49.8</v>
      </c>
      <c r="F39" s="10" t="n">
        <v>290.88</v>
      </c>
      <c r="G39" s="120" t="n">
        <f aca="false">(F39-MAX(F$29:F$43))/2</f>
        <v>-124.345</v>
      </c>
      <c r="H39" s="121" t="n">
        <f aca="false">0.1*-495.47</f>
        <v>-49.547</v>
      </c>
      <c r="I39" s="10" t="n">
        <v>1841.77</v>
      </c>
      <c r="J39" s="120" t="n">
        <f aca="false">(I39-MAX(I$29:I$43))/10</f>
        <v>-126.745</v>
      </c>
    </row>
    <row r="40" customFormat="false" ht="16" hidden="false" customHeight="false" outlineLevel="0" collapsed="false">
      <c r="A40" s="151" t="n">
        <v>11</v>
      </c>
      <c r="B40" s="119" t="n">
        <v>-70.17</v>
      </c>
      <c r="C40" s="10" t="n">
        <v>141.87</v>
      </c>
      <c r="D40" s="152" t="n">
        <f aca="false">(C40-MAX(C$29:C$43))</f>
        <v>-75.81</v>
      </c>
      <c r="E40" s="119" t="n">
        <f aca="false">0.5*-136.57</f>
        <v>-68.285</v>
      </c>
      <c r="F40" s="10" t="n">
        <v>355.65</v>
      </c>
      <c r="G40" s="120" t="n">
        <f aca="false">(F40-MAX(F$29:F$43))/2</f>
        <v>-91.96</v>
      </c>
      <c r="H40" s="121" t="n">
        <f aca="false">0.1*-680.41</f>
        <v>-68.041</v>
      </c>
      <c r="I40" s="10" t="n">
        <v>2170.29</v>
      </c>
      <c r="J40" s="120" t="n">
        <f aca="false">(I40-MAX(I$29:I$43))/10</f>
        <v>-93.893</v>
      </c>
    </row>
    <row r="41" customFormat="false" ht="16" hidden="false" customHeight="false" outlineLevel="0" collapsed="false">
      <c r="A41" s="151" t="n">
        <v>12</v>
      </c>
      <c r="B41" s="119" t="n">
        <v>-92.03</v>
      </c>
      <c r="C41" s="10" t="n">
        <v>173.49</v>
      </c>
      <c r="D41" s="152" t="n">
        <f aca="false">(C41-MAX(C$29:C$43))</f>
        <v>-44.19</v>
      </c>
      <c r="E41" s="119" t="n">
        <f aca="false">0.5*-176.09</f>
        <v>-88.045</v>
      </c>
      <c r="F41" s="10" t="n">
        <v>426.9</v>
      </c>
      <c r="G41" s="120" t="n">
        <f aca="false">(F41-MAX(F$29:F$43))/2</f>
        <v>-56.335</v>
      </c>
      <c r="H41" s="121" t="n">
        <f aca="false">0.1*-885.76</f>
        <v>-88.576</v>
      </c>
      <c r="I41" s="10" t="n">
        <v>2522.84</v>
      </c>
      <c r="J41" s="120" t="n">
        <f aca="false">(I41-MAX(I$29:I$43))/10</f>
        <v>-58.638</v>
      </c>
    </row>
    <row r="42" customFormat="false" ht="16" hidden="false" customHeight="false" outlineLevel="0" collapsed="false">
      <c r="A42" s="151" t="n">
        <v>13</v>
      </c>
      <c r="B42" s="119" t="n">
        <v>-113.37</v>
      </c>
      <c r="C42" s="10" t="n">
        <v>197.71</v>
      </c>
      <c r="D42" s="152" t="n">
        <f aca="false">(C42-MAX(C$29:C$43))</f>
        <v>-19.97</v>
      </c>
      <c r="E42" s="119" t="n">
        <f aca="false">0.5*-216.81</f>
        <v>-108.405</v>
      </c>
      <c r="F42" s="10" t="n">
        <v>488.1</v>
      </c>
      <c r="G42" s="120" t="n">
        <f aca="false">(F42-MAX(F$29:F$43))/2</f>
        <v>-25.735</v>
      </c>
      <c r="H42" s="121" t="n">
        <f aca="false">0.1*-1072.84</f>
        <v>-107.284</v>
      </c>
      <c r="I42" s="10" t="n">
        <v>2831.96</v>
      </c>
      <c r="J42" s="120" t="n">
        <f aca="false">(I42-MAX(I$29:I$43))/10</f>
        <v>-27.726</v>
      </c>
    </row>
    <row r="43" customFormat="false" ht="17" hidden="false" customHeight="false" outlineLevel="0" collapsed="false">
      <c r="A43" s="154" t="n">
        <v>14</v>
      </c>
      <c r="B43" s="134" t="n">
        <v>-124.44</v>
      </c>
      <c r="C43" s="17" t="n">
        <v>217.68</v>
      </c>
      <c r="D43" s="155" t="n">
        <f aca="false">(C43-MAX(C$29:C$43))</f>
        <v>0</v>
      </c>
      <c r="E43" s="134" t="n">
        <f aca="false">0.5*-242.5</f>
        <v>-121.25</v>
      </c>
      <c r="F43" s="17" t="n">
        <v>539.57</v>
      </c>
      <c r="G43" s="135" t="n">
        <f aca="false">(F43-MAX(F$29:F$43))/2</f>
        <v>0</v>
      </c>
      <c r="H43" s="136" t="n">
        <f aca="false">0.1*-1197.57</f>
        <v>-119.757</v>
      </c>
      <c r="I43" s="17" t="n">
        <v>3109.22</v>
      </c>
      <c r="J43" s="135" t="n">
        <f aca="false">(I43-MAX(I$29:I$43))/10</f>
        <v>0</v>
      </c>
    </row>
    <row r="44" s="6" customFormat="true" ht="17" hidden="false" customHeight="false" outlineLevel="0" collapsed="false">
      <c r="A44" s="143"/>
    </row>
    <row r="45" customFormat="false" ht="17" hidden="false" customHeight="false" outlineLevel="0" collapsed="false">
      <c r="B45" s="156" t="s">
        <v>155</v>
      </c>
      <c r="C45" s="156"/>
      <c r="D45" s="156"/>
      <c r="E45" s="156"/>
      <c r="F45" s="156"/>
      <c r="G45" s="156"/>
      <c r="H45" s="156"/>
      <c r="I45" s="156"/>
      <c r="J45" s="156"/>
      <c r="K45" s="156"/>
      <c r="L45" s="156"/>
      <c r="M45" s="156"/>
    </row>
    <row r="46" customFormat="false" ht="17" hidden="false" customHeight="true" outlineLevel="0" collapsed="false">
      <c r="B46" s="146" t="s">
        <v>146</v>
      </c>
      <c r="C46" s="146"/>
      <c r="D46" s="146"/>
      <c r="E46" s="95" t="s">
        <v>147</v>
      </c>
      <c r="F46" s="95"/>
      <c r="G46" s="95"/>
      <c r="H46" s="157" t="s">
        <v>148</v>
      </c>
      <c r="I46" s="157"/>
      <c r="J46" s="157"/>
      <c r="K46" s="157" t="s">
        <v>149</v>
      </c>
      <c r="L46" s="157"/>
      <c r="M46" s="157"/>
    </row>
    <row r="47" customFormat="false" ht="17" hidden="false" customHeight="false" outlineLevel="0" collapsed="false">
      <c r="A47" s="92" t="s">
        <v>150</v>
      </c>
      <c r="B47" s="147" t="n">
        <v>6.8</v>
      </c>
      <c r="C47" s="147"/>
      <c r="D47" s="147"/>
      <c r="E47" s="102" t="n">
        <v>4.7</v>
      </c>
      <c r="F47" s="102"/>
      <c r="G47" s="102"/>
      <c r="H47" s="103" t="n">
        <v>4.3</v>
      </c>
      <c r="I47" s="103"/>
      <c r="J47" s="103"/>
      <c r="K47" s="103" t="n">
        <v>4.2</v>
      </c>
      <c r="L47" s="103"/>
      <c r="M47" s="103"/>
    </row>
    <row r="48" customFormat="false" ht="17" hidden="false" customHeight="false" outlineLevel="0" collapsed="false">
      <c r="A48" s="110" t="s">
        <v>151</v>
      </c>
      <c r="B48" s="112" t="n">
        <v>6</v>
      </c>
      <c r="C48" s="112"/>
      <c r="D48" s="112"/>
      <c r="E48" s="102" t="n">
        <v>6.2</v>
      </c>
      <c r="F48" s="102"/>
      <c r="G48" s="102"/>
      <c r="H48" s="103" t="n">
        <v>6.4</v>
      </c>
      <c r="I48" s="103"/>
      <c r="J48" s="103"/>
      <c r="K48" s="103" t="n">
        <v>6.5</v>
      </c>
      <c r="L48" s="103"/>
      <c r="M48" s="103"/>
    </row>
    <row r="49" customFormat="false" ht="51" hidden="false" customHeight="false" outlineLevel="0" collapsed="false">
      <c r="A49" s="113" t="s">
        <v>143</v>
      </c>
      <c r="B49" s="114" t="s">
        <v>152</v>
      </c>
      <c r="C49" s="41" t="s">
        <v>153</v>
      </c>
      <c r="D49" s="158" t="s">
        <v>154</v>
      </c>
      <c r="E49" s="114" t="s">
        <v>152</v>
      </c>
      <c r="F49" s="41" t="s">
        <v>153</v>
      </c>
      <c r="G49" s="42" t="s">
        <v>154</v>
      </c>
      <c r="H49" s="159" t="s">
        <v>152</v>
      </c>
      <c r="I49" s="41" t="s">
        <v>153</v>
      </c>
      <c r="J49" s="42" t="s">
        <v>154</v>
      </c>
      <c r="K49" s="159" t="s">
        <v>152</v>
      </c>
      <c r="L49" s="41" t="s">
        <v>153</v>
      </c>
      <c r="M49" s="42" t="s">
        <v>154</v>
      </c>
    </row>
    <row r="50" customFormat="false" ht="16" hidden="false" customHeight="false" outlineLevel="0" collapsed="false">
      <c r="A50" s="118" t="n">
        <v>0</v>
      </c>
      <c r="B50" s="119" t="n">
        <v>94.95</v>
      </c>
      <c r="C50" s="10" t="n">
        <v>103.35</v>
      </c>
      <c r="D50" s="152" t="n">
        <f aca="false">(C50-MAX(C$50:C$64))</f>
        <v>-77.62</v>
      </c>
      <c r="E50" s="119" t="n">
        <f aca="false">0.5*189.69</f>
        <v>94.845</v>
      </c>
      <c r="F50" s="10" t="n">
        <v>299.03</v>
      </c>
      <c r="G50" s="120" t="n">
        <f aca="false">(F50-MAX(F$50:F$64))/2</f>
        <v>-94.655</v>
      </c>
      <c r="H50" s="121" t="n">
        <f aca="false">0.1*948.14</f>
        <v>94.814</v>
      </c>
      <c r="I50" s="10" t="n">
        <v>1837.94</v>
      </c>
      <c r="J50" s="120" t="n">
        <f aca="false">(I50-MAX(I$50:I$64))/10</f>
        <v>-117.17</v>
      </c>
      <c r="K50" s="121" t="n">
        <f aca="false">0.05*1896.19</f>
        <v>94.8095</v>
      </c>
      <c r="L50" s="10" t="n">
        <v>3844</v>
      </c>
      <c r="M50" s="120" t="n">
        <f aca="false">(L50-MAX(L$50:L$64))/20</f>
        <v>-131.3105</v>
      </c>
    </row>
    <row r="51" customFormat="false" ht="16" hidden="false" customHeight="false" outlineLevel="0" collapsed="false">
      <c r="A51" s="118" t="n">
        <v>1</v>
      </c>
      <c r="B51" s="119" t="n">
        <v>94.54</v>
      </c>
      <c r="C51" s="10" t="n">
        <v>103.14</v>
      </c>
      <c r="D51" s="152" t="n">
        <f aca="false">(C51-MAX(C$50:C$64))</f>
        <v>-77.83</v>
      </c>
      <c r="E51" s="119" t="n">
        <f aca="false">0.5*187.56</f>
        <v>93.78</v>
      </c>
      <c r="F51" s="10" t="n">
        <v>297.66</v>
      </c>
      <c r="G51" s="120" t="n">
        <f aca="false">(F51-MAX(F$50:F$64))/2</f>
        <v>-95.34</v>
      </c>
      <c r="H51" s="121" t="n">
        <f aca="false">0.1*935.76</f>
        <v>93.576</v>
      </c>
      <c r="I51" s="10" t="n">
        <v>1829.8</v>
      </c>
      <c r="J51" s="120" t="n">
        <f aca="false">(I51-MAX(I$50:I$64))/10</f>
        <v>-117.984</v>
      </c>
      <c r="K51" s="121" t="n">
        <f aca="false">0.05*1871.36</f>
        <v>93.568</v>
      </c>
      <c r="L51" s="10" t="n">
        <v>3827.47</v>
      </c>
      <c r="M51" s="120" t="n">
        <f aca="false">(L51-MAX(L$50:L$64))/20</f>
        <v>-132.137</v>
      </c>
    </row>
    <row r="52" customFormat="false" ht="16" hidden="false" customHeight="false" outlineLevel="0" collapsed="false">
      <c r="A52" s="118" t="n">
        <v>2</v>
      </c>
      <c r="B52" s="119" t="n">
        <v>91.59</v>
      </c>
      <c r="C52" s="10" t="n">
        <v>101.49</v>
      </c>
      <c r="D52" s="152" t="n">
        <f aca="false">(C52-MAX(C$50:C$64))</f>
        <v>-79.48</v>
      </c>
      <c r="E52" s="119" t="n">
        <f aca="false">0.5*178.4</f>
        <v>89.2</v>
      </c>
      <c r="F52" s="10" t="n">
        <v>290.23</v>
      </c>
      <c r="G52" s="120" t="n">
        <f aca="false">(F52-MAX(F$50:F$64))/2</f>
        <v>-99.055</v>
      </c>
      <c r="H52" s="121" t="n">
        <f aca="false">0.1*889.32</f>
        <v>88.932</v>
      </c>
      <c r="I52" s="10" t="n">
        <v>1788.61</v>
      </c>
      <c r="J52" s="120" t="n">
        <f aca="false">(I52-MAX(I$50:I$64))/10</f>
        <v>-122.103</v>
      </c>
      <c r="K52" s="121" t="n">
        <f aca="false">0.05*1781.13</f>
        <v>89.0565</v>
      </c>
      <c r="L52" s="10" t="n">
        <v>3746.29</v>
      </c>
      <c r="M52" s="120" t="n">
        <f aca="false">(L52-MAX(L$50:L$64))/20</f>
        <v>-136.196</v>
      </c>
    </row>
    <row r="53" customFormat="false" ht="16" hidden="false" customHeight="false" outlineLevel="0" collapsed="false">
      <c r="A53" s="118" t="n">
        <v>3</v>
      </c>
      <c r="B53" s="119" t="n">
        <v>80.18</v>
      </c>
      <c r="C53" s="10" t="n">
        <v>94.54</v>
      </c>
      <c r="D53" s="152" t="n">
        <f aca="false">(C53-MAX(C$50:C$64))</f>
        <v>-86.43</v>
      </c>
      <c r="E53" s="119" t="n">
        <f aca="false">0.5*152.7</f>
        <v>76.35</v>
      </c>
      <c r="F53" s="10" t="n">
        <v>267.59</v>
      </c>
      <c r="G53" s="120" t="n">
        <f aca="false">(F53-MAX(F$50:F$64))/2</f>
        <v>-110.375</v>
      </c>
      <c r="H53" s="121" t="n">
        <f aca="false">0.1*770.71</f>
        <v>77.071</v>
      </c>
      <c r="I53" s="10" t="n">
        <v>1676.89</v>
      </c>
      <c r="J53" s="120" t="n">
        <f aca="false">(I53-MAX(I$50:I$64))/10</f>
        <v>-133.275</v>
      </c>
      <c r="K53" s="121" t="n">
        <f aca="false">0.05*1546.16</f>
        <v>77.308</v>
      </c>
      <c r="L53" s="10" t="n">
        <v>3527.73</v>
      </c>
      <c r="M53" s="120" t="n">
        <f aca="false">(L53-MAX(L$50:L$64))/20</f>
        <v>-147.124</v>
      </c>
    </row>
    <row r="54" customFormat="false" ht="16" hidden="false" customHeight="false" outlineLevel="0" collapsed="false">
      <c r="A54" s="118" t="n">
        <v>4</v>
      </c>
      <c r="B54" s="119" t="n">
        <v>53.5</v>
      </c>
      <c r="C54" s="10" t="n">
        <v>83.98</v>
      </c>
      <c r="D54" s="152" t="n">
        <f aca="false">(C54-MAX(C$50:C$64))</f>
        <v>-96.99</v>
      </c>
      <c r="E54" s="119" t="n">
        <f aca="false">0.5*101.38</f>
        <v>50.69</v>
      </c>
      <c r="F54" s="10" t="n">
        <v>236.54</v>
      </c>
      <c r="G54" s="120" t="n">
        <f aca="false">(F54-MAX(F$50:F$64))/2</f>
        <v>-125.9</v>
      </c>
      <c r="H54" s="121" t="n">
        <f aca="false">0.1*544.72</f>
        <v>54.472</v>
      </c>
      <c r="I54" s="15" t="n">
        <v>1550.31</v>
      </c>
      <c r="J54" s="128" t="n">
        <f aca="false">(I54-MAX(I$50:I$64))/10</f>
        <v>-145.933</v>
      </c>
      <c r="K54" s="121" t="n">
        <f aca="false">0.05*1110.88</f>
        <v>55.544</v>
      </c>
      <c r="L54" s="15" t="n">
        <v>3289.92</v>
      </c>
      <c r="M54" s="128" t="n">
        <f aca="false">(L54-MAX(L$50:L$64))/20</f>
        <v>-159.0145</v>
      </c>
    </row>
    <row r="55" customFormat="false" ht="16" hidden="false" customHeight="false" outlineLevel="0" collapsed="false">
      <c r="A55" s="118" t="n">
        <v>5</v>
      </c>
      <c r="B55" s="119" t="n">
        <v>20.25</v>
      </c>
      <c r="C55" s="10" t="n">
        <v>81.42</v>
      </c>
      <c r="D55" s="152" t="n">
        <f aca="false">(C55-MAX(C$50:C$64))</f>
        <v>-99.55</v>
      </c>
      <c r="E55" s="119" t="n">
        <f aca="false">0.5*43.26</f>
        <v>21.63</v>
      </c>
      <c r="F55" s="15" t="n">
        <v>229.48</v>
      </c>
      <c r="G55" s="128" t="n">
        <f aca="false">(F55-MAX(F$50:F$64))/2</f>
        <v>-129.43</v>
      </c>
      <c r="H55" s="121" t="n">
        <f aca="false">0.1*267.85</f>
        <v>26.785</v>
      </c>
      <c r="I55" s="10" t="n">
        <v>1580.6</v>
      </c>
      <c r="J55" s="120" t="n">
        <f aca="false">(I55-MAX(I$50:I$64))/10</f>
        <v>-142.904</v>
      </c>
      <c r="K55" s="121" t="n">
        <f aca="false">0.05*577.92</f>
        <v>28.896</v>
      </c>
      <c r="L55" s="10" t="n">
        <v>3395.53</v>
      </c>
      <c r="M55" s="120" t="n">
        <f aca="false">(L55-MAX(L$50:L$64))/20</f>
        <v>-153.734</v>
      </c>
    </row>
    <row r="56" customFormat="false" ht="16" hidden="false" customHeight="false" outlineLevel="0" collapsed="false">
      <c r="A56" s="118" t="n">
        <v>6</v>
      </c>
      <c r="B56" s="10" t="n">
        <v>0.08</v>
      </c>
      <c r="C56" s="10" t="n">
        <v>79.17</v>
      </c>
      <c r="D56" s="152" t="n">
        <f aca="false">(C56-MAX(C$50:C$64))</f>
        <v>-101.8</v>
      </c>
      <c r="E56" s="119" t="n">
        <f aca="false">0.5*5.96</f>
        <v>2.98</v>
      </c>
      <c r="F56" s="10" t="n">
        <v>231.55</v>
      </c>
      <c r="G56" s="120" t="n">
        <f aca="false">(F56-MAX(F$50:F$64))/2</f>
        <v>-128.395</v>
      </c>
      <c r="H56" s="121" t="n">
        <f aca="false">0.1*58.69</f>
        <v>5.869</v>
      </c>
      <c r="I56" s="10" t="n">
        <v>1647.87</v>
      </c>
      <c r="J56" s="120" t="n">
        <f aca="false">(I56-MAX(I$50:I$64))/10</f>
        <v>-136.177</v>
      </c>
      <c r="K56" s="121" t="n">
        <f aca="false">0.05*157.46</f>
        <v>7.873</v>
      </c>
      <c r="L56" s="10" t="n">
        <v>3588.71</v>
      </c>
      <c r="M56" s="120" t="n">
        <f aca="false">(L56-MAX(L$50:L$64))/20</f>
        <v>-144.075</v>
      </c>
    </row>
    <row r="57" customFormat="false" ht="16" hidden="false" customHeight="false" outlineLevel="0" collapsed="false">
      <c r="A57" s="118" t="n">
        <v>7</v>
      </c>
      <c r="B57" s="119" t="n">
        <v>-10.57</v>
      </c>
      <c r="C57" s="15" t="n">
        <v>77.42</v>
      </c>
      <c r="D57" s="153" t="n">
        <f aca="false">(C57-MAX(C$50:C$64))</f>
        <v>-103.55</v>
      </c>
      <c r="E57" s="119" t="n">
        <f aca="false">0.5*-17.53</f>
        <v>-8.765</v>
      </c>
      <c r="F57" s="10" t="n">
        <v>234.8</v>
      </c>
      <c r="G57" s="120" t="n">
        <f aca="false">(F57-MAX(F$50:F$64))/2</f>
        <v>-126.77</v>
      </c>
      <c r="H57" s="121" t="n">
        <f aca="false">0.1*-75.08</f>
        <v>-7.508</v>
      </c>
      <c r="I57" s="10" t="n">
        <v>1690.08</v>
      </c>
      <c r="J57" s="120" t="n">
        <f aca="false">(I57-MAX(I$50:I$64))/10</f>
        <v>-131.956</v>
      </c>
      <c r="K57" s="121" t="n">
        <f aca="false">0.05*-123.72</f>
        <v>-6.186</v>
      </c>
      <c r="L57" s="10" t="n">
        <v>3718.3</v>
      </c>
      <c r="M57" s="120" t="n">
        <f aca="false">(L57-MAX(L$50:L$64))/20</f>
        <v>-137.5955</v>
      </c>
    </row>
    <row r="58" customFormat="false" ht="16" hidden="false" customHeight="false" outlineLevel="0" collapsed="false">
      <c r="A58" s="118" t="n">
        <v>8</v>
      </c>
      <c r="B58" s="119" t="n">
        <v>-17.57</v>
      </c>
      <c r="C58" s="10" t="n">
        <v>78.58</v>
      </c>
      <c r="D58" s="152" t="n">
        <f aca="false">(C58-MAX(C$50:C$64))</f>
        <v>-102.39</v>
      </c>
      <c r="E58" s="119" t="n">
        <f aca="false">0.5*-33.14</f>
        <v>-16.57</v>
      </c>
      <c r="F58" s="10" t="n">
        <v>240.69</v>
      </c>
      <c r="G58" s="120" t="n">
        <f aca="false">(F58-MAX(F$50:F$64))/2</f>
        <v>-123.825</v>
      </c>
      <c r="H58" s="121" t="n">
        <f aca="false">0.1*-160.14</f>
        <v>-16.014</v>
      </c>
      <c r="I58" s="10" t="n">
        <v>1732.05</v>
      </c>
      <c r="J58" s="120" t="n">
        <f aca="false">(I58-MAX(I$50:I$64))/10</f>
        <v>-127.759</v>
      </c>
      <c r="K58" s="121" t="n">
        <f aca="false">0.05*-306.16</f>
        <v>-15.308</v>
      </c>
      <c r="L58" s="10" t="n">
        <v>3829.9</v>
      </c>
      <c r="M58" s="120" t="n">
        <f aca="false">(L58-MAX(L$50:L$64))/20</f>
        <v>-132.0155</v>
      </c>
    </row>
    <row r="59" customFormat="false" ht="16" hidden="false" customHeight="false" outlineLevel="0" collapsed="false">
      <c r="A59" s="118" t="n">
        <v>9</v>
      </c>
      <c r="B59" s="119" t="n">
        <v>-24.6</v>
      </c>
      <c r="C59" s="10" t="n">
        <v>78.8</v>
      </c>
      <c r="D59" s="152" t="n">
        <f aca="false">(C59-MAX(C$50:C$64))</f>
        <v>-102.17</v>
      </c>
      <c r="E59" s="119" t="n">
        <f aca="false">0.5*-48.08</f>
        <v>-24.04</v>
      </c>
      <c r="F59" s="10" t="n">
        <v>243.2</v>
      </c>
      <c r="G59" s="120" t="n">
        <f aca="false">(F59-MAX(F$50:F$64))/2</f>
        <v>-122.57</v>
      </c>
      <c r="H59" s="121" t="n">
        <f aca="false">0.1*-248.48</f>
        <v>-24.848</v>
      </c>
      <c r="I59" s="10" t="n">
        <v>1743.82</v>
      </c>
      <c r="J59" s="120" t="n">
        <f aca="false">(I59-MAX(I$50:I$64))/10</f>
        <v>-126.582</v>
      </c>
      <c r="K59" s="121" t="n">
        <f aca="false">0.05*-495.99</f>
        <v>-24.7995</v>
      </c>
      <c r="L59" s="10" t="n">
        <v>3863.39</v>
      </c>
      <c r="M59" s="120" t="n">
        <f aca="false">(L59-MAX(L$50:L$64))/20</f>
        <v>-130.341</v>
      </c>
    </row>
    <row r="60" customFormat="false" ht="16" hidden="false" customHeight="false" outlineLevel="0" collapsed="false">
      <c r="A60" s="118" t="n">
        <v>10</v>
      </c>
      <c r="B60" s="119" t="n">
        <v>-39.35</v>
      </c>
      <c r="C60" s="10" t="n">
        <v>85.98</v>
      </c>
      <c r="D60" s="152" t="n">
        <f aca="false">(C60-MAX(C$50:C$64))</f>
        <v>-94.99</v>
      </c>
      <c r="E60" s="119" t="n">
        <f aca="false">0.5*-76.77</f>
        <v>-38.385</v>
      </c>
      <c r="F60" s="10" t="n">
        <v>259.24</v>
      </c>
      <c r="G60" s="120" t="n">
        <f aca="false">(F60-MAX(F$50:F$64))/2</f>
        <v>-114.55</v>
      </c>
      <c r="H60" s="121" t="n">
        <f aca="false">0.1*-394.41</f>
        <v>-39.441</v>
      </c>
      <c r="I60" s="10" t="n">
        <v>1807.17</v>
      </c>
      <c r="J60" s="120" t="n">
        <f aca="false">(I60-MAX(I$50:I$64))/10</f>
        <v>-120.247</v>
      </c>
      <c r="K60" s="121" t="n">
        <f aca="false">0.05*-788.98</f>
        <v>-39.449</v>
      </c>
      <c r="L60" s="10" t="n">
        <v>3988.56</v>
      </c>
      <c r="M60" s="120" t="n">
        <f aca="false">(L60-MAX(L$50:L$64))/20</f>
        <v>-124.0825</v>
      </c>
    </row>
    <row r="61" customFormat="false" ht="16" hidden="false" customHeight="false" outlineLevel="0" collapsed="false">
      <c r="A61" s="118" t="n">
        <v>11</v>
      </c>
      <c r="B61" s="119" t="n">
        <v>-63.61</v>
      </c>
      <c r="C61" s="10" t="n">
        <v>111.75</v>
      </c>
      <c r="D61" s="152" t="n">
        <f aca="false">(C61-MAX(C$50:C$64))</f>
        <v>-69.22</v>
      </c>
      <c r="E61" s="119" t="n">
        <f aca="false">0.5*-120.84</f>
        <v>-60.42</v>
      </c>
      <c r="F61" s="10" t="n">
        <v>316.41</v>
      </c>
      <c r="G61" s="120" t="n">
        <f aca="false">(F61-MAX(F$50:F$64))/2</f>
        <v>-85.965</v>
      </c>
      <c r="H61" s="121" t="n">
        <f aca="false">0.1*-598.2</f>
        <v>-59.82</v>
      </c>
      <c r="I61" s="10" t="n">
        <v>2092.06</v>
      </c>
      <c r="J61" s="120" t="n">
        <f aca="false">(I61-MAX(I$50:I$64))/10</f>
        <v>-91.758</v>
      </c>
      <c r="K61" s="121" t="n">
        <f aca="false">0.05*-1188.67</f>
        <v>-59.4335</v>
      </c>
      <c r="L61" s="10" t="n">
        <v>4563.54</v>
      </c>
      <c r="M61" s="120" t="n">
        <f aca="false">(L61-MAX(L$50:L$64))/20</f>
        <v>-95.3335</v>
      </c>
    </row>
    <row r="62" customFormat="false" ht="16" hidden="false" customHeight="false" outlineLevel="0" collapsed="false">
      <c r="A62" s="118" t="n">
        <v>12</v>
      </c>
      <c r="B62" s="119" t="n">
        <v>-85.9</v>
      </c>
      <c r="C62" s="10" t="n">
        <v>141.37</v>
      </c>
      <c r="D62" s="152" t="n">
        <f aca="false">(C62-MAX(C$50:C$64))</f>
        <v>-39.6</v>
      </c>
      <c r="E62" s="119" t="n">
        <f aca="false">0.5*-162.65</f>
        <v>-81.325</v>
      </c>
      <c r="F62" s="10" t="n">
        <v>386.24</v>
      </c>
      <c r="G62" s="120" t="n">
        <f aca="false">(F62-MAX(F$50:F$64))/2</f>
        <v>-51.05</v>
      </c>
      <c r="H62" s="121" t="n">
        <f aca="false">0.1*-804.85</f>
        <v>-80.485</v>
      </c>
      <c r="I62" s="10" t="n">
        <v>2449.84</v>
      </c>
      <c r="J62" s="120" t="n">
        <f aca="false">(I62-MAX(I$50:I$64))/10</f>
        <v>-55.98</v>
      </c>
      <c r="K62" s="121" t="n">
        <f aca="false">0.05*-1594.52</f>
        <v>-79.726</v>
      </c>
      <c r="L62" s="10" t="n">
        <v>5294.84</v>
      </c>
      <c r="M62" s="120" t="n">
        <f aca="false">(L62-MAX(L$50:L$64))/20</f>
        <v>-58.7685</v>
      </c>
    </row>
    <row r="63" customFormat="false" ht="16" hidden="false" customHeight="false" outlineLevel="0" collapsed="false">
      <c r="A63" s="118" t="n">
        <v>13</v>
      </c>
      <c r="B63" s="119" t="n">
        <v>-106.39</v>
      </c>
      <c r="C63" s="10" t="n">
        <v>164.24</v>
      </c>
      <c r="D63" s="152" t="n">
        <f aca="false">(C63-MAX(C$50:C$64))</f>
        <v>-16.73</v>
      </c>
      <c r="E63" s="119" t="n">
        <f aca="false">0.5*-203.59</f>
        <v>-101.795</v>
      </c>
      <c r="F63" s="10" t="n">
        <v>445.22</v>
      </c>
      <c r="G63" s="120" t="n">
        <f aca="false">(F63-MAX(F$50:F$64))/2</f>
        <v>-21.56</v>
      </c>
      <c r="H63" s="121" t="n">
        <f aca="false">0.1*-996.31</f>
        <v>-99.631</v>
      </c>
      <c r="I63" s="10" t="n">
        <v>2765.74</v>
      </c>
      <c r="J63" s="120" t="n">
        <f aca="false">(I63-MAX(I$50:I$64))/10</f>
        <v>-24.39</v>
      </c>
      <c r="K63" s="121" t="n">
        <f aca="false">0.05*-1971.19</f>
        <v>-98.5595</v>
      </c>
      <c r="L63" s="10" t="n">
        <v>5951.34</v>
      </c>
      <c r="M63" s="120" t="n">
        <f aca="false">(L63-MAX(L$50:L$64))/20</f>
        <v>-25.9435</v>
      </c>
    </row>
    <row r="64" customFormat="false" ht="16" hidden="false" customHeight="false" outlineLevel="0" collapsed="false">
      <c r="A64" s="133" t="n">
        <v>14</v>
      </c>
      <c r="B64" s="134" t="n">
        <v>-119.12</v>
      </c>
      <c r="C64" s="17" t="n">
        <v>180.97</v>
      </c>
      <c r="D64" s="155" t="n">
        <f aca="false">(C64-MAX(C$50:C$64))</f>
        <v>0</v>
      </c>
      <c r="E64" s="134" t="n">
        <f aca="false">0.5*-233.26</f>
        <v>-116.63</v>
      </c>
      <c r="F64" s="17" t="n">
        <v>488.34</v>
      </c>
      <c r="G64" s="135" t="n">
        <f aca="false">(F64-MAX(F$50:F$64))/2</f>
        <v>0</v>
      </c>
      <c r="H64" s="136" t="n">
        <f aca="false">0.1*-1148.65</f>
        <v>-114.865</v>
      </c>
      <c r="I64" s="17" t="n">
        <v>3009.64</v>
      </c>
      <c r="J64" s="135" t="n">
        <f aca="false">(I64-MAX(I$50:I$64))/10</f>
        <v>0</v>
      </c>
      <c r="K64" s="136" t="n">
        <f aca="false">0.05*-2275.42</f>
        <v>-113.771</v>
      </c>
      <c r="L64" s="17" t="n">
        <v>6470.21</v>
      </c>
      <c r="M64" s="135" t="n">
        <f aca="false">(L64-MAX(L$50:L$64))/20</f>
        <v>0</v>
      </c>
    </row>
  </sheetData>
  <mergeCells count="52">
    <mergeCell ref="A1:O1"/>
    <mergeCell ref="B3:M3"/>
    <mergeCell ref="AL3:AL7"/>
    <mergeCell ref="AM3:AX3"/>
    <mergeCell ref="AY3:BG3"/>
    <mergeCell ref="BH3:BS3"/>
    <mergeCell ref="B4:D4"/>
    <mergeCell ref="E4:G4"/>
    <mergeCell ref="H4:J4"/>
    <mergeCell ref="K4:M4"/>
    <mergeCell ref="AM4:AO4"/>
    <mergeCell ref="AP4:AR4"/>
    <mergeCell ref="AS4:AU4"/>
    <mergeCell ref="AV4:AX4"/>
    <mergeCell ref="AY4:BA4"/>
    <mergeCell ref="BB4:BD4"/>
    <mergeCell ref="BE4:BG4"/>
    <mergeCell ref="BH4:BJ4"/>
    <mergeCell ref="BK4:BM4"/>
    <mergeCell ref="BN4:BP4"/>
    <mergeCell ref="BQ4:BS4"/>
    <mergeCell ref="B5:D5"/>
    <mergeCell ref="E5:G5"/>
    <mergeCell ref="H5:J5"/>
    <mergeCell ref="K5:M5"/>
    <mergeCell ref="B6:D6"/>
    <mergeCell ref="E6:G6"/>
    <mergeCell ref="H6:J6"/>
    <mergeCell ref="K6:M6"/>
    <mergeCell ref="B24:J24"/>
    <mergeCell ref="B25:D25"/>
    <mergeCell ref="E25:G25"/>
    <mergeCell ref="H25:J25"/>
    <mergeCell ref="B26:D26"/>
    <mergeCell ref="E26:G26"/>
    <mergeCell ref="H26:J26"/>
    <mergeCell ref="B27:D27"/>
    <mergeCell ref="E27:G27"/>
    <mergeCell ref="H27:J27"/>
    <mergeCell ref="B45:M45"/>
    <mergeCell ref="B46:D46"/>
    <mergeCell ref="E46:G46"/>
    <mergeCell ref="H46:J46"/>
    <mergeCell ref="K46:M46"/>
    <mergeCell ref="B47:D47"/>
    <mergeCell ref="E47:G47"/>
    <mergeCell ref="H47:J47"/>
    <mergeCell ref="K47:M47"/>
    <mergeCell ref="B48:D48"/>
    <mergeCell ref="E48:G48"/>
    <mergeCell ref="H48:J48"/>
    <mergeCell ref="K48:M48"/>
  </mergeCells>
  <conditionalFormatting sqref="E4">
    <cfRule type="colorScale" priority="2">
      <colorScale>
        <cfvo type="min" val="0"/>
        <cfvo type="percentile" val="50"/>
        <cfvo type="max" val="0"/>
        <color rgb="FF63BE7B"/>
        <color rgb="FFFFEB84"/>
        <color rgb="FFF8696B"/>
      </colorScale>
    </cfRule>
  </conditionalFormatting>
  <conditionalFormatting sqref="B4">
    <cfRule type="colorScale" priority="3">
      <colorScale>
        <cfvo type="min" val="0"/>
        <cfvo type="percentile" val="50"/>
        <cfvo type="max" val="0"/>
        <color rgb="FF63BE7B"/>
        <color rgb="FFFFEB84"/>
        <color rgb="FFF8696B"/>
      </colorScale>
    </cfRule>
  </conditionalFormatting>
  <conditionalFormatting sqref="B25">
    <cfRule type="colorScale" priority="4">
      <colorScale>
        <cfvo type="min" val="0"/>
        <cfvo type="percentile" val="50"/>
        <cfvo type="max" val="0"/>
        <color rgb="FF63BE7B"/>
        <color rgb="FFFFEB84"/>
        <color rgb="FFF8696B"/>
      </colorScale>
    </cfRule>
  </conditionalFormatting>
  <conditionalFormatting sqref="B46">
    <cfRule type="colorScale" priority="5">
      <colorScale>
        <cfvo type="min" val="0"/>
        <cfvo type="percentile" val="50"/>
        <cfvo type="max" val="0"/>
        <color rgb="FF63BE7B"/>
        <color rgb="FFFFEB84"/>
        <color rgb="FFF8696B"/>
      </colorScale>
    </cfRule>
  </conditionalFormatting>
  <conditionalFormatting sqref="AL3">
    <cfRule type="colorScale" priority="6">
      <colorScale>
        <cfvo type="min" val="0"/>
        <cfvo type="percentile" val="50"/>
        <cfvo type="max" val="0"/>
        <color rgb="FF63BE7B"/>
        <color rgb="FFFFEB84"/>
        <color rgb="FFF8696B"/>
      </colorScale>
    </cfRule>
  </conditionalFormatting>
  <conditionalFormatting sqref="AP4:AP6">
    <cfRule type="colorScale" priority="7">
      <colorScale>
        <cfvo type="min" val="0"/>
        <cfvo type="percentile" val="50"/>
        <cfvo type="max" val="0"/>
        <color rgb="FF63BE7B"/>
        <color rgb="FFFFEB84"/>
        <color rgb="FFF8696B"/>
      </colorScale>
    </cfRule>
  </conditionalFormatting>
  <conditionalFormatting sqref="AM4:AM6">
    <cfRule type="colorScale" priority="8">
      <colorScale>
        <cfvo type="min" val="0"/>
        <cfvo type="percentile" val="50"/>
        <cfvo type="max" val="0"/>
        <color rgb="FF63BE7B"/>
        <color rgb="FFFFEB84"/>
        <color rgb="FFF8696B"/>
      </colorScale>
    </cfRule>
  </conditionalFormatting>
  <conditionalFormatting sqref="AY4:AY6">
    <cfRule type="colorScale" priority="9">
      <colorScale>
        <cfvo type="min" val="0"/>
        <cfvo type="percentile" val="50"/>
        <cfvo type="max" val="0"/>
        <color rgb="FF63BE7B"/>
        <color rgb="FFFFEB84"/>
        <color rgb="FFF8696B"/>
      </colorScale>
    </cfRule>
  </conditionalFormatting>
  <conditionalFormatting sqref="BH4:BH6">
    <cfRule type="colorScale" priority="10">
      <colorScale>
        <cfvo type="min" val="0"/>
        <cfvo type="percentile" val="50"/>
        <cfvo type="max" val="0"/>
        <color rgb="FF63BE7B"/>
        <color rgb="FFFFEB84"/>
        <color rgb="FFF8696B"/>
      </colorScale>
    </cfRule>
  </conditionalFormatting>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208</TotalTime>
  <Application>LibreOffice/5.1.6.2$Linux_X86_64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2021-07-02T08:38:17Z</dcterms:created>
  <dc:creator>Jacques-Ph. Colletier</dc:creator>
  <dc:description/>
  <dc:language>fr-FR</dc:language>
  <cp:lastModifiedBy>Irina </cp:lastModifiedBy>
  <cp:lastPrinted>2021-07-15T15:05:30Z</cp:lastPrinted>
  <dcterms:modified xsi:type="dcterms:W3CDTF">2021-12-20T10:52:05Z</dcterms:modified>
  <cp:revision>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