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ncogenetica\Oncogenetica Medewerkers - Employees\Govind\Manuscript\Upload Communications Biology\Revision\Upload\Upload Final Revision\"/>
    </mc:Choice>
  </mc:AlternateContent>
  <bookViews>
    <workbookView xWindow="0" yWindow="0" windowWidth="28800" windowHeight="14100"/>
  </bookViews>
  <sheets>
    <sheet name="ReadMe" sheetId="4" r:id="rId1"/>
    <sheet name="RBBP9-FLAG MS-based Interactome" sheetId="3" r:id="rId2"/>
  </sheets>
  <externalReferences>
    <externalReference r:id="rId3"/>
  </externalReferences>
  <definedNames>
    <definedName name="CompType">'[1]Drop Downs'!$I$4:$I$6</definedName>
    <definedName name="Lanes">'[1]Drop Downs'!$F$4:$F$18</definedName>
    <definedName name="Objective">'[1]Drop Downs'!$C$4:$C$7</definedName>
    <definedName name="Organism">'[1]Drop Downs'!$H$4:$H$6</definedName>
    <definedName name="PreMSProc">'[1]Drop Downs'!$D$4:$D$7</definedName>
    <definedName name="ProcInvolv">'[1]Drop Downs'!$E$4:$E$15</definedName>
    <definedName name="SampleType">'[1]Drop Downs'!$A$4:$A$18</definedName>
    <definedName name="Slices">'[1]Drop Downs'!$G$4:$G$8</definedName>
    <definedName name="Stain">'[1]Drop Downs'!$B$4:$B$5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3" l="1"/>
  <c r="C2" i="3"/>
  <c r="B50" i="3"/>
  <c r="C50" i="3"/>
  <c r="B38" i="3"/>
  <c r="C38" i="3"/>
  <c r="B49" i="3"/>
  <c r="C49" i="3"/>
  <c r="B51" i="3"/>
  <c r="C51" i="3"/>
  <c r="B52" i="3"/>
  <c r="C52" i="3"/>
  <c r="B53" i="3"/>
  <c r="C53" i="3"/>
  <c r="B54" i="3"/>
  <c r="C54" i="3"/>
  <c r="B55" i="3"/>
  <c r="C55" i="3"/>
  <c r="B48" i="3"/>
  <c r="C48" i="3"/>
  <c r="B56" i="3"/>
  <c r="C56" i="3"/>
  <c r="B41" i="3"/>
  <c r="C41" i="3"/>
  <c r="B57" i="3"/>
  <c r="C57" i="3"/>
  <c r="B58" i="3"/>
  <c r="C58" i="3"/>
  <c r="B42" i="3"/>
  <c r="C42" i="3"/>
  <c r="B59" i="3"/>
  <c r="C59" i="3"/>
  <c r="B3" i="3"/>
  <c r="C3" i="3"/>
  <c r="B45" i="3"/>
  <c r="C45" i="3"/>
  <c r="B60" i="3"/>
  <c r="C60" i="3"/>
  <c r="B61" i="3"/>
  <c r="C61" i="3"/>
  <c r="B47" i="3"/>
  <c r="C47" i="3"/>
  <c r="B62" i="3"/>
  <c r="C62" i="3"/>
  <c r="B63" i="3"/>
  <c r="C63" i="3"/>
  <c r="B64" i="3"/>
  <c r="C64" i="3"/>
  <c r="B4" i="3"/>
  <c r="C4" i="3"/>
  <c r="B65" i="3"/>
  <c r="C65" i="3"/>
  <c r="B66" i="3"/>
  <c r="C66" i="3"/>
  <c r="B5" i="3"/>
  <c r="C5" i="3"/>
  <c r="B6" i="3"/>
  <c r="C6" i="3"/>
  <c r="B67" i="3"/>
  <c r="C67" i="3"/>
  <c r="B68" i="3"/>
  <c r="C68" i="3"/>
  <c r="B69" i="3"/>
  <c r="C69" i="3"/>
  <c r="B70" i="3"/>
  <c r="C70" i="3"/>
  <c r="B71" i="3"/>
  <c r="C71" i="3"/>
  <c r="B72" i="3"/>
  <c r="C72" i="3"/>
  <c r="B7" i="3"/>
  <c r="C7" i="3"/>
  <c r="B73" i="3"/>
  <c r="C73" i="3"/>
  <c r="B74" i="3"/>
  <c r="C74" i="3"/>
  <c r="B75" i="3"/>
  <c r="C75" i="3"/>
  <c r="B46" i="3"/>
  <c r="C46" i="3"/>
  <c r="B8" i="3"/>
  <c r="C8" i="3"/>
  <c r="B9" i="3"/>
  <c r="C9" i="3"/>
  <c r="B10" i="3"/>
  <c r="C10" i="3"/>
  <c r="B76" i="3"/>
  <c r="C76" i="3"/>
  <c r="B77" i="3"/>
  <c r="C77" i="3"/>
  <c r="B78" i="3"/>
  <c r="C78" i="3"/>
  <c r="B79" i="3"/>
  <c r="C79" i="3"/>
  <c r="B80" i="3"/>
  <c r="C80" i="3"/>
  <c r="B81" i="3"/>
  <c r="C81" i="3"/>
  <c r="B82" i="3"/>
  <c r="C82" i="3"/>
  <c r="B83" i="3"/>
  <c r="C83" i="3"/>
  <c r="B84" i="3"/>
  <c r="C84" i="3"/>
  <c r="B11" i="3"/>
  <c r="C11" i="3"/>
  <c r="B37" i="3"/>
  <c r="C37" i="3"/>
  <c r="B12" i="3"/>
  <c r="C12" i="3"/>
  <c r="B13" i="3"/>
  <c r="C13" i="3"/>
  <c r="B14" i="3"/>
  <c r="C14" i="3"/>
  <c r="B15" i="3"/>
  <c r="C15" i="3"/>
  <c r="B44" i="3"/>
  <c r="C44" i="3"/>
  <c r="B85" i="3"/>
  <c r="C85" i="3"/>
  <c r="B86" i="3"/>
  <c r="C86" i="3"/>
  <c r="B87" i="3"/>
  <c r="C87" i="3"/>
  <c r="B88" i="3"/>
  <c r="C88" i="3"/>
  <c r="B89" i="3"/>
  <c r="C89" i="3"/>
  <c r="B90" i="3"/>
  <c r="C90" i="3"/>
  <c r="B91" i="3"/>
  <c r="C91" i="3"/>
  <c r="B92" i="3"/>
  <c r="C92" i="3"/>
  <c r="B93" i="3"/>
  <c r="C93" i="3"/>
  <c r="B94" i="3"/>
  <c r="C94" i="3"/>
  <c r="B95" i="3"/>
  <c r="C95" i="3"/>
  <c r="B96" i="3"/>
  <c r="C96" i="3"/>
  <c r="B97" i="3"/>
  <c r="C97" i="3"/>
  <c r="B98" i="3"/>
  <c r="C98" i="3"/>
  <c r="B99" i="3"/>
  <c r="C99" i="3"/>
  <c r="B100" i="3"/>
  <c r="C100" i="3"/>
  <c r="B101" i="3"/>
  <c r="C101" i="3"/>
  <c r="B102" i="3"/>
  <c r="C102" i="3"/>
  <c r="B103" i="3"/>
  <c r="C103" i="3"/>
  <c r="B104" i="3"/>
  <c r="C104" i="3"/>
  <c r="B105" i="3"/>
  <c r="C105" i="3"/>
  <c r="B106" i="3"/>
  <c r="C106" i="3"/>
  <c r="B16" i="3"/>
  <c r="C16" i="3"/>
  <c r="B17" i="3"/>
  <c r="C17" i="3"/>
  <c r="B18" i="3"/>
  <c r="C18" i="3"/>
  <c r="B19" i="3"/>
  <c r="C19" i="3"/>
  <c r="B20" i="3"/>
  <c r="C20" i="3"/>
  <c r="B21" i="3"/>
  <c r="C21" i="3"/>
  <c r="B40" i="3"/>
  <c r="C40" i="3"/>
  <c r="B35" i="3"/>
  <c r="C35" i="3"/>
  <c r="B39" i="3"/>
  <c r="C39" i="3"/>
  <c r="B43" i="3"/>
  <c r="C43" i="3"/>
  <c r="B36" i="3"/>
  <c r="C36" i="3"/>
  <c r="B22" i="3"/>
  <c r="C22" i="3"/>
  <c r="B34" i="3"/>
  <c r="C34" i="3"/>
  <c r="B23" i="3"/>
  <c r="C23" i="3"/>
  <c r="B24" i="3"/>
  <c r="C24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107" i="3"/>
  <c r="C107" i="3"/>
  <c r="B108" i="3"/>
  <c r="C108" i="3"/>
  <c r="B109" i="3"/>
  <c r="C109" i="3"/>
  <c r="B110" i="3"/>
  <c r="C110" i="3"/>
  <c r="B111" i="3"/>
  <c r="C111" i="3"/>
  <c r="B112" i="3"/>
  <c r="C112" i="3"/>
  <c r="B113" i="3"/>
  <c r="C113" i="3"/>
  <c r="B114" i="3"/>
  <c r="C114" i="3"/>
  <c r="B115" i="3"/>
  <c r="C115" i="3"/>
  <c r="B116" i="3"/>
  <c r="C116" i="3"/>
  <c r="B117" i="3"/>
  <c r="C117" i="3"/>
  <c r="B118" i="3"/>
  <c r="C118" i="3"/>
  <c r="B119" i="3"/>
  <c r="C119" i="3"/>
  <c r="B120" i="3"/>
  <c r="C120" i="3"/>
  <c r="B121" i="3"/>
  <c r="C121" i="3"/>
  <c r="B122" i="3"/>
  <c r="C122" i="3"/>
  <c r="B123" i="3"/>
  <c r="C123" i="3"/>
  <c r="B124" i="3"/>
  <c r="C124" i="3"/>
  <c r="B125" i="3"/>
  <c r="C125" i="3"/>
  <c r="B126" i="3"/>
  <c r="C126" i="3"/>
  <c r="B127" i="3"/>
  <c r="C127" i="3"/>
  <c r="B128" i="3"/>
  <c r="C128" i="3"/>
  <c r="B129" i="3"/>
  <c r="C129" i="3"/>
  <c r="B130" i="3"/>
  <c r="C130" i="3"/>
  <c r="B131" i="3"/>
  <c r="C131" i="3"/>
  <c r="B132" i="3"/>
  <c r="C132" i="3"/>
  <c r="B133" i="3"/>
  <c r="C133" i="3"/>
  <c r="B134" i="3"/>
  <c r="C134" i="3"/>
  <c r="B135" i="3"/>
  <c r="C135" i="3"/>
  <c r="B136" i="3"/>
  <c r="C136" i="3"/>
  <c r="B137" i="3"/>
  <c r="C137" i="3"/>
  <c r="B138" i="3"/>
  <c r="C138" i="3"/>
  <c r="B139" i="3"/>
  <c r="C139" i="3"/>
  <c r="B140" i="3"/>
  <c r="C140" i="3"/>
  <c r="B141" i="3"/>
  <c r="C141" i="3"/>
  <c r="B142" i="3"/>
  <c r="C142" i="3"/>
  <c r="B143" i="3"/>
  <c r="C143" i="3"/>
  <c r="B144" i="3"/>
  <c r="C144" i="3"/>
  <c r="B145" i="3"/>
  <c r="C145" i="3"/>
  <c r="B146" i="3"/>
  <c r="C146" i="3"/>
  <c r="B147" i="3"/>
  <c r="C147" i="3"/>
  <c r="B148" i="3"/>
  <c r="C148" i="3"/>
  <c r="B149" i="3"/>
  <c r="C149" i="3"/>
  <c r="B32" i="3"/>
  <c r="C32" i="3"/>
  <c r="B33" i="3"/>
  <c r="C33" i="3"/>
  <c r="B150" i="3"/>
  <c r="C150" i="3"/>
  <c r="B151" i="3"/>
  <c r="C151" i="3"/>
  <c r="B152" i="3"/>
  <c r="C152" i="3"/>
  <c r="B153" i="3"/>
  <c r="C153" i="3"/>
  <c r="B154" i="3"/>
  <c r="C154" i="3"/>
  <c r="B155" i="3"/>
  <c r="C155" i="3"/>
  <c r="B156" i="3"/>
  <c r="C156" i="3"/>
  <c r="B157" i="3"/>
  <c r="C157" i="3"/>
  <c r="B158" i="3"/>
  <c r="C158" i="3"/>
  <c r="B159" i="3"/>
  <c r="C159" i="3"/>
  <c r="B160" i="3"/>
  <c r="C160" i="3"/>
  <c r="B161" i="3"/>
  <c r="C161" i="3"/>
  <c r="B162" i="3"/>
  <c r="C162" i="3"/>
  <c r="B163" i="3"/>
  <c r="C163" i="3"/>
  <c r="B164" i="3"/>
  <c r="C164" i="3"/>
  <c r="B165" i="3"/>
  <c r="C165" i="3"/>
  <c r="B166" i="3"/>
  <c r="C166" i="3"/>
  <c r="B167" i="3"/>
  <c r="C167" i="3"/>
  <c r="B168" i="3"/>
  <c r="C168" i="3"/>
  <c r="B169" i="3"/>
  <c r="C169" i="3"/>
  <c r="B170" i="3"/>
  <c r="C170" i="3"/>
  <c r="B171" i="3"/>
  <c r="C171" i="3"/>
  <c r="B172" i="3"/>
  <c r="C172" i="3"/>
  <c r="B173" i="3"/>
  <c r="C173" i="3"/>
  <c r="B174" i="3"/>
  <c r="C174" i="3"/>
  <c r="B175" i="3"/>
  <c r="C175" i="3"/>
  <c r="B176" i="3"/>
  <c r="C176" i="3"/>
  <c r="B177" i="3"/>
  <c r="C177" i="3"/>
  <c r="B178" i="3"/>
  <c r="C178" i="3"/>
  <c r="B179" i="3"/>
  <c r="C179" i="3"/>
  <c r="B180" i="3"/>
  <c r="C180" i="3"/>
  <c r="B181" i="3"/>
  <c r="C181" i="3"/>
  <c r="B182" i="3"/>
  <c r="C182" i="3"/>
  <c r="B183" i="3"/>
  <c r="C183" i="3"/>
  <c r="B184" i="3"/>
  <c r="C184" i="3"/>
  <c r="B185" i="3"/>
  <c r="C185" i="3"/>
  <c r="B186" i="3"/>
  <c r="C186" i="3"/>
  <c r="B187" i="3"/>
  <c r="C187" i="3"/>
  <c r="B188" i="3"/>
  <c r="C188" i="3"/>
  <c r="B189" i="3"/>
  <c r="C189" i="3"/>
  <c r="B190" i="3"/>
  <c r="C190" i="3"/>
  <c r="B191" i="3"/>
  <c r="C191" i="3"/>
  <c r="B192" i="3"/>
  <c r="C192" i="3"/>
  <c r="B193" i="3"/>
  <c r="C193" i="3"/>
  <c r="B194" i="3"/>
  <c r="C194" i="3"/>
  <c r="B195" i="3"/>
  <c r="C195" i="3"/>
  <c r="B196" i="3"/>
  <c r="C196" i="3"/>
  <c r="B197" i="3"/>
  <c r="C197" i="3"/>
  <c r="B198" i="3"/>
  <c r="C198" i="3"/>
  <c r="B199" i="3"/>
  <c r="C199" i="3"/>
  <c r="B200" i="3"/>
  <c r="C200" i="3"/>
  <c r="B201" i="3"/>
  <c r="C201" i="3"/>
  <c r="B202" i="3"/>
  <c r="C202" i="3"/>
  <c r="B203" i="3"/>
  <c r="C203" i="3"/>
  <c r="B204" i="3"/>
  <c r="C204" i="3"/>
  <c r="B205" i="3"/>
  <c r="C205" i="3"/>
  <c r="B206" i="3"/>
  <c r="C206" i="3"/>
  <c r="B207" i="3"/>
  <c r="C207" i="3"/>
  <c r="B208" i="3"/>
  <c r="C208" i="3"/>
  <c r="B209" i="3"/>
  <c r="C209" i="3"/>
  <c r="B210" i="3"/>
  <c r="C210" i="3"/>
  <c r="B211" i="3"/>
  <c r="C211" i="3"/>
  <c r="B212" i="3"/>
  <c r="C212" i="3"/>
  <c r="B213" i="3"/>
  <c r="C213" i="3"/>
  <c r="B214" i="3"/>
  <c r="C214" i="3"/>
  <c r="B215" i="3"/>
  <c r="C215" i="3"/>
  <c r="B216" i="3"/>
  <c r="C216" i="3"/>
  <c r="B217" i="3"/>
  <c r="C217" i="3"/>
  <c r="B218" i="3"/>
  <c r="C218" i="3"/>
  <c r="B219" i="3"/>
  <c r="C219" i="3"/>
  <c r="B220" i="3"/>
  <c r="C220" i="3"/>
  <c r="B221" i="3"/>
  <c r="C221" i="3"/>
  <c r="B222" i="3"/>
  <c r="C222" i="3"/>
  <c r="B223" i="3"/>
  <c r="C223" i="3"/>
  <c r="B224" i="3"/>
  <c r="C224" i="3"/>
  <c r="B225" i="3"/>
  <c r="C225" i="3"/>
  <c r="B226" i="3"/>
  <c r="C226" i="3"/>
  <c r="B227" i="3"/>
  <c r="C227" i="3"/>
  <c r="B228" i="3"/>
  <c r="C228" i="3"/>
  <c r="B229" i="3"/>
  <c r="C229" i="3"/>
  <c r="B230" i="3"/>
  <c r="C230" i="3"/>
  <c r="B231" i="3"/>
  <c r="C231" i="3"/>
  <c r="B232" i="3"/>
  <c r="C232" i="3"/>
  <c r="B233" i="3"/>
  <c r="C233" i="3"/>
  <c r="B234" i="3"/>
  <c r="C234" i="3"/>
  <c r="B235" i="3"/>
  <c r="C235" i="3"/>
  <c r="B236" i="3"/>
  <c r="C236" i="3"/>
  <c r="B237" i="3"/>
  <c r="C237" i="3"/>
  <c r="B238" i="3"/>
  <c r="C238" i="3"/>
  <c r="B239" i="3"/>
  <c r="C239" i="3"/>
  <c r="B240" i="3"/>
  <c r="C240" i="3"/>
  <c r="B241" i="3"/>
  <c r="C241" i="3"/>
  <c r="B242" i="3"/>
  <c r="C242" i="3"/>
  <c r="B243" i="3"/>
  <c r="C243" i="3"/>
  <c r="B244" i="3"/>
  <c r="C244" i="3"/>
  <c r="B245" i="3"/>
  <c r="C245" i="3"/>
  <c r="B246" i="3"/>
  <c r="C246" i="3"/>
  <c r="B247" i="3"/>
  <c r="C247" i="3"/>
  <c r="B248" i="3"/>
  <c r="C248" i="3"/>
  <c r="B249" i="3"/>
  <c r="C249" i="3"/>
  <c r="B250" i="3"/>
  <c r="C250" i="3"/>
  <c r="B251" i="3"/>
  <c r="C251" i="3"/>
  <c r="B252" i="3"/>
  <c r="C252" i="3"/>
  <c r="B253" i="3"/>
  <c r="C253" i="3"/>
  <c r="B254" i="3"/>
  <c r="C254" i="3"/>
  <c r="B255" i="3"/>
  <c r="C255" i="3"/>
  <c r="B256" i="3"/>
  <c r="C256" i="3"/>
  <c r="B257" i="3"/>
  <c r="C257" i="3"/>
  <c r="B258" i="3"/>
  <c r="C258" i="3"/>
  <c r="B259" i="3"/>
  <c r="C259" i="3"/>
  <c r="B260" i="3"/>
  <c r="C260" i="3"/>
  <c r="B261" i="3"/>
  <c r="C261" i="3"/>
  <c r="B262" i="3"/>
  <c r="C262" i="3"/>
  <c r="B263" i="3"/>
  <c r="C263" i="3"/>
  <c r="B264" i="3"/>
  <c r="C264" i="3"/>
  <c r="B265" i="3"/>
  <c r="C265" i="3"/>
  <c r="B266" i="3"/>
  <c r="C266" i="3"/>
  <c r="B267" i="3"/>
  <c r="C267" i="3"/>
  <c r="B268" i="3"/>
  <c r="C268" i="3"/>
  <c r="B269" i="3"/>
  <c r="C269" i="3"/>
  <c r="B270" i="3"/>
  <c r="C270" i="3"/>
  <c r="B271" i="3"/>
  <c r="C271" i="3"/>
  <c r="B272" i="3"/>
  <c r="C272" i="3"/>
  <c r="B273" i="3"/>
  <c r="C273" i="3"/>
  <c r="B274" i="3"/>
  <c r="C274" i="3"/>
  <c r="B275" i="3"/>
  <c r="C275" i="3"/>
  <c r="B276" i="3"/>
  <c r="C276" i="3"/>
  <c r="B277" i="3"/>
  <c r="C277" i="3"/>
  <c r="B278" i="3"/>
  <c r="C278" i="3"/>
  <c r="B279" i="3"/>
  <c r="C279" i="3"/>
  <c r="B280" i="3"/>
  <c r="C280" i="3"/>
  <c r="B281" i="3"/>
  <c r="C281" i="3"/>
  <c r="B282" i="3"/>
  <c r="C282" i="3"/>
  <c r="B283" i="3"/>
  <c r="C283" i="3"/>
  <c r="B284" i="3"/>
  <c r="C284" i="3"/>
  <c r="B285" i="3"/>
  <c r="C285" i="3"/>
  <c r="B286" i="3"/>
  <c r="C286" i="3"/>
  <c r="B287" i="3"/>
  <c r="C287" i="3"/>
  <c r="B288" i="3"/>
  <c r="C288" i="3"/>
  <c r="B289" i="3"/>
  <c r="C289" i="3"/>
  <c r="B290" i="3"/>
  <c r="C290" i="3"/>
  <c r="B291" i="3"/>
  <c r="C291" i="3"/>
  <c r="B292" i="3"/>
  <c r="C292" i="3"/>
  <c r="B293" i="3"/>
  <c r="C293" i="3"/>
  <c r="B294" i="3"/>
  <c r="C294" i="3"/>
  <c r="B295" i="3"/>
  <c r="C295" i="3"/>
  <c r="B296" i="3"/>
  <c r="C296" i="3"/>
  <c r="B297" i="3"/>
  <c r="C297" i="3"/>
  <c r="B298" i="3"/>
  <c r="C298" i="3"/>
  <c r="B299" i="3"/>
  <c r="C299" i="3"/>
  <c r="B300" i="3"/>
  <c r="C300" i="3"/>
  <c r="B301" i="3"/>
  <c r="C301" i="3"/>
  <c r="B302" i="3"/>
  <c r="C302" i="3"/>
  <c r="B303" i="3"/>
  <c r="C303" i="3"/>
  <c r="B304" i="3"/>
  <c r="C304" i="3"/>
  <c r="B305" i="3"/>
  <c r="C305" i="3"/>
  <c r="B306" i="3"/>
  <c r="C306" i="3"/>
  <c r="B307" i="3"/>
  <c r="C307" i="3"/>
  <c r="B308" i="3"/>
  <c r="C308" i="3"/>
  <c r="B309" i="3"/>
  <c r="C309" i="3"/>
  <c r="B310" i="3"/>
  <c r="C310" i="3"/>
  <c r="B311" i="3"/>
  <c r="C311" i="3"/>
  <c r="B312" i="3"/>
  <c r="C312" i="3"/>
  <c r="B313" i="3"/>
  <c r="C313" i="3"/>
  <c r="B314" i="3"/>
  <c r="C314" i="3"/>
  <c r="B315" i="3"/>
  <c r="C315" i="3"/>
  <c r="B316" i="3"/>
  <c r="C316" i="3"/>
  <c r="B317" i="3"/>
  <c r="C317" i="3"/>
  <c r="B318" i="3"/>
  <c r="C318" i="3"/>
  <c r="B319" i="3"/>
  <c r="C319" i="3"/>
  <c r="B320" i="3"/>
  <c r="C320" i="3"/>
  <c r="B321" i="3"/>
  <c r="C321" i="3"/>
  <c r="B322" i="3"/>
  <c r="C322" i="3"/>
  <c r="B323" i="3"/>
  <c r="C323" i="3"/>
  <c r="B324" i="3"/>
  <c r="C324" i="3"/>
  <c r="B325" i="3"/>
  <c r="C325" i="3"/>
  <c r="B326" i="3"/>
  <c r="C326" i="3"/>
  <c r="B327" i="3"/>
  <c r="C327" i="3"/>
  <c r="B328" i="3"/>
  <c r="C328" i="3"/>
  <c r="B329" i="3"/>
  <c r="C329" i="3"/>
  <c r="B330" i="3"/>
  <c r="C330" i="3"/>
  <c r="B331" i="3"/>
  <c r="C331" i="3"/>
  <c r="B332" i="3"/>
  <c r="C332" i="3"/>
  <c r="B333" i="3"/>
  <c r="C333" i="3"/>
  <c r="B334" i="3"/>
  <c r="C334" i="3"/>
  <c r="B335" i="3"/>
  <c r="C335" i="3"/>
  <c r="B336" i="3"/>
  <c r="C336" i="3"/>
  <c r="B337" i="3"/>
  <c r="C337" i="3"/>
  <c r="B338" i="3"/>
  <c r="C338" i="3"/>
  <c r="B339" i="3"/>
  <c r="C339" i="3"/>
  <c r="B340" i="3"/>
  <c r="C340" i="3"/>
  <c r="B341" i="3"/>
  <c r="C341" i="3"/>
  <c r="B342" i="3"/>
  <c r="C342" i="3"/>
  <c r="B343" i="3"/>
  <c r="C343" i="3"/>
  <c r="B344" i="3"/>
  <c r="C344" i="3"/>
  <c r="B345" i="3"/>
  <c r="C345" i="3"/>
  <c r="B346" i="3"/>
  <c r="C346" i="3"/>
  <c r="B347" i="3"/>
  <c r="C347" i="3"/>
  <c r="B348" i="3"/>
  <c r="C348" i="3"/>
  <c r="B349" i="3"/>
  <c r="C349" i="3"/>
  <c r="B350" i="3"/>
  <c r="C350" i="3"/>
  <c r="B351" i="3"/>
  <c r="C351" i="3"/>
  <c r="B352" i="3"/>
  <c r="C352" i="3"/>
  <c r="B353" i="3"/>
  <c r="C353" i="3"/>
  <c r="B354" i="3"/>
  <c r="C354" i="3"/>
  <c r="B355" i="3"/>
  <c r="C355" i="3"/>
  <c r="B356" i="3"/>
  <c r="C356" i="3"/>
  <c r="B357" i="3"/>
  <c r="C357" i="3"/>
  <c r="B358" i="3"/>
  <c r="C358" i="3"/>
  <c r="B359" i="3"/>
  <c r="C359" i="3"/>
  <c r="B360" i="3"/>
  <c r="C360" i="3"/>
  <c r="B361" i="3"/>
  <c r="C361" i="3"/>
  <c r="B362" i="3"/>
  <c r="C362" i="3"/>
  <c r="B363" i="3"/>
  <c r="C363" i="3"/>
  <c r="B364" i="3"/>
  <c r="C364" i="3"/>
  <c r="B365" i="3"/>
  <c r="C365" i="3"/>
  <c r="B366" i="3"/>
  <c r="C366" i="3"/>
  <c r="B367" i="3"/>
  <c r="C367" i="3"/>
  <c r="B368" i="3"/>
  <c r="C368" i="3"/>
  <c r="B369" i="3"/>
  <c r="C369" i="3"/>
  <c r="B370" i="3"/>
  <c r="C370" i="3"/>
  <c r="B371" i="3"/>
  <c r="C371" i="3"/>
  <c r="B372" i="3"/>
  <c r="C372" i="3"/>
  <c r="B373" i="3"/>
  <c r="C373" i="3"/>
  <c r="B374" i="3"/>
  <c r="C374" i="3"/>
  <c r="B375" i="3"/>
  <c r="C375" i="3"/>
  <c r="B376" i="3"/>
  <c r="C376" i="3"/>
  <c r="B377" i="3"/>
  <c r="C377" i="3"/>
  <c r="B378" i="3"/>
  <c r="C378" i="3"/>
  <c r="B379" i="3"/>
  <c r="C379" i="3"/>
  <c r="B380" i="3"/>
  <c r="C380" i="3"/>
  <c r="B381" i="3"/>
  <c r="C381" i="3"/>
  <c r="B382" i="3"/>
  <c r="C382" i="3"/>
  <c r="B383" i="3"/>
  <c r="C383" i="3"/>
  <c r="B384" i="3"/>
  <c r="C384" i="3"/>
  <c r="B385" i="3"/>
  <c r="C385" i="3"/>
  <c r="B386" i="3"/>
  <c r="C386" i="3"/>
  <c r="B387" i="3"/>
  <c r="C387" i="3"/>
  <c r="B388" i="3"/>
  <c r="C388" i="3"/>
  <c r="B389" i="3"/>
  <c r="C389" i="3"/>
  <c r="B390" i="3"/>
  <c r="C390" i="3"/>
  <c r="B391" i="3"/>
  <c r="C391" i="3"/>
  <c r="B392" i="3"/>
  <c r="C392" i="3"/>
  <c r="B393" i="3"/>
  <c r="C393" i="3"/>
  <c r="B394" i="3"/>
  <c r="C394" i="3"/>
  <c r="B395" i="3"/>
  <c r="C395" i="3"/>
  <c r="B396" i="3"/>
  <c r="C396" i="3"/>
  <c r="B397" i="3"/>
  <c r="C397" i="3"/>
  <c r="B398" i="3"/>
  <c r="C398" i="3"/>
  <c r="B399" i="3"/>
  <c r="C399" i="3"/>
  <c r="B400" i="3"/>
  <c r="C400" i="3"/>
  <c r="B401" i="3"/>
  <c r="C401" i="3"/>
  <c r="B402" i="3"/>
  <c r="C402" i="3"/>
  <c r="B403" i="3"/>
  <c r="C403" i="3"/>
  <c r="B404" i="3"/>
  <c r="C404" i="3"/>
  <c r="B405" i="3"/>
  <c r="C405" i="3"/>
  <c r="B406" i="3"/>
  <c r="C406" i="3"/>
  <c r="B407" i="3"/>
  <c r="C407" i="3"/>
  <c r="B408" i="3"/>
  <c r="C408" i="3"/>
  <c r="B409" i="3"/>
  <c r="C409" i="3"/>
  <c r="B410" i="3"/>
  <c r="C410" i="3"/>
  <c r="B411" i="3"/>
  <c r="C411" i="3"/>
  <c r="B412" i="3"/>
  <c r="C412" i="3"/>
  <c r="B413" i="3"/>
  <c r="C413" i="3"/>
  <c r="B414" i="3"/>
  <c r="C414" i="3"/>
  <c r="B415" i="3"/>
  <c r="C415" i="3"/>
  <c r="B416" i="3"/>
  <c r="C416" i="3"/>
  <c r="B417" i="3"/>
  <c r="C417" i="3"/>
  <c r="B418" i="3"/>
  <c r="C418" i="3"/>
  <c r="B419" i="3"/>
  <c r="C419" i="3"/>
  <c r="B420" i="3"/>
  <c r="C420" i="3"/>
  <c r="B421" i="3"/>
  <c r="C421" i="3"/>
  <c r="B422" i="3"/>
  <c r="C422" i="3"/>
  <c r="B423" i="3"/>
  <c r="C423" i="3"/>
  <c r="B424" i="3"/>
  <c r="C424" i="3"/>
  <c r="B425" i="3"/>
  <c r="C425" i="3"/>
  <c r="B426" i="3"/>
  <c r="C426" i="3"/>
  <c r="B427" i="3"/>
  <c r="C427" i="3"/>
  <c r="B428" i="3"/>
  <c r="C428" i="3"/>
  <c r="B429" i="3"/>
  <c r="C429" i="3"/>
  <c r="B430" i="3"/>
  <c r="C430" i="3"/>
  <c r="B431" i="3"/>
  <c r="C431" i="3"/>
  <c r="B432" i="3"/>
  <c r="C432" i="3"/>
  <c r="B433" i="3"/>
  <c r="C433" i="3"/>
  <c r="B434" i="3"/>
  <c r="C434" i="3"/>
  <c r="B435" i="3"/>
  <c r="C435" i="3"/>
  <c r="B436" i="3"/>
  <c r="C436" i="3"/>
  <c r="B437" i="3"/>
  <c r="C437" i="3"/>
  <c r="B438" i="3"/>
  <c r="C438" i="3"/>
  <c r="B439" i="3"/>
  <c r="C439" i="3"/>
  <c r="B440" i="3"/>
  <c r="C440" i="3"/>
  <c r="B441" i="3"/>
  <c r="C441" i="3"/>
  <c r="B442" i="3"/>
  <c r="C442" i="3"/>
  <c r="B443" i="3"/>
  <c r="C443" i="3"/>
  <c r="B444" i="3"/>
  <c r="C444" i="3"/>
  <c r="B445" i="3"/>
  <c r="C445" i="3"/>
  <c r="B446" i="3"/>
  <c r="C446" i="3"/>
  <c r="B447" i="3"/>
  <c r="C447" i="3"/>
  <c r="B448" i="3"/>
  <c r="C448" i="3"/>
  <c r="B449" i="3"/>
  <c r="C449" i="3"/>
  <c r="B450" i="3"/>
  <c r="C450" i="3"/>
  <c r="B451" i="3"/>
  <c r="C451" i="3"/>
  <c r="B452" i="3"/>
  <c r="C452" i="3"/>
  <c r="B453" i="3"/>
  <c r="C453" i="3"/>
  <c r="B454" i="3"/>
  <c r="C454" i="3"/>
  <c r="B455" i="3"/>
  <c r="C455" i="3"/>
  <c r="B456" i="3"/>
  <c r="C456" i="3"/>
  <c r="B457" i="3"/>
  <c r="C457" i="3"/>
  <c r="B458" i="3"/>
  <c r="C458" i="3"/>
  <c r="B459" i="3"/>
  <c r="C459" i="3"/>
  <c r="B460" i="3"/>
  <c r="C460" i="3"/>
  <c r="B461" i="3"/>
  <c r="C461" i="3"/>
  <c r="B462" i="3"/>
  <c r="C462" i="3"/>
  <c r="B463" i="3"/>
  <c r="C463" i="3"/>
  <c r="B464" i="3"/>
  <c r="C464" i="3"/>
  <c r="B465" i="3"/>
  <c r="C465" i="3"/>
  <c r="B466" i="3"/>
  <c r="C466" i="3"/>
  <c r="B467" i="3"/>
  <c r="C467" i="3"/>
  <c r="B468" i="3"/>
  <c r="C468" i="3"/>
  <c r="B469" i="3"/>
  <c r="C469" i="3"/>
  <c r="B470" i="3"/>
  <c r="C470" i="3"/>
  <c r="B471" i="3"/>
  <c r="C471" i="3"/>
  <c r="B472" i="3"/>
  <c r="C472" i="3"/>
  <c r="B473" i="3"/>
  <c r="C473" i="3"/>
  <c r="B474" i="3"/>
  <c r="C474" i="3"/>
  <c r="B475" i="3"/>
  <c r="C475" i="3"/>
  <c r="B476" i="3"/>
  <c r="C476" i="3"/>
  <c r="B477" i="3"/>
  <c r="C477" i="3"/>
  <c r="B478" i="3"/>
  <c r="C478" i="3"/>
  <c r="B479" i="3"/>
  <c r="C479" i="3"/>
  <c r="B480" i="3"/>
  <c r="C480" i="3"/>
  <c r="B481" i="3"/>
  <c r="C481" i="3"/>
  <c r="B482" i="3"/>
  <c r="C482" i="3"/>
  <c r="B483" i="3"/>
  <c r="C483" i="3"/>
  <c r="B484" i="3"/>
  <c r="C484" i="3"/>
  <c r="B485" i="3"/>
  <c r="C485" i="3"/>
  <c r="B486" i="3"/>
  <c r="C486" i="3"/>
  <c r="B487" i="3"/>
  <c r="C487" i="3"/>
  <c r="B488" i="3"/>
  <c r="C488" i="3"/>
  <c r="B489" i="3"/>
  <c r="C489" i="3"/>
  <c r="B490" i="3"/>
  <c r="C490" i="3"/>
  <c r="B491" i="3"/>
  <c r="C491" i="3"/>
  <c r="B492" i="3"/>
  <c r="C492" i="3"/>
  <c r="B493" i="3"/>
  <c r="C493" i="3"/>
  <c r="B494" i="3"/>
  <c r="C494" i="3"/>
  <c r="B495" i="3"/>
  <c r="C495" i="3"/>
  <c r="B496" i="3"/>
  <c r="C496" i="3"/>
  <c r="B497" i="3"/>
  <c r="C497" i="3"/>
  <c r="B498" i="3"/>
  <c r="C498" i="3"/>
  <c r="B499" i="3"/>
  <c r="C499" i="3"/>
  <c r="B500" i="3"/>
  <c r="C500" i="3"/>
  <c r="B501" i="3"/>
  <c r="C501" i="3"/>
  <c r="B502" i="3"/>
  <c r="C502" i="3"/>
  <c r="B503" i="3"/>
  <c r="C503" i="3"/>
  <c r="B504" i="3"/>
  <c r="C504" i="3"/>
  <c r="B505" i="3"/>
  <c r="C505" i="3"/>
  <c r="B506" i="3"/>
  <c r="C506" i="3"/>
  <c r="B507" i="3"/>
  <c r="C507" i="3"/>
  <c r="B508" i="3"/>
  <c r="C508" i="3"/>
  <c r="B509" i="3"/>
  <c r="C509" i="3"/>
  <c r="B510" i="3"/>
  <c r="C510" i="3"/>
  <c r="B511" i="3"/>
  <c r="C511" i="3"/>
  <c r="B512" i="3"/>
  <c r="C512" i="3"/>
  <c r="B513" i="3"/>
  <c r="C513" i="3"/>
  <c r="B514" i="3"/>
  <c r="C514" i="3"/>
  <c r="B515" i="3"/>
  <c r="C515" i="3"/>
  <c r="B516" i="3"/>
  <c r="C516" i="3"/>
  <c r="B517" i="3"/>
  <c r="C517" i="3"/>
  <c r="B518" i="3"/>
  <c r="C518" i="3"/>
  <c r="B519" i="3"/>
  <c r="C519" i="3"/>
  <c r="B520" i="3"/>
  <c r="C520" i="3"/>
  <c r="B521" i="3"/>
  <c r="C521" i="3"/>
  <c r="B522" i="3"/>
  <c r="C522" i="3"/>
  <c r="B523" i="3"/>
  <c r="C523" i="3"/>
  <c r="B524" i="3"/>
  <c r="C524" i="3"/>
  <c r="B525" i="3"/>
  <c r="C525" i="3"/>
  <c r="B526" i="3"/>
  <c r="C526" i="3"/>
  <c r="B527" i="3"/>
  <c r="C527" i="3"/>
  <c r="B528" i="3"/>
  <c r="C528" i="3"/>
  <c r="B529" i="3"/>
  <c r="C529" i="3"/>
  <c r="B530" i="3"/>
  <c r="C530" i="3"/>
  <c r="B531" i="3"/>
  <c r="C531" i="3"/>
  <c r="B532" i="3"/>
  <c r="C532" i="3"/>
  <c r="B533" i="3"/>
  <c r="C533" i="3"/>
  <c r="B534" i="3"/>
  <c r="C534" i="3"/>
  <c r="B535" i="3"/>
  <c r="C535" i="3"/>
  <c r="B536" i="3"/>
  <c r="C536" i="3"/>
  <c r="B537" i="3"/>
  <c r="C537" i="3"/>
  <c r="B538" i="3"/>
  <c r="C538" i="3"/>
  <c r="B539" i="3"/>
  <c r="C539" i="3"/>
  <c r="B540" i="3"/>
  <c r="C540" i="3"/>
  <c r="B541" i="3"/>
  <c r="C541" i="3"/>
  <c r="B542" i="3"/>
  <c r="C542" i="3"/>
  <c r="B543" i="3"/>
  <c r="C543" i="3"/>
  <c r="B544" i="3"/>
  <c r="C544" i="3"/>
  <c r="B545" i="3"/>
  <c r="C545" i="3"/>
  <c r="B546" i="3"/>
  <c r="C546" i="3"/>
  <c r="B547" i="3"/>
  <c r="C547" i="3"/>
  <c r="B548" i="3"/>
  <c r="C548" i="3"/>
  <c r="B549" i="3"/>
  <c r="C549" i="3"/>
  <c r="B550" i="3"/>
  <c r="C550" i="3"/>
  <c r="B551" i="3"/>
  <c r="C551" i="3"/>
  <c r="B552" i="3"/>
  <c r="C552" i="3"/>
  <c r="B553" i="3"/>
  <c r="C553" i="3"/>
  <c r="B554" i="3"/>
  <c r="C554" i="3"/>
  <c r="B555" i="3"/>
  <c r="C555" i="3"/>
  <c r="B556" i="3"/>
  <c r="C556" i="3"/>
  <c r="B557" i="3"/>
  <c r="C557" i="3"/>
  <c r="B558" i="3"/>
  <c r="C558" i="3"/>
  <c r="B559" i="3"/>
  <c r="C559" i="3"/>
  <c r="B560" i="3"/>
  <c r="C560" i="3"/>
  <c r="B561" i="3"/>
  <c r="C561" i="3"/>
  <c r="B562" i="3"/>
  <c r="C562" i="3"/>
  <c r="B563" i="3"/>
  <c r="C563" i="3"/>
  <c r="B564" i="3"/>
  <c r="C564" i="3"/>
  <c r="B565" i="3"/>
  <c r="C565" i="3"/>
  <c r="B566" i="3"/>
  <c r="C566" i="3"/>
  <c r="B567" i="3"/>
  <c r="C567" i="3"/>
  <c r="B568" i="3"/>
  <c r="C568" i="3"/>
  <c r="B569" i="3"/>
  <c r="C569" i="3"/>
  <c r="B570" i="3"/>
  <c r="C570" i="3"/>
  <c r="B571" i="3"/>
  <c r="C571" i="3"/>
  <c r="B572" i="3"/>
  <c r="C572" i="3"/>
  <c r="B573" i="3"/>
  <c r="C573" i="3"/>
  <c r="B574" i="3"/>
  <c r="C574" i="3"/>
  <c r="B575" i="3"/>
  <c r="C575" i="3"/>
  <c r="B576" i="3"/>
  <c r="C576" i="3"/>
  <c r="B577" i="3"/>
  <c r="C577" i="3"/>
  <c r="B578" i="3"/>
  <c r="C578" i="3"/>
  <c r="B579" i="3"/>
  <c r="C579" i="3"/>
  <c r="B580" i="3"/>
  <c r="C580" i="3"/>
  <c r="B581" i="3"/>
  <c r="C581" i="3"/>
  <c r="B582" i="3"/>
  <c r="C582" i="3"/>
  <c r="B583" i="3"/>
  <c r="C583" i="3"/>
  <c r="B584" i="3"/>
  <c r="C584" i="3"/>
  <c r="B585" i="3"/>
  <c r="C585" i="3"/>
  <c r="B586" i="3"/>
  <c r="C586" i="3"/>
  <c r="B587" i="3"/>
  <c r="C587" i="3"/>
  <c r="B588" i="3"/>
  <c r="C588" i="3"/>
  <c r="B589" i="3"/>
  <c r="C589" i="3"/>
  <c r="B590" i="3"/>
  <c r="C590" i="3"/>
  <c r="B591" i="3"/>
  <c r="C591" i="3"/>
  <c r="B592" i="3"/>
  <c r="C592" i="3"/>
  <c r="B593" i="3"/>
  <c r="C593" i="3"/>
  <c r="B594" i="3"/>
  <c r="C594" i="3"/>
  <c r="B595" i="3"/>
  <c r="C595" i="3"/>
  <c r="B596" i="3"/>
  <c r="C596" i="3"/>
  <c r="B597" i="3"/>
  <c r="C597" i="3"/>
  <c r="B598" i="3"/>
  <c r="C598" i="3"/>
  <c r="B599" i="3"/>
  <c r="C599" i="3"/>
  <c r="B600" i="3"/>
  <c r="C600" i="3"/>
  <c r="B601" i="3"/>
  <c r="C601" i="3"/>
  <c r="B602" i="3"/>
  <c r="C602" i="3"/>
  <c r="B603" i="3"/>
  <c r="C603" i="3"/>
  <c r="B604" i="3"/>
  <c r="C604" i="3"/>
  <c r="B605" i="3"/>
  <c r="C605" i="3"/>
  <c r="B606" i="3"/>
  <c r="C606" i="3"/>
  <c r="B607" i="3"/>
  <c r="C607" i="3"/>
  <c r="B608" i="3"/>
  <c r="C608" i="3"/>
  <c r="B609" i="3"/>
  <c r="C609" i="3"/>
  <c r="B610" i="3"/>
  <c r="C610" i="3"/>
  <c r="B611" i="3"/>
  <c r="C611" i="3"/>
  <c r="B612" i="3"/>
  <c r="C612" i="3"/>
  <c r="B613" i="3"/>
  <c r="C613" i="3"/>
  <c r="B614" i="3"/>
  <c r="C614" i="3"/>
  <c r="B615" i="3"/>
  <c r="C615" i="3"/>
  <c r="B616" i="3"/>
  <c r="C616" i="3"/>
  <c r="B617" i="3"/>
  <c r="C617" i="3"/>
  <c r="B618" i="3"/>
  <c r="C618" i="3"/>
  <c r="B619" i="3"/>
  <c r="C619" i="3"/>
  <c r="B620" i="3"/>
  <c r="C620" i="3"/>
  <c r="B621" i="3"/>
  <c r="C621" i="3"/>
  <c r="B622" i="3"/>
  <c r="C622" i="3"/>
  <c r="B623" i="3"/>
  <c r="C623" i="3"/>
  <c r="B624" i="3"/>
  <c r="C624" i="3"/>
  <c r="B625" i="3"/>
  <c r="C625" i="3"/>
  <c r="B626" i="3"/>
  <c r="C626" i="3"/>
  <c r="B627" i="3"/>
  <c r="C627" i="3"/>
  <c r="B628" i="3"/>
  <c r="C628" i="3"/>
  <c r="B629" i="3"/>
  <c r="C629" i="3"/>
  <c r="B630" i="3"/>
  <c r="C630" i="3"/>
  <c r="B631" i="3"/>
  <c r="C631" i="3"/>
  <c r="B632" i="3"/>
  <c r="C632" i="3"/>
  <c r="B633" i="3"/>
  <c r="C633" i="3"/>
  <c r="B634" i="3"/>
  <c r="C634" i="3"/>
  <c r="B635" i="3"/>
  <c r="C635" i="3"/>
  <c r="B636" i="3"/>
  <c r="C636" i="3"/>
  <c r="B637" i="3"/>
  <c r="C637" i="3"/>
  <c r="B638" i="3"/>
  <c r="C638" i="3"/>
  <c r="B639" i="3"/>
  <c r="C639" i="3"/>
  <c r="B640" i="3"/>
  <c r="C640" i="3"/>
  <c r="B641" i="3"/>
  <c r="C641" i="3"/>
  <c r="B642" i="3"/>
  <c r="C642" i="3"/>
  <c r="B643" i="3"/>
  <c r="C643" i="3"/>
  <c r="B644" i="3"/>
  <c r="C644" i="3"/>
  <c r="B645" i="3"/>
  <c r="C645" i="3"/>
  <c r="B646" i="3"/>
  <c r="C646" i="3"/>
  <c r="B647" i="3"/>
  <c r="C647" i="3"/>
  <c r="B648" i="3"/>
  <c r="C648" i="3"/>
  <c r="B649" i="3"/>
  <c r="C649" i="3"/>
  <c r="B650" i="3"/>
  <c r="C650" i="3"/>
  <c r="B651" i="3"/>
  <c r="C651" i="3"/>
  <c r="B652" i="3"/>
  <c r="C652" i="3"/>
  <c r="B653" i="3"/>
  <c r="C653" i="3"/>
  <c r="B654" i="3"/>
  <c r="C654" i="3"/>
  <c r="B655" i="3"/>
  <c r="C655" i="3"/>
  <c r="B656" i="3"/>
  <c r="C656" i="3"/>
  <c r="B657" i="3"/>
  <c r="C657" i="3"/>
  <c r="B658" i="3"/>
  <c r="C658" i="3"/>
  <c r="B659" i="3"/>
  <c r="C659" i="3"/>
  <c r="B660" i="3"/>
  <c r="C660" i="3"/>
  <c r="B661" i="3"/>
  <c r="C661" i="3"/>
  <c r="B662" i="3"/>
  <c r="C662" i="3"/>
  <c r="B663" i="3"/>
  <c r="C663" i="3"/>
  <c r="B664" i="3"/>
  <c r="C664" i="3"/>
  <c r="B665" i="3"/>
  <c r="C665" i="3"/>
  <c r="B666" i="3"/>
  <c r="C666" i="3"/>
  <c r="B667" i="3"/>
  <c r="C667" i="3"/>
  <c r="B668" i="3"/>
  <c r="C668" i="3"/>
  <c r="B669" i="3"/>
  <c r="C669" i="3"/>
  <c r="B670" i="3"/>
  <c r="C670" i="3"/>
  <c r="B671" i="3"/>
  <c r="C671" i="3"/>
  <c r="B672" i="3"/>
  <c r="C672" i="3"/>
  <c r="B673" i="3"/>
  <c r="C673" i="3"/>
  <c r="B674" i="3"/>
  <c r="C674" i="3"/>
  <c r="B675" i="3"/>
  <c r="C675" i="3"/>
  <c r="B676" i="3"/>
  <c r="C676" i="3"/>
  <c r="B677" i="3"/>
  <c r="C677" i="3"/>
  <c r="B678" i="3"/>
  <c r="C678" i="3"/>
  <c r="B679" i="3"/>
  <c r="C679" i="3"/>
  <c r="B680" i="3"/>
  <c r="C680" i="3"/>
  <c r="B681" i="3"/>
  <c r="C681" i="3"/>
  <c r="B682" i="3"/>
  <c r="C682" i="3"/>
  <c r="B683" i="3"/>
  <c r="C683" i="3"/>
  <c r="B684" i="3"/>
  <c r="C684" i="3"/>
  <c r="B685" i="3"/>
  <c r="C685" i="3"/>
  <c r="B686" i="3"/>
  <c r="C686" i="3"/>
  <c r="B687" i="3"/>
  <c r="C687" i="3"/>
  <c r="B688" i="3"/>
  <c r="C688" i="3"/>
  <c r="B689" i="3"/>
  <c r="C689" i="3"/>
  <c r="B690" i="3"/>
  <c r="C690" i="3"/>
  <c r="B691" i="3"/>
  <c r="C691" i="3"/>
  <c r="B692" i="3"/>
  <c r="C692" i="3"/>
  <c r="B693" i="3"/>
  <c r="C693" i="3"/>
  <c r="B694" i="3"/>
  <c r="C694" i="3"/>
  <c r="B695" i="3"/>
  <c r="C695" i="3"/>
  <c r="B696" i="3"/>
  <c r="C696" i="3"/>
  <c r="B697" i="3"/>
  <c r="C697" i="3"/>
  <c r="B698" i="3"/>
  <c r="C698" i="3"/>
  <c r="B699" i="3"/>
  <c r="C699" i="3"/>
  <c r="B700" i="3"/>
  <c r="C700" i="3"/>
  <c r="B701" i="3"/>
  <c r="C701" i="3"/>
  <c r="B702" i="3"/>
  <c r="C702" i="3"/>
  <c r="B703" i="3"/>
  <c r="C703" i="3"/>
  <c r="B704" i="3"/>
  <c r="C704" i="3"/>
  <c r="B705" i="3"/>
  <c r="C705" i="3"/>
  <c r="B706" i="3"/>
  <c r="C706" i="3"/>
  <c r="B707" i="3"/>
  <c r="C707" i="3"/>
  <c r="B708" i="3"/>
  <c r="C708" i="3"/>
  <c r="B709" i="3"/>
  <c r="C709" i="3"/>
  <c r="B710" i="3"/>
  <c r="C710" i="3"/>
  <c r="B711" i="3"/>
  <c r="C711" i="3"/>
  <c r="B712" i="3"/>
  <c r="C712" i="3"/>
  <c r="B713" i="3"/>
  <c r="C713" i="3"/>
  <c r="B714" i="3"/>
  <c r="C714" i="3"/>
  <c r="B715" i="3"/>
  <c r="C715" i="3"/>
  <c r="B716" i="3"/>
  <c r="C716" i="3"/>
  <c r="B717" i="3"/>
  <c r="C717" i="3"/>
  <c r="B718" i="3"/>
  <c r="C718" i="3"/>
  <c r="B719" i="3"/>
  <c r="C719" i="3"/>
  <c r="B720" i="3"/>
  <c r="C720" i="3"/>
  <c r="B721" i="3"/>
  <c r="C721" i="3"/>
  <c r="B722" i="3"/>
  <c r="C722" i="3"/>
  <c r="B723" i="3"/>
  <c r="C723" i="3"/>
  <c r="B724" i="3"/>
  <c r="C724" i="3"/>
  <c r="B725" i="3"/>
  <c r="C725" i="3"/>
  <c r="B726" i="3"/>
  <c r="C726" i="3"/>
  <c r="B727" i="3"/>
  <c r="C727" i="3"/>
  <c r="B728" i="3"/>
  <c r="C728" i="3"/>
  <c r="B729" i="3"/>
  <c r="C729" i="3"/>
  <c r="B730" i="3"/>
  <c r="C730" i="3"/>
  <c r="B731" i="3"/>
  <c r="C731" i="3"/>
  <c r="B732" i="3"/>
  <c r="C732" i="3"/>
  <c r="B733" i="3"/>
  <c r="C733" i="3"/>
  <c r="B734" i="3"/>
  <c r="C734" i="3"/>
  <c r="B735" i="3"/>
  <c r="C735" i="3"/>
  <c r="B736" i="3"/>
  <c r="C736" i="3"/>
  <c r="B737" i="3"/>
  <c r="C737" i="3"/>
  <c r="B738" i="3"/>
  <c r="C738" i="3"/>
  <c r="B739" i="3"/>
  <c r="C739" i="3"/>
  <c r="B740" i="3"/>
  <c r="C740" i="3"/>
  <c r="B741" i="3"/>
  <c r="C741" i="3"/>
  <c r="B742" i="3"/>
  <c r="C742" i="3"/>
  <c r="B743" i="3"/>
  <c r="C743" i="3"/>
  <c r="B744" i="3"/>
  <c r="C744" i="3"/>
  <c r="B745" i="3"/>
  <c r="C745" i="3"/>
  <c r="B746" i="3"/>
  <c r="C746" i="3"/>
  <c r="B747" i="3"/>
  <c r="C747" i="3"/>
  <c r="B748" i="3"/>
  <c r="C748" i="3"/>
  <c r="B749" i="3"/>
  <c r="C749" i="3"/>
  <c r="B750" i="3"/>
  <c r="C750" i="3"/>
  <c r="B751" i="3"/>
  <c r="C751" i="3"/>
  <c r="B752" i="3"/>
  <c r="C752" i="3"/>
  <c r="B753" i="3"/>
  <c r="C753" i="3"/>
  <c r="B754" i="3"/>
  <c r="C754" i="3"/>
  <c r="B755" i="3"/>
  <c r="C755" i="3"/>
  <c r="B756" i="3"/>
  <c r="C756" i="3"/>
  <c r="B757" i="3"/>
  <c r="C757" i="3"/>
  <c r="B758" i="3"/>
  <c r="C758" i="3"/>
  <c r="B759" i="3"/>
  <c r="C759" i="3"/>
  <c r="B760" i="3"/>
  <c r="C760" i="3"/>
  <c r="B761" i="3"/>
  <c r="C761" i="3"/>
  <c r="B762" i="3"/>
  <c r="C762" i="3"/>
  <c r="B763" i="3"/>
  <c r="C763" i="3"/>
  <c r="B764" i="3"/>
  <c r="C764" i="3"/>
  <c r="B765" i="3"/>
  <c r="C765" i="3"/>
  <c r="B766" i="3"/>
  <c r="C766" i="3"/>
  <c r="B767" i="3"/>
  <c r="C767" i="3"/>
  <c r="B768" i="3"/>
  <c r="C768" i="3"/>
  <c r="B769" i="3"/>
  <c r="C769" i="3"/>
  <c r="B770" i="3"/>
  <c r="C770" i="3"/>
  <c r="B771" i="3"/>
  <c r="C771" i="3"/>
  <c r="B772" i="3"/>
  <c r="C772" i="3"/>
  <c r="B773" i="3"/>
  <c r="C773" i="3"/>
  <c r="B774" i="3"/>
  <c r="C774" i="3"/>
  <c r="B775" i="3"/>
  <c r="C775" i="3"/>
  <c r="B776" i="3"/>
  <c r="C776" i="3"/>
  <c r="B777" i="3"/>
  <c r="C777" i="3"/>
  <c r="B778" i="3"/>
  <c r="C778" i="3"/>
  <c r="B779" i="3"/>
  <c r="C779" i="3"/>
  <c r="B780" i="3"/>
  <c r="C780" i="3"/>
  <c r="B781" i="3"/>
  <c r="C781" i="3"/>
  <c r="B782" i="3"/>
  <c r="C782" i="3"/>
  <c r="B783" i="3"/>
  <c r="C783" i="3"/>
  <c r="B784" i="3"/>
  <c r="C784" i="3"/>
  <c r="B785" i="3"/>
  <c r="C785" i="3"/>
  <c r="B786" i="3"/>
  <c r="C786" i="3"/>
  <c r="B787" i="3"/>
  <c r="C787" i="3"/>
  <c r="B788" i="3"/>
  <c r="C788" i="3"/>
  <c r="B789" i="3"/>
  <c r="C789" i="3"/>
  <c r="B790" i="3"/>
  <c r="C790" i="3"/>
  <c r="B791" i="3"/>
  <c r="C791" i="3"/>
  <c r="B792" i="3"/>
  <c r="C792" i="3"/>
  <c r="B793" i="3"/>
  <c r="C793" i="3"/>
  <c r="B794" i="3"/>
  <c r="C794" i="3"/>
  <c r="B795" i="3"/>
  <c r="C795" i="3"/>
  <c r="B796" i="3"/>
  <c r="C796" i="3"/>
  <c r="B797" i="3"/>
  <c r="C797" i="3"/>
  <c r="B798" i="3"/>
  <c r="C798" i="3"/>
  <c r="B799" i="3"/>
  <c r="C799" i="3"/>
  <c r="B800" i="3"/>
  <c r="C800" i="3"/>
  <c r="B801" i="3"/>
  <c r="C801" i="3"/>
  <c r="B802" i="3"/>
  <c r="C802" i="3"/>
  <c r="B803" i="3"/>
  <c r="C803" i="3"/>
  <c r="B804" i="3"/>
  <c r="C804" i="3"/>
  <c r="B805" i="3"/>
  <c r="C805" i="3"/>
  <c r="B806" i="3"/>
  <c r="C806" i="3"/>
  <c r="B807" i="3"/>
  <c r="C807" i="3"/>
  <c r="B808" i="3"/>
  <c r="C808" i="3"/>
  <c r="B809" i="3"/>
  <c r="C809" i="3"/>
  <c r="B810" i="3"/>
  <c r="C810" i="3"/>
  <c r="B811" i="3"/>
  <c r="C811" i="3"/>
  <c r="B812" i="3"/>
  <c r="C812" i="3"/>
  <c r="B813" i="3"/>
  <c r="C813" i="3"/>
  <c r="B814" i="3"/>
  <c r="C814" i="3"/>
  <c r="B815" i="3"/>
  <c r="C815" i="3"/>
  <c r="B816" i="3"/>
  <c r="C816" i="3"/>
  <c r="B817" i="3"/>
  <c r="C817" i="3"/>
  <c r="B818" i="3"/>
  <c r="C818" i="3"/>
  <c r="B819" i="3"/>
  <c r="C819" i="3"/>
  <c r="B820" i="3"/>
  <c r="C820" i="3"/>
  <c r="B821" i="3"/>
  <c r="C821" i="3"/>
  <c r="B822" i="3"/>
  <c r="C822" i="3"/>
  <c r="B823" i="3"/>
  <c r="C823" i="3"/>
  <c r="B824" i="3"/>
  <c r="C824" i="3"/>
  <c r="B825" i="3"/>
  <c r="C825" i="3"/>
  <c r="B826" i="3"/>
  <c r="C826" i="3"/>
  <c r="B827" i="3"/>
  <c r="C827" i="3"/>
  <c r="B828" i="3"/>
  <c r="C828" i="3"/>
  <c r="B829" i="3"/>
  <c r="C829" i="3"/>
  <c r="B830" i="3"/>
  <c r="C830" i="3"/>
  <c r="B831" i="3"/>
  <c r="C831" i="3"/>
  <c r="B832" i="3"/>
  <c r="C832" i="3"/>
  <c r="B833" i="3"/>
  <c r="C833" i="3"/>
  <c r="B834" i="3"/>
  <c r="C834" i="3"/>
  <c r="B835" i="3"/>
  <c r="C835" i="3"/>
  <c r="B836" i="3"/>
  <c r="C836" i="3"/>
  <c r="B837" i="3"/>
  <c r="C837" i="3"/>
  <c r="B838" i="3"/>
  <c r="C838" i="3"/>
  <c r="B839" i="3"/>
  <c r="C839" i="3"/>
  <c r="B840" i="3"/>
  <c r="C840" i="3"/>
  <c r="B841" i="3"/>
  <c r="C841" i="3"/>
  <c r="B842" i="3"/>
  <c r="C842" i="3"/>
  <c r="B843" i="3"/>
  <c r="C843" i="3"/>
  <c r="B844" i="3"/>
  <c r="C844" i="3"/>
  <c r="B845" i="3"/>
  <c r="C845" i="3"/>
  <c r="B846" i="3"/>
  <c r="C846" i="3"/>
  <c r="B847" i="3"/>
  <c r="C847" i="3"/>
  <c r="B848" i="3"/>
  <c r="C848" i="3"/>
  <c r="B849" i="3"/>
  <c r="C849" i="3"/>
  <c r="B850" i="3"/>
  <c r="C850" i="3"/>
  <c r="B851" i="3"/>
  <c r="C851" i="3"/>
  <c r="B852" i="3"/>
  <c r="C852" i="3"/>
  <c r="B853" i="3"/>
  <c r="C853" i="3"/>
  <c r="B854" i="3"/>
  <c r="C854" i="3"/>
  <c r="B855" i="3"/>
  <c r="C855" i="3"/>
  <c r="B856" i="3"/>
  <c r="C856" i="3"/>
  <c r="B857" i="3"/>
  <c r="C857" i="3"/>
  <c r="B858" i="3"/>
  <c r="C858" i="3"/>
  <c r="B859" i="3"/>
  <c r="C859" i="3"/>
  <c r="B860" i="3"/>
  <c r="C860" i="3"/>
  <c r="B861" i="3"/>
  <c r="C861" i="3"/>
  <c r="B862" i="3"/>
  <c r="C862" i="3"/>
  <c r="B863" i="3"/>
  <c r="C863" i="3"/>
  <c r="B864" i="3"/>
  <c r="C864" i="3"/>
  <c r="B865" i="3"/>
  <c r="C865" i="3"/>
  <c r="B866" i="3"/>
  <c r="C866" i="3"/>
  <c r="B867" i="3"/>
  <c r="C867" i="3"/>
  <c r="B868" i="3"/>
  <c r="C868" i="3"/>
  <c r="B869" i="3"/>
  <c r="C869" i="3"/>
  <c r="B870" i="3"/>
  <c r="C870" i="3"/>
  <c r="B871" i="3"/>
  <c r="C871" i="3"/>
  <c r="B872" i="3"/>
  <c r="C872" i="3"/>
  <c r="B873" i="3"/>
  <c r="C873" i="3"/>
  <c r="B874" i="3"/>
  <c r="C874" i="3"/>
  <c r="B875" i="3"/>
  <c r="C875" i="3"/>
  <c r="B876" i="3"/>
  <c r="C876" i="3"/>
  <c r="B877" i="3"/>
  <c r="C877" i="3"/>
  <c r="B878" i="3"/>
  <c r="C878" i="3"/>
  <c r="B879" i="3"/>
  <c r="C879" i="3"/>
  <c r="B880" i="3"/>
  <c r="C880" i="3"/>
  <c r="B881" i="3"/>
  <c r="C881" i="3"/>
  <c r="B882" i="3"/>
  <c r="C882" i="3"/>
  <c r="B883" i="3"/>
  <c r="C883" i="3"/>
  <c r="B884" i="3"/>
  <c r="C884" i="3"/>
  <c r="B885" i="3"/>
  <c r="C885" i="3"/>
  <c r="B886" i="3"/>
  <c r="C886" i="3"/>
  <c r="B887" i="3"/>
  <c r="C887" i="3"/>
  <c r="B888" i="3"/>
  <c r="C888" i="3"/>
  <c r="B889" i="3"/>
  <c r="C889" i="3"/>
  <c r="B890" i="3"/>
  <c r="C890" i="3"/>
  <c r="B891" i="3"/>
  <c r="C891" i="3"/>
  <c r="B892" i="3"/>
  <c r="C892" i="3"/>
  <c r="B893" i="3"/>
  <c r="C893" i="3"/>
  <c r="B894" i="3"/>
  <c r="C894" i="3"/>
  <c r="B895" i="3"/>
  <c r="C895" i="3"/>
  <c r="B896" i="3"/>
  <c r="C896" i="3"/>
  <c r="B897" i="3"/>
  <c r="C897" i="3"/>
  <c r="B898" i="3"/>
  <c r="C898" i="3"/>
  <c r="B899" i="3"/>
  <c r="C899" i="3"/>
  <c r="B900" i="3"/>
  <c r="C900" i="3"/>
  <c r="B901" i="3"/>
  <c r="C901" i="3"/>
  <c r="B902" i="3"/>
  <c r="C902" i="3"/>
  <c r="B903" i="3"/>
  <c r="C903" i="3"/>
  <c r="B904" i="3"/>
  <c r="C904" i="3"/>
  <c r="B905" i="3"/>
  <c r="C905" i="3"/>
  <c r="B906" i="3"/>
  <c r="C906" i="3"/>
  <c r="B907" i="3"/>
  <c r="C907" i="3"/>
  <c r="B908" i="3"/>
  <c r="C908" i="3"/>
  <c r="B909" i="3"/>
  <c r="C909" i="3"/>
  <c r="B910" i="3"/>
  <c r="C910" i="3"/>
  <c r="B911" i="3"/>
  <c r="C911" i="3"/>
  <c r="B912" i="3"/>
  <c r="C912" i="3"/>
  <c r="B913" i="3"/>
  <c r="C913" i="3"/>
  <c r="B914" i="3"/>
  <c r="C914" i="3"/>
  <c r="B915" i="3"/>
  <c r="C915" i="3"/>
  <c r="B916" i="3"/>
  <c r="C916" i="3"/>
  <c r="B917" i="3"/>
  <c r="C917" i="3"/>
  <c r="B918" i="3"/>
  <c r="C918" i="3"/>
  <c r="B919" i="3"/>
  <c r="C919" i="3"/>
  <c r="B920" i="3"/>
  <c r="C920" i="3"/>
  <c r="B921" i="3"/>
  <c r="C921" i="3"/>
  <c r="B922" i="3"/>
  <c r="C922" i="3"/>
  <c r="B923" i="3"/>
  <c r="C923" i="3"/>
  <c r="B924" i="3"/>
  <c r="C924" i="3"/>
  <c r="B925" i="3"/>
  <c r="C925" i="3"/>
  <c r="B926" i="3"/>
  <c r="C926" i="3"/>
  <c r="B927" i="3"/>
  <c r="C927" i="3"/>
  <c r="B928" i="3"/>
  <c r="C928" i="3"/>
  <c r="B929" i="3"/>
  <c r="C929" i="3"/>
  <c r="B930" i="3"/>
  <c r="C930" i="3"/>
  <c r="B931" i="3"/>
  <c r="C931" i="3"/>
  <c r="B932" i="3"/>
  <c r="C932" i="3"/>
  <c r="B933" i="3"/>
  <c r="C933" i="3"/>
  <c r="B934" i="3"/>
  <c r="C934" i="3"/>
  <c r="B935" i="3"/>
  <c r="C935" i="3"/>
  <c r="B936" i="3"/>
  <c r="C936" i="3"/>
  <c r="B937" i="3"/>
  <c r="C937" i="3"/>
  <c r="B938" i="3"/>
  <c r="C938" i="3"/>
  <c r="B939" i="3"/>
  <c r="C939" i="3"/>
  <c r="B940" i="3"/>
  <c r="C940" i="3"/>
  <c r="B941" i="3"/>
  <c r="C941" i="3"/>
  <c r="B942" i="3"/>
  <c r="C942" i="3"/>
  <c r="B943" i="3"/>
  <c r="C943" i="3"/>
  <c r="B944" i="3"/>
  <c r="C944" i="3"/>
  <c r="B945" i="3"/>
  <c r="C945" i="3"/>
  <c r="B946" i="3"/>
  <c r="C946" i="3"/>
  <c r="B947" i="3"/>
  <c r="C947" i="3"/>
  <c r="B948" i="3"/>
  <c r="C948" i="3"/>
  <c r="B949" i="3"/>
  <c r="C949" i="3"/>
  <c r="B950" i="3"/>
  <c r="C950" i="3"/>
  <c r="B951" i="3"/>
  <c r="C951" i="3"/>
  <c r="B952" i="3"/>
  <c r="C952" i="3"/>
  <c r="B953" i="3"/>
  <c r="C953" i="3"/>
  <c r="B954" i="3"/>
  <c r="C954" i="3"/>
  <c r="B955" i="3"/>
  <c r="C955" i="3"/>
  <c r="B956" i="3"/>
  <c r="C956" i="3"/>
  <c r="B957" i="3"/>
  <c r="C957" i="3"/>
  <c r="B958" i="3"/>
  <c r="C958" i="3"/>
  <c r="B959" i="3"/>
  <c r="C959" i="3"/>
  <c r="B960" i="3"/>
  <c r="C960" i="3"/>
  <c r="B961" i="3"/>
  <c r="C961" i="3"/>
  <c r="B962" i="3"/>
  <c r="C962" i="3"/>
  <c r="B963" i="3"/>
  <c r="C963" i="3"/>
  <c r="B964" i="3"/>
  <c r="C964" i="3"/>
  <c r="B965" i="3"/>
  <c r="C965" i="3"/>
  <c r="B966" i="3"/>
  <c r="C966" i="3"/>
  <c r="B967" i="3"/>
  <c r="C967" i="3"/>
  <c r="B968" i="3"/>
  <c r="C968" i="3"/>
  <c r="B969" i="3"/>
  <c r="C969" i="3"/>
  <c r="B970" i="3"/>
  <c r="C970" i="3"/>
  <c r="B971" i="3"/>
  <c r="C971" i="3"/>
  <c r="B972" i="3"/>
  <c r="C972" i="3"/>
  <c r="B973" i="3"/>
  <c r="C973" i="3"/>
  <c r="B974" i="3"/>
  <c r="C974" i="3"/>
  <c r="B975" i="3"/>
  <c r="C975" i="3"/>
  <c r="B976" i="3"/>
  <c r="C976" i="3"/>
  <c r="B977" i="3"/>
  <c r="C977" i="3"/>
  <c r="B978" i="3"/>
  <c r="C978" i="3"/>
  <c r="B979" i="3"/>
  <c r="C979" i="3"/>
  <c r="B980" i="3"/>
  <c r="C980" i="3"/>
  <c r="B981" i="3"/>
  <c r="C981" i="3"/>
  <c r="B982" i="3"/>
  <c r="C982" i="3"/>
  <c r="B983" i="3"/>
  <c r="C983" i="3"/>
  <c r="B984" i="3"/>
  <c r="C984" i="3"/>
  <c r="B985" i="3"/>
  <c r="C985" i="3"/>
  <c r="B986" i="3"/>
  <c r="C986" i="3"/>
  <c r="B987" i="3"/>
  <c r="C987" i="3"/>
  <c r="B988" i="3"/>
  <c r="C988" i="3"/>
  <c r="B989" i="3"/>
  <c r="C989" i="3"/>
  <c r="B990" i="3"/>
  <c r="C990" i="3"/>
  <c r="B991" i="3"/>
  <c r="C991" i="3"/>
  <c r="B992" i="3"/>
  <c r="C992" i="3"/>
  <c r="B993" i="3"/>
  <c r="C993" i="3"/>
  <c r="B994" i="3"/>
  <c r="C994" i="3"/>
  <c r="B995" i="3"/>
  <c r="C995" i="3"/>
  <c r="B996" i="3"/>
  <c r="C996" i="3"/>
  <c r="B997" i="3"/>
  <c r="C997" i="3"/>
  <c r="B998" i="3"/>
  <c r="C998" i="3"/>
  <c r="B999" i="3"/>
  <c r="C999" i="3"/>
  <c r="B1000" i="3"/>
  <c r="C1000" i="3"/>
  <c r="B1001" i="3"/>
  <c r="C1001" i="3"/>
  <c r="B1002" i="3"/>
  <c r="C1002" i="3"/>
  <c r="B1003" i="3"/>
  <c r="C1003" i="3"/>
  <c r="B1004" i="3"/>
  <c r="C1004" i="3"/>
  <c r="B1005" i="3"/>
  <c r="C1005" i="3"/>
  <c r="B1006" i="3"/>
  <c r="C1006" i="3"/>
  <c r="B1007" i="3"/>
  <c r="C1007" i="3"/>
  <c r="B1008" i="3"/>
  <c r="C1008" i="3"/>
  <c r="B1009" i="3"/>
  <c r="C1009" i="3"/>
  <c r="B1010" i="3"/>
  <c r="C1010" i="3"/>
  <c r="B1011" i="3"/>
  <c r="C1011" i="3"/>
  <c r="B1012" i="3"/>
  <c r="C1012" i="3"/>
  <c r="B1013" i="3"/>
  <c r="C1013" i="3"/>
  <c r="B1014" i="3"/>
  <c r="C1014" i="3"/>
  <c r="B1015" i="3"/>
  <c r="C1015" i="3"/>
  <c r="B1016" i="3"/>
  <c r="C1016" i="3"/>
  <c r="B1017" i="3"/>
  <c r="C1017" i="3"/>
  <c r="B1018" i="3"/>
  <c r="C1018" i="3"/>
  <c r="B1019" i="3"/>
  <c r="C1019" i="3"/>
  <c r="B1020" i="3"/>
  <c r="C1020" i="3"/>
  <c r="B1021" i="3"/>
  <c r="C1021" i="3"/>
  <c r="B1022" i="3"/>
  <c r="C1022" i="3"/>
  <c r="B1023" i="3"/>
  <c r="C1023" i="3"/>
  <c r="B1024" i="3"/>
  <c r="C1024" i="3"/>
  <c r="B1025" i="3"/>
  <c r="C1025" i="3"/>
  <c r="B1026" i="3"/>
  <c r="C1026" i="3"/>
  <c r="B1027" i="3"/>
  <c r="C1027" i="3"/>
  <c r="B1028" i="3"/>
  <c r="C1028" i="3"/>
  <c r="B1029" i="3"/>
  <c r="C1029" i="3"/>
  <c r="B1030" i="3"/>
  <c r="C1030" i="3"/>
  <c r="B1031" i="3"/>
  <c r="C1031" i="3"/>
  <c r="B1032" i="3"/>
  <c r="C1032" i="3"/>
  <c r="B1033" i="3"/>
  <c r="C1033" i="3"/>
  <c r="B1034" i="3"/>
  <c r="C1034" i="3"/>
  <c r="B1035" i="3"/>
  <c r="C1035" i="3"/>
  <c r="B1036" i="3"/>
  <c r="C1036" i="3"/>
  <c r="B1037" i="3"/>
  <c r="C1037" i="3"/>
  <c r="B1038" i="3"/>
  <c r="C1038" i="3"/>
  <c r="B1039" i="3"/>
  <c r="C1039" i="3"/>
  <c r="B1040" i="3"/>
  <c r="C1040" i="3"/>
  <c r="B1041" i="3"/>
  <c r="C1041" i="3"/>
  <c r="B1042" i="3"/>
  <c r="C1042" i="3"/>
  <c r="B1043" i="3"/>
  <c r="C1043" i="3"/>
  <c r="B1044" i="3"/>
  <c r="C1044" i="3"/>
  <c r="B1045" i="3"/>
  <c r="C1045" i="3"/>
  <c r="B1046" i="3"/>
  <c r="C1046" i="3"/>
  <c r="B1047" i="3"/>
  <c r="C1047" i="3"/>
  <c r="B1048" i="3"/>
  <c r="C1048" i="3"/>
  <c r="B1049" i="3"/>
  <c r="C1049" i="3"/>
  <c r="B1050" i="3"/>
  <c r="C1050" i="3"/>
  <c r="B1051" i="3"/>
  <c r="C1051" i="3"/>
  <c r="B1052" i="3"/>
  <c r="C1052" i="3"/>
  <c r="B1053" i="3"/>
  <c r="C1053" i="3"/>
  <c r="B1054" i="3"/>
  <c r="C1054" i="3"/>
  <c r="B1055" i="3"/>
  <c r="C1055" i="3"/>
  <c r="B1056" i="3"/>
  <c r="C1056" i="3"/>
  <c r="B1057" i="3"/>
  <c r="C1057" i="3"/>
  <c r="B1058" i="3"/>
  <c r="C1058" i="3"/>
  <c r="B1059" i="3"/>
  <c r="C1059" i="3"/>
  <c r="B1060" i="3"/>
  <c r="C1060" i="3"/>
  <c r="B1061" i="3"/>
  <c r="C1061" i="3"/>
  <c r="B1062" i="3"/>
  <c r="C1062" i="3"/>
  <c r="B1063" i="3"/>
  <c r="C1063" i="3"/>
  <c r="B1064" i="3"/>
  <c r="C1064" i="3"/>
  <c r="B1065" i="3"/>
  <c r="C1065" i="3"/>
  <c r="B1066" i="3"/>
  <c r="C1066" i="3"/>
  <c r="B1067" i="3"/>
  <c r="C1067" i="3"/>
  <c r="B1068" i="3"/>
  <c r="C1068" i="3"/>
  <c r="B1069" i="3"/>
  <c r="C1069" i="3"/>
  <c r="B1070" i="3"/>
  <c r="C1070" i="3"/>
  <c r="B1071" i="3"/>
  <c r="C1071" i="3"/>
  <c r="B1072" i="3"/>
  <c r="C1072" i="3"/>
  <c r="B1073" i="3"/>
  <c r="C1073" i="3"/>
  <c r="B1074" i="3"/>
  <c r="C1074" i="3"/>
  <c r="B1075" i="3"/>
  <c r="C1075" i="3"/>
  <c r="B1076" i="3"/>
  <c r="C1076" i="3"/>
  <c r="B1077" i="3"/>
  <c r="C1077" i="3"/>
  <c r="B1078" i="3"/>
  <c r="C1078" i="3"/>
  <c r="B1079" i="3"/>
  <c r="C1079" i="3"/>
  <c r="B1080" i="3"/>
  <c r="C1080" i="3"/>
  <c r="B1081" i="3"/>
  <c r="C1081" i="3"/>
  <c r="B1082" i="3"/>
  <c r="C1082" i="3"/>
  <c r="B1083" i="3"/>
  <c r="C1083" i="3"/>
  <c r="B1084" i="3"/>
  <c r="C1084" i="3"/>
  <c r="B1085" i="3"/>
  <c r="C1085" i="3"/>
  <c r="B1086" i="3"/>
  <c r="C1086" i="3"/>
  <c r="B1087" i="3"/>
  <c r="C1087" i="3"/>
  <c r="B1088" i="3"/>
  <c r="C1088" i="3"/>
  <c r="B1089" i="3"/>
  <c r="C1089" i="3"/>
  <c r="B1090" i="3"/>
  <c r="C1090" i="3"/>
  <c r="B1091" i="3"/>
  <c r="C1091" i="3"/>
  <c r="B1092" i="3"/>
  <c r="C1092" i="3"/>
  <c r="B1093" i="3"/>
  <c r="C1093" i="3"/>
  <c r="B1094" i="3"/>
  <c r="C1094" i="3"/>
  <c r="B1095" i="3"/>
  <c r="C1095" i="3"/>
  <c r="B1096" i="3"/>
  <c r="C1096" i="3"/>
  <c r="B1097" i="3"/>
  <c r="C1097" i="3"/>
  <c r="B1098" i="3"/>
  <c r="C1098" i="3"/>
  <c r="B1099" i="3"/>
  <c r="C1099" i="3"/>
  <c r="B1100" i="3"/>
  <c r="C1100" i="3"/>
  <c r="B1101" i="3"/>
  <c r="C1101" i="3"/>
  <c r="B1102" i="3"/>
  <c r="C1102" i="3"/>
  <c r="B1103" i="3"/>
  <c r="C1103" i="3"/>
  <c r="B1104" i="3"/>
  <c r="C1104" i="3"/>
  <c r="B1105" i="3"/>
  <c r="C1105" i="3"/>
  <c r="B1106" i="3"/>
  <c r="C1106" i="3"/>
  <c r="B1107" i="3"/>
  <c r="C1107" i="3"/>
  <c r="B1108" i="3"/>
  <c r="C1108" i="3"/>
  <c r="B1109" i="3"/>
  <c r="C1109" i="3"/>
  <c r="B1110" i="3"/>
  <c r="C1110" i="3"/>
  <c r="B1111" i="3"/>
  <c r="C1111" i="3"/>
  <c r="B1112" i="3"/>
  <c r="C1112" i="3"/>
  <c r="B1113" i="3"/>
  <c r="C1113" i="3"/>
  <c r="B1114" i="3"/>
  <c r="C1114" i="3"/>
  <c r="B1115" i="3"/>
  <c r="C1115" i="3"/>
  <c r="B1116" i="3"/>
  <c r="C1116" i="3"/>
  <c r="B1117" i="3"/>
  <c r="C1117" i="3"/>
  <c r="B1118" i="3"/>
  <c r="C1118" i="3"/>
  <c r="B1119" i="3"/>
  <c r="C1119" i="3"/>
  <c r="B1120" i="3"/>
  <c r="C1120" i="3"/>
  <c r="B1121" i="3"/>
  <c r="C1121" i="3"/>
  <c r="B1122" i="3"/>
  <c r="C1122" i="3"/>
  <c r="B1123" i="3"/>
  <c r="C1123" i="3"/>
  <c r="B1124" i="3"/>
  <c r="C1124" i="3"/>
  <c r="B1125" i="3"/>
  <c r="C1125" i="3"/>
  <c r="B1126" i="3"/>
  <c r="C1126" i="3"/>
  <c r="B1127" i="3"/>
  <c r="C1127" i="3"/>
  <c r="B1128" i="3"/>
  <c r="C1128" i="3"/>
  <c r="B1129" i="3"/>
  <c r="C1129" i="3"/>
  <c r="B1130" i="3"/>
  <c r="C1130" i="3"/>
  <c r="B1131" i="3"/>
  <c r="C1131" i="3"/>
  <c r="B1132" i="3"/>
  <c r="C1132" i="3"/>
  <c r="B1133" i="3"/>
  <c r="C1133" i="3"/>
  <c r="B1134" i="3"/>
  <c r="C1134" i="3"/>
  <c r="B1135" i="3"/>
  <c r="C1135" i="3"/>
  <c r="B1136" i="3"/>
  <c r="C1136" i="3"/>
  <c r="B1137" i="3"/>
  <c r="C1137" i="3"/>
  <c r="B1138" i="3"/>
  <c r="C1138" i="3"/>
  <c r="B1139" i="3"/>
  <c r="C1139" i="3"/>
  <c r="B1140" i="3"/>
  <c r="C1140" i="3"/>
  <c r="B1141" i="3"/>
  <c r="C1141" i="3"/>
  <c r="B1142" i="3"/>
  <c r="C1142" i="3"/>
  <c r="B1143" i="3"/>
  <c r="C1143" i="3"/>
  <c r="B1144" i="3"/>
  <c r="C1144" i="3"/>
  <c r="B1145" i="3"/>
  <c r="C1145" i="3"/>
  <c r="B1146" i="3"/>
  <c r="C1146" i="3"/>
  <c r="B1147" i="3"/>
  <c r="C1147" i="3"/>
  <c r="B1148" i="3"/>
  <c r="C1148" i="3"/>
  <c r="B1149" i="3"/>
  <c r="C1149" i="3"/>
  <c r="B1150" i="3"/>
  <c r="C1150" i="3"/>
  <c r="B1151" i="3"/>
  <c r="C1151" i="3"/>
  <c r="B1152" i="3"/>
  <c r="C1152" i="3"/>
  <c r="B1153" i="3"/>
  <c r="C1153" i="3"/>
  <c r="B1154" i="3"/>
  <c r="C1154" i="3"/>
  <c r="B1155" i="3"/>
  <c r="C1155" i="3"/>
  <c r="B1156" i="3"/>
  <c r="C1156" i="3"/>
  <c r="B1157" i="3"/>
  <c r="C1157" i="3"/>
  <c r="B1158" i="3"/>
  <c r="C1158" i="3"/>
  <c r="B1159" i="3"/>
  <c r="C1159" i="3"/>
  <c r="B1160" i="3"/>
  <c r="C1160" i="3"/>
  <c r="B1161" i="3"/>
  <c r="C1161" i="3"/>
  <c r="B1162" i="3"/>
  <c r="C1162" i="3"/>
  <c r="B1163" i="3"/>
  <c r="C1163" i="3"/>
  <c r="B1164" i="3"/>
  <c r="C1164" i="3"/>
  <c r="B1165" i="3"/>
  <c r="C1165" i="3"/>
  <c r="B1166" i="3"/>
  <c r="C1166" i="3"/>
  <c r="B1167" i="3"/>
  <c r="C1167" i="3"/>
  <c r="B1168" i="3"/>
  <c r="C1168" i="3"/>
  <c r="B1169" i="3"/>
  <c r="C1169" i="3"/>
  <c r="B1170" i="3"/>
  <c r="C1170" i="3"/>
  <c r="B1171" i="3"/>
  <c r="C1171" i="3"/>
  <c r="B1172" i="3"/>
  <c r="C1172" i="3"/>
  <c r="B1173" i="3"/>
  <c r="C1173" i="3"/>
  <c r="B1174" i="3"/>
  <c r="C1174" i="3"/>
  <c r="B1175" i="3"/>
  <c r="C1175" i="3"/>
  <c r="B1176" i="3"/>
  <c r="C1176" i="3"/>
  <c r="B1177" i="3"/>
  <c r="C1177" i="3"/>
  <c r="B1178" i="3"/>
  <c r="C1178" i="3"/>
  <c r="B1179" i="3"/>
  <c r="C1179" i="3"/>
  <c r="B1180" i="3"/>
  <c r="C1180" i="3"/>
  <c r="B1181" i="3"/>
  <c r="C1181" i="3"/>
  <c r="B1182" i="3"/>
  <c r="C1182" i="3"/>
  <c r="B1183" i="3"/>
  <c r="C1183" i="3"/>
  <c r="B1184" i="3"/>
  <c r="C1184" i="3"/>
  <c r="B1185" i="3"/>
  <c r="C1185" i="3"/>
  <c r="B1186" i="3"/>
  <c r="C1186" i="3"/>
  <c r="B1187" i="3"/>
  <c r="C1187" i="3"/>
  <c r="B1188" i="3"/>
  <c r="C1188" i="3"/>
  <c r="B1189" i="3"/>
  <c r="C1189" i="3"/>
  <c r="B1190" i="3"/>
  <c r="C1190" i="3"/>
  <c r="B1191" i="3"/>
  <c r="C1191" i="3"/>
  <c r="B1192" i="3"/>
  <c r="C1192" i="3"/>
  <c r="B1193" i="3"/>
  <c r="C1193" i="3"/>
  <c r="B1194" i="3"/>
  <c r="C1194" i="3"/>
  <c r="B1195" i="3"/>
  <c r="C1195" i="3"/>
  <c r="B1196" i="3"/>
  <c r="C1196" i="3"/>
  <c r="B1197" i="3"/>
  <c r="C1197" i="3"/>
  <c r="B1198" i="3"/>
  <c r="C1198" i="3"/>
  <c r="B1199" i="3"/>
  <c r="C1199" i="3"/>
  <c r="B1200" i="3"/>
  <c r="C1200" i="3"/>
  <c r="B1201" i="3"/>
  <c r="C1201" i="3"/>
  <c r="B1202" i="3"/>
  <c r="C1202" i="3"/>
  <c r="B1203" i="3"/>
  <c r="C1203" i="3"/>
  <c r="B1204" i="3"/>
  <c r="C1204" i="3"/>
  <c r="B1205" i="3"/>
  <c r="C1205" i="3"/>
  <c r="B1206" i="3"/>
  <c r="C1206" i="3"/>
  <c r="B1207" i="3"/>
  <c r="C1207" i="3"/>
  <c r="B1208" i="3"/>
  <c r="C1208" i="3"/>
  <c r="B1209" i="3"/>
  <c r="C1209" i="3"/>
  <c r="B1210" i="3"/>
  <c r="C1210" i="3"/>
  <c r="B1211" i="3"/>
  <c r="C1211" i="3"/>
  <c r="B1212" i="3"/>
  <c r="C1212" i="3"/>
  <c r="B1213" i="3"/>
  <c r="C1213" i="3"/>
  <c r="B1214" i="3"/>
  <c r="C1214" i="3"/>
  <c r="B1215" i="3"/>
  <c r="C1215" i="3"/>
  <c r="B1216" i="3"/>
  <c r="C1216" i="3"/>
  <c r="B1217" i="3"/>
  <c r="C1217" i="3"/>
  <c r="B1218" i="3"/>
  <c r="C1218" i="3"/>
  <c r="B1219" i="3"/>
  <c r="C1219" i="3"/>
  <c r="B1220" i="3"/>
  <c r="C1220" i="3"/>
  <c r="B1221" i="3"/>
  <c r="C1221" i="3"/>
  <c r="B1222" i="3"/>
  <c r="C1222" i="3"/>
  <c r="B1223" i="3"/>
  <c r="C1223" i="3"/>
  <c r="B1224" i="3"/>
  <c r="C1224" i="3"/>
  <c r="B1225" i="3"/>
  <c r="C1225" i="3"/>
  <c r="B1226" i="3"/>
  <c r="C1226" i="3"/>
  <c r="B1227" i="3"/>
  <c r="C1227" i="3"/>
  <c r="B1228" i="3"/>
  <c r="C1228" i="3"/>
  <c r="B1229" i="3"/>
  <c r="C1229" i="3"/>
  <c r="B1230" i="3"/>
  <c r="C1230" i="3"/>
  <c r="B1231" i="3"/>
  <c r="C1231" i="3"/>
  <c r="B1232" i="3"/>
  <c r="C1232" i="3"/>
  <c r="B1233" i="3"/>
  <c r="C1233" i="3"/>
  <c r="B1234" i="3"/>
  <c r="C1234" i="3"/>
  <c r="B1235" i="3"/>
  <c r="C1235" i="3"/>
  <c r="B1236" i="3"/>
  <c r="C1236" i="3"/>
  <c r="B1237" i="3"/>
  <c r="C1237" i="3"/>
  <c r="B1238" i="3"/>
  <c r="C1238" i="3"/>
  <c r="B1239" i="3"/>
  <c r="C1239" i="3"/>
  <c r="B1240" i="3"/>
  <c r="C1240" i="3"/>
  <c r="B1241" i="3"/>
  <c r="C1241" i="3"/>
  <c r="B1242" i="3"/>
  <c r="C1242" i="3"/>
  <c r="B1243" i="3"/>
  <c r="C1243" i="3"/>
  <c r="B1244" i="3"/>
  <c r="C1244" i="3"/>
  <c r="B1245" i="3"/>
  <c r="C1245" i="3"/>
  <c r="B1246" i="3"/>
  <c r="C1246" i="3"/>
  <c r="B1247" i="3"/>
  <c r="C1247" i="3"/>
  <c r="B1248" i="3"/>
  <c r="C1248" i="3"/>
  <c r="B1249" i="3"/>
  <c r="C1249" i="3"/>
  <c r="B1250" i="3"/>
  <c r="C1250" i="3"/>
  <c r="B1251" i="3"/>
  <c r="C1251" i="3"/>
  <c r="B1252" i="3"/>
  <c r="C1252" i="3"/>
  <c r="B1253" i="3"/>
  <c r="C1253" i="3"/>
  <c r="B1254" i="3"/>
  <c r="C1254" i="3"/>
  <c r="B1255" i="3"/>
  <c r="C1255" i="3"/>
  <c r="B1256" i="3"/>
  <c r="C1256" i="3"/>
  <c r="B1257" i="3"/>
  <c r="C1257" i="3"/>
  <c r="B1258" i="3"/>
  <c r="C1258" i="3"/>
  <c r="B1259" i="3"/>
  <c r="C1259" i="3"/>
  <c r="B1260" i="3"/>
  <c r="C1260" i="3"/>
  <c r="B1261" i="3"/>
  <c r="C1261" i="3"/>
  <c r="B1262" i="3"/>
  <c r="C1262" i="3"/>
  <c r="B1263" i="3"/>
  <c r="C1263" i="3"/>
  <c r="B1264" i="3"/>
  <c r="C1264" i="3"/>
  <c r="B1265" i="3"/>
  <c r="C1265" i="3"/>
  <c r="B1266" i="3"/>
  <c r="C1266" i="3"/>
  <c r="B1267" i="3"/>
  <c r="C1267" i="3"/>
  <c r="B1268" i="3"/>
  <c r="C1268" i="3"/>
  <c r="B1269" i="3"/>
  <c r="C1269" i="3"/>
  <c r="B1270" i="3"/>
  <c r="C1270" i="3"/>
  <c r="B1271" i="3"/>
  <c r="C1271" i="3"/>
  <c r="B1272" i="3"/>
  <c r="C1272" i="3"/>
  <c r="B1273" i="3"/>
  <c r="C1273" i="3"/>
  <c r="B1274" i="3"/>
  <c r="C1274" i="3"/>
  <c r="B1275" i="3"/>
  <c r="C1275" i="3"/>
  <c r="B1276" i="3"/>
  <c r="C1276" i="3"/>
  <c r="B1277" i="3"/>
  <c r="C1277" i="3"/>
  <c r="B1278" i="3"/>
  <c r="C1278" i="3"/>
  <c r="B1279" i="3"/>
  <c r="C1279" i="3"/>
  <c r="B1280" i="3"/>
  <c r="C1280" i="3"/>
  <c r="B1281" i="3"/>
  <c r="C1281" i="3"/>
  <c r="B1282" i="3"/>
  <c r="C1282" i="3"/>
  <c r="B1283" i="3"/>
  <c r="C1283" i="3"/>
  <c r="B1284" i="3"/>
  <c r="C1284" i="3"/>
  <c r="B1285" i="3"/>
  <c r="C1285" i="3"/>
  <c r="B1286" i="3"/>
  <c r="C1286" i="3"/>
  <c r="B1287" i="3"/>
  <c r="C1287" i="3"/>
  <c r="B1288" i="3"/>
  <c r="C1288" i="3"/>
  <c r="B1289" i="3"/>
  <c r="C1289" i="3"/>
  <c r="B1290" i="3"/>
  <c r="C1290" i="3"/>
  <c r="B1291" i="3"/>
  <c r="C1291" i="3"/>
  <c r="B1292" i="3"/>
  <c r="C1292" i="3"/>
  <c r="B1293" i="3"/>
  <c r="C1293" i="3"/>
  <c r="B1294" i="3"/>
  <c r="C1294" i="3"/>
  <c r="B1295" i="3"/>
  <c r="C1295" i="3"/>
  <c r="B1296" i="3"/>
  <c r="C1296" i="3"/>
  <c r="B1297" i="3"/>
  <c r="C1297" i="3"/>
  <c r="B1298" i="3"/>
  <c r="C1298" i="3"/>
  <c r="B1299" i="3"/>
  <c r="C1299" i="3"/>
  <c r="B1300" i="3"/>
  <c r="C1300" i="3"/>
  <c r="B1301" i="3"/>
  <c r="C1301" i="3"/>
  <c r="B1302" i="3"/>
  <c r="C1302" i="3"/>
  <c r="B1303" i="3"/>
  <c r="C1303" i="3"/>
  <c r="B1304" i="3"/>
  <c r="C1304" i="3"/>
  <c r="B1305" i="3"/>
  <c r="C1305" i="3"/>
  <c r="B1306" i="3"/>
  <c r="C1306" i="3"/>
  <c r="B1307" i="3"/>
  <c r="C1307" i="3"/>
  <c r="B1308" i="3"/>
  <c r="C1308" i="3"/>
  <c r="B1309" i="3"/>
  <c r="C1309" i="3"/>
  <c r="B1310" i="3"/>
  <c r="C1310" i="3"/>
  <c r="B1311" i="3"/>
  <c r="C1311" i="3"/>
  <c r="B1312" i="3"/>
  <c r="C1312" i="3"/>
  <c r="B1313" i="3"/>
  <c r="C1313" i="3"/>
  <c r="B1314" i="3"/>
  <c r="C1314" i="3"/>
  <c r="B1315" i="3"/>
  <c r="C1315" i="3"/>
  <c r="B1316" i="3"/>
  <c r="C1316" i="3"/>
  <c r="B1317" i="3"/>
  <c r="C1317" i="3"/>
  <c r="B1318" i="3"/>
  <c r="C1318" i="3"/>
  <c r="B1319" i="3"/>
  <c r="C1319" i="3"/>
  <c r="B1320" i="3"/>
  <c r="C1320" i="3"/>
  <c r="B1321" i="3"/>
  <c r="C1321" i="3"/>
  <c r="B1322" i="3"/>
  <c r="C1322" i="3"/>
  <c r="B1323" i="3"/>
  <c r="C1323" i="3"/>
  <c r="B1324" i="3"/>
  <c r="C1324" i="3"/>
  <c r="B1325" i="3"/>
  <c r="C1325" i="3"/>
  <c r="B1326" i="3"/>
  <c r="C1326" i="3"/>
  <c r="B1327" i="3"/>
  <c r="C1327" i="3"/>
  <c r="B1328" i="3"/>
  <c r="C1328" i="3"/>
  <c r="B1329" i="3"/>
  <c r="C1329" i="3"/>
  <c r="B1330" i="3"/>
  <c r="C1330" i="3"/>
  <c r="B1331" i="3"/>
  <c r="C1331" i="3"/>
  <c r="B1332" i="3"/>
  <c r="C1332" i="3"/>
  <c r="B1333" i="3"/>
  <c r="C1333" i="3"/>
  <c r="B1334" i="3"/>
  <c r="C1334" i="3"/>
  <c r="B1335" i="3"/>
  <c r="C1335" i="3"/>
  <c r="B1336" i="3"/>
  <c r="C1336" i="3"/>
  <c r="B1337" i="3"/>
  <c r="C1337" i="3"/>
  <c r="B1338" i="3"/>
  <c r="C1338" i="3"/>
  <c r="B1339" i="3"/>
  <c r="C1339" i="3"/>
  <c r="B1340" i="3"/>
  <c r="C1340" i="3"/>
  <c r="B1341" i="3"/>
  <c r="C1341" i="3"/>
  <c r="B1342" i="3"/>
  <c r="C1342" i="3"/>
  <c r="B1343" i="3"/>
  <c r="C1343" i="3"/>
  <c r="B1344" i="3"/>
  <c r="C1344" i="3"/>
  <c r="B1345" i="3"/>
  <c r="C1345" i="3"/>
  <c r="B1346" i="3"/>
  <c r="C1346" i="3"/>
  <c r="B1347" i="3"/>
  <c r="C1347" i="3"/>
  <c r="B1348" i="3"/>
  <c r="C1348" i="3"/>
  <c r="B1349" i="3"/>
  <c r="C1349" i="3"/>
  <c r="B1350" i="3"/>
  <c r="C1350" i="3"/>
  <c r="B1351" i="3"/>
  <c r="C1351" i="3"/>
  <c r="B1352" i="3"/>
  <c r="C1352" i="3"/>
  <c r="B1353" i="3"/>
  <c r="C1353" i="3"/>
  <c r="B1354" i="3"/>
  <c r="C1354" i="3"/>
  <c r="B1355" i="3"/>
  <c r="C1355" i="3"/>
  <c r="B1356" i="3"/>
  <c r="C1356" i="3"/>
  <c r="B1357" i="3"/>
  <c r="C1357" i="3"/>
  <c r="B1358" i="3"/>
  <c r="C1358" i="3"/>
  <c r="B1359" i="3"/>
  <c r="C1359" i="3"/>
  <c r="B1360" i="3"/>
  <c r="C1360" i="3"/>
  <c r="B1361" i="3"/>
  <c r="C1361" i="3"/>
  <c r="B1362" i="3"/>
  <c r="C1362" i="3"/>
  <c r="B1363" i="3"/>
  <c r="C1363" i="3"/>
  <c r="B1364" i="3"/>
  <c r="C1364" i="3"/>
  <c r="B1365" i="3"/>
  <c r="C1365" i="3"/>
  <c r="B1366" i="3"/>
  <c r="C1366" i="3"/>
  <c r="B1367" i="3"/>
  <c r="C1367" i="3"/>
  <c r="B1368" i="3"/>
  <c r="C1368" i="3"/>
  <c r="B1369" i="3"/>
  <c r="C1369" i="3"/>
  <c r="B1370" i="3"/>
  <c r="C1370" i="3"/>
  <c r="B1371" i="3"/>
  <c r="C1371" i="3"/>
  <c r="B1372" i="3"/>
  <c r="C1372" i="3"/>
  <c r="B1373" i="3"/>
  <c r="C1373" i="3"/>
  <c r="B1374" i="3"/>
  <c r="C1374" i="3"/>
  <c r="B1375" i="3"/>
  <c r="C1375" i="3"/>
  <c r="B1376" i="3"/>
  <c r="C1376" i="3"/>
  <c r="B1377" i="3"/>
  <c r="C1377" i="3"/>
  <c r="B1378" i="3"/>
  <c r="C1378" i="3"/>
  <c r="B1379" i="3"/>
  <c r="C1379" i="3"/>
  <c r="B1380" i="3"/>
  <c r="C1380" i="3"/>
  <c r="B1381" i="3"/>
  <c r="C1381" i="3"/>
  <c r="B1382" i="3"/>
  <c r="C1382" i="3"/>
  <c r="B1383" i="3"/>
  <c r="C1383" i="3"/>
  <c r="B1384" i="3"/>
  <c r="C1384" i="3"/>
  <c r="B1385" i="3"/>
  <c r="C1385" i="3"/>
  <c r="B1386" i="3"/>
  <c r="C1386" i="3"/>
  <c r="B1387" i="3"/>
  <c r="C1387" i="3"/>
  <c r="B1388" i="3"/>
  <c r="C1388" i="3"/>
  <c r="B1389" i="3"/>
  <c r="C1389" i="3"/>
  <c r="B1390" i="3"/>
  <c r="C1390" i="3"/>
  <c r="B1391" i="3"/>
  <c r="C1391" i="3"/>
  <c r="B1392" i="3"/>
  <c r="C1392" i="3"/>
  <c r="B1393" i="3"/>
  <c r="C1393" i="3"/>
  <c r="B1394" i="3"/>
  <c r="C1394" i="3"/>
  <c r="B1395" i="3"/>
  <c r="C1395" i="3"/>
  <c r="B1396" i="3"/>
  <c r="C1396" i="3"/>
  <c r="B1397" i="3"/>
  <c r="C1397" i="3"/>
  <c r="B1398" i="3"/>
  <c r="C1398" i="3"/>
  <c r="B1399" i="3"/>
  <c r="C1399" i="3"/>
  <c r="B1400" i="3"/>
  <c r="C1400" i="3"/>
  <c r="B1401" i="3"/>
  <c r="C1401" i="3"/>
  <c r="B1402" i="3"/>
  <c r="C1402" i="3"/>
  <c r="B1403" i="3"/>
  <c r="C1403" i="3"/>
  <c r="B1404" i="3"/>
  <c r="C1404" i="3"/>
  <c r="B1405" i="3"/>
  <c r="C1405" i="3"/>
  <c r="B1406" i="3"/>
  <c r="C1406" i="3"/>
  <c r="B1407" i="3"/>
  <c r="C1407" i="3"/>
  <c r="B1408" i="3"/>
  <c r="C1408" i="3"/>
  <c r="B1409" i="3"/>
  <c r="C1409" i="3"/>
  <c r="B1410" i="3"/>
  <c r="C1410" i="3"/>
  <c r="B1411" i="3"/>
  <c r="C1411" i="3"/>
  <c r="B1412" i="3"/>
  <c r="C1412" i="3"/>
  <c r="B1413" i="3"/>
  <c r="C1413" i="3"/>
  <c r="B1414" i="3"/>
  <c r="C1414" i="3"/>
  <c r="B1415" i="3"/>
  <c r="C1415" i="3"/>
  <c r="B1416" i="3"/>
  <c r="C1416" i="3"/>
  <c r="B1417" i="3"/>
  <c r="C1417" i="3"/>
  <c r="B1418" i="3"/>
  <c r="C1418" i="3"/>
  <c r="B1419" i="3"/>
  <c r="C1419" i="3"/>
  <c r="B1420" i="3"/>
  <c r="C1420" i="3"/>
  <c r="B1421" i="3"/>
  <c r="C1421" i="3"/>
  <c r="B1422" i="3"/>
  <c r="C1422" i="3"/>
  <c r="B1423" i="3"/>
  <c r="C1423" i="3"/>
  <c r="B1424" i="3"/>
  <c r="C1424" i="3"/>
  <c r="B1425" i="3"/>
  <c r="C1425" i="3"/>
  <c r="B1426" i="3"/>
  <c r="C1426" i="3"/>
  <c r="B1427" i="3"/>
  <c r="C1427" i="3"/>
  <c r="B1428" i="3"/>
  <c r="C1428" i="3"/>
  <c r="B1429" i="3"/>
  <c r="C1429" i="3"/>
  <c r="B1430" i="3"/>
  <c r="C1430" i="3"/>
  <c r="B1431" i="3"/>
  <c r="C1431" i="3"/>
  <c r="B1432" i="3"/>
  <c r="C1432" i="3"/>
  <c r="B1433" i="3"/>
  <c r="C1433" i="3"/>
  <c r="B1434" i="3"/>
  <c r="C1434" i="3"/>
  <c r="B1435" i="3"/>
  <c r="C1435" i="3"/>
  <c r="B1436" i="3"/>
  <c r="C1436" i="3"/>
  <c r="B1437" i="3"/>
  <c r="C1437" i="3"/>
  <c r="B1438" i="3"/>
  <c r="C1438" i="3"/>
  <c r="B1439" i="3"/>
  <c r="C1439" i="3"/>
  <c r="B1440" i="3"/>
  <c r="C1440" i="3"/>
  <c r="B1441" i="3"/>
  <c r="C1441" i="3"/>
  <c r="B1442" i="3"/>
  <c r="C1442" i="3"/>
  <c r="B1443" i="3"/>
  <c r="C1443" i="3"/>
  <c r="B1444" i="3"/>
  <c r="C1444" i="3"/>
  <c r="B1445" i="3"/>
  <c r="C1445" i="3"/>
  <c r="B1446" i="3"/>
  <c r="C1446" i="3"/>
  <c r="B1447" i="3"/>
  <c r="C1447" i="3"/>
  <c r="B1448" i="3"/>
  <c r="C1448" i="3"/>
  <c r="B1449" i="3"/>
  <c r="C1449" i="3"/>
  <c r="B1450" i="3"/>
  <c r="C1450" i="3"/>
  <c r="B1451" i="3"/>
  <c r="C1451" i="3"/>
  <c r="B1452" i="3"/>
  <c r="C1452" i="3"/>
  <c r="B1453" i="3"/>
  <c r="C1453" i="3"/>
  <c r="B1454" i="3"/>
  <c r="C1454" i="3"/>
  <c r="B1455" i="3"/>
  <c r="C1455" i="3"/>
  <c r="B1456" i="3"/>
  <c r="C1456" i="3"/>
  <c r="B1457" i="3"/>
  <c r="C1457" i="3"/>
  <c r="B1458" i="3"/>
  <c r="C1458" i="3"/>
  <c r="B1459" i="3"/>
  <c r="C1459" i="3"/>
  <c r="B1460" i="3"/>
  <c r="C1460" i="3"/>
  <c r="B1461" i="3"/>
  <c r="C1461" i="3"/>
  <c r="B1462" i="3"/>
  <c r="C1462" i="3"/>
  <c r="B1463" i="3"/>
  <c r="C1463" i="3"/>
  <c r="B1464" i="3"/>
  <c r="C1464" i="3"/>
  <c r="B1465" i="3"/>
  <c r="C1465" i="3"/>
  <c r="B1466" i="3"/>
  <c r="C1466" i="3"/>
  <c r="B1467" i="3"/>
  <c r="C1467" i="3"/>
  <c r="B1468" i="3"/>
  <c r="C1468" i="3"/>
  <c r="B1469" i="3"/>
  <c r="C1469" i="3"/>
  <c r="B1470" i="3"/>
  <c r="C1470" i="3"/>
  <c r="B1471" i="3"/>
  <c r="C1471" i="3"/>
  <c r="B1472" i="3"/>
  <c r="C1472" i="3"/>
  <c r="B1473" i="3"/>
  <c r="C1473" i="3"/>
  <c r="B1474" i="3"/>
  <c r="C1474" i="3"/>
  <c r="B1475" i="3"/>
  <c r="C1475" i="3"/>
  <c r="B1476" i="3"/>
  <c r="C1476" i="3"/>
  <c r="B1477" i="3"/>
  <c r="C1477" i="3"/>
  <c r="B1478" i="3"/>
  <c r="C1478" i="3"/>
  <c r="B1479" i="3"/>
  <c r="C1479" i="3"/>
  <c r="B1480" i="3"/>
  <c r="C1480" i="3"/>
  <c r="B1481" i="3"/>
  <c r="C1481" i="3"/>
  <c r="B1482" i="3"/>
  <c r="C1482" i="3"/>
  <c r="B1483" i="3"/>
  <c r="C1483" i="3"/>
  <c r="B1484" i="3"/>
  <c r="C1484" i="3"/>
  <c r="B1485" i="3"/>
  <c r="C1485" i="3"/>
  <c r="B1486" i="3"/>
  <c r="C1486" i="3"/>
  <c r="B1487" i="3"/>
  <c r="C1487" i="3"/>
  <c r="B1488" i="3"/>
  <c r="C1488" i="3"/>
  <c r="B1489" i="3"/>
  <c r="C1489" i="3"/>
  <c r="B1490" i="3"/>
  <c r="C1490" i="3"/>
  <c r="B1491" i="3"/>
  <c r="C1491" i="3"/>
  <c r="B1492" i="3"/>
  <c r="C1492" i="3"/>
  <c r="B1493" i="3"/>
  <c r="C1493" i="3"/>
  <c r="B1494" i="3"/>
  <c r="C1494" i="3"/>
  <c r="B1495" i="3"/>
  <c r="C1495" i="3"/>
  <c r="B1496" i="3"/>
  <c r="C1496" i="3"/>
  <c r="B1497" i="3"/>
  <c r="C1497" i="3"/>
  <c r="B1498" i="3"/>
  <c r="C1498" i="3"/>
  <c r="B1499" i="3"/>
  <c r="C1499" i="3"/>
  <c r="B1500" i="3"/>
  <c r="C1500" i="3"/>
  <c r="B1501" i="3"/>
  <c r="C1501" i="3"/>
  <c r="B1502" i="3"/>
  <c r="C1502" i="3"/>
  <c r="B1503" i="3"/>
  <c r="C1503" i="3"/>
  <c r="B1504" i="3"/>
  <c r="C1504" i="3"/>
  <c r="B1505" i="3"/>
  <c r="C1505" i="3"/>
  <c r="B1506" i="3"/>
  <c r="C1506" i="3"/>
  <c r="B1507" i="3"/>
  <c r="C1507" i="3"/>
  <c r="B1508" i="3"/>
  <c r="C1508" i="3"/>
  <c r="B1509" i="3"/>
  <c r="C1509" i="3"/>
  <c r="B1510" i="3"/>
  <c r="C1510" i="3"/>
  <c r="B1511" i="3"/>
  <c r="C1511" i="3"/>
  <c r="B1512" i="3"/>
  <c r="C1512" i="3"/>
  <c r="B1513" i="3"/>
  <c r="C1513" i="3"/>
  <c r="B1514" i="3"/>
  <c r="C1514" i="3"/>
  <c r="B1515" i="3"/>
  <c r="C1515" i="3"/>
  <c r="B1516" i="3"/>
  <c r="C1516" i="3"/>
  <c r="B1517" i="3"/>
  <c r="C1517" i="3"/>
  <c r="B1518" i="3"/>
  <c r="C1518" i="3"/>
  <c r="B1519" i="3"/>
  <c r="C1519" i="3"/>
  <c r="B1520" i="3"/>
  <c r="C1520" i="3"/>
  <c r="B1521" i="3"/>
  <c r="C1521" i="3"/>
  <c r="B1522" i="3"/>
  <c r="C1522" i="3"/>
  <c r="B1523" i="3"/>
  <c r="C1523" i="3"/>
  <c r="B1524" i="3"/>
  <c r="C1524" i="3"/>
  <c r="B1525" i="3"/>
  <c r="C1525" i="3"/>
  <c r="B1526" i="3"/>
  <c r="C1526" i="3"/>
  <c r="B1527" i="3"/>
  <c r="C1527" i="3"/>
  <c r="B1528" i="3"/>
  <c r="C1528" i="3"/>
  <c r="B1529" i="3"/>
  <c r="C1529" i="3"/>
  <c r="B1530" i="3"/>
  <c r="C1530" i="3"/>
  <c r="B1531" i="3"/>
  <c r="C1531" i="3"/>
  <c r="B1532" i="3"/>
  <c r="C1532" i="3"/>
  <c r="B1533" i="3"/>
  <c r="C1533" i="3"/>
  <c r="B1534" i="3"/>
  <c r="C1534" i="3"/>
  <c r="B1535" i="3"/>
  <c r="C1535" i="3"/>
  <c r="B1536" i="3"/>
  <c r="C1536" i="3"/>
  <c r="B1537" i="3"/>
  <c r="C1537" i="3"/>
  <c r="B1538" i="3"/>
  <c r="C1538" i="3"/>
  <c r="B1539" i="3"/>
  <c r="C1539" i="3"/>
  <c r="B1540" i="3"/>
  <c r="C1540" i="3"/>
  <c r="B1541" i="3"/>
  <c r="C1541" i="3"/>
  <c r="B1542" i="3"/>
  <c r="C1542" i="3"/>
  <c r="B1543" i="3"/>
  <c r="C1543" i="3"/>
  <c r="B1544" i="3"/>
  <c r="C1544" i="3"/>
  <c r="B1545" i="3"/>
  <c r="C1545" i="3"/>
  <c r="B1546" i="3"/>
  <c r="C1546" i="3"/>
  <c r="B1547" i="3"/>
  <c r="C1547" i="3"/>
  <c r="B1548" i="3"/>
  <c r="C1548" i="3"/>
  <c r="B1549" i="3"/>
  <c r="C1549" i="3"/>
  <c r="B1550" i="3"/>
  <c r="C1550" i="3"/>
  <c r="B1551" i="3"/>
  <c r="C1551" i="3"/>
  <c r="B1552" i="3"/>
  <c r="C1552" i="3"/>
  <c r="B1553" i="3"/>
  <c r="C1553" i="3"/>
  <c r="B1554" i="3"/>
  <c r="C1554" i="3"/>
  <c r="B1555" i="3"/>
  <c r="C1555" i="3"/>
  <c r="B1556" i="3"/>
  <c r="C1556" i="3"/>
  <c r="B1557" i="3"/>
  <c r="C1557" i="3"/>
  <c r="B1558" i="3"/>
  <c r="C1558" i="3"/>
  <c r="B1559" i="3"/>
  <c r="C1559" i="3"/>
  <c r="B1560" i="3"/>
  <c r="C1560" i="3"/>
  <c r="B1561" i="3"/>
  <c r="C1561" i="3"/>
  <c r="B1562" i="3"/>
  <c r="C1562" i="3"/>
  <c r="B1563" i="3"/>
  <c r="C1563" i="3"/>
  <c r="B1564" i="3"/>
  <c r="C1564" i="3"/>
  <c r="B1565" i="3"/>
  <c r="C1565" i="3"/>
  <c r="B1566" i="3"/>
  <c r="C1566" i="3"/>
  <c r="B1567" i="3"/>
  <c r="C1567" i="3"/>
  <c r="B1568" i="3"/>
  <c r="C1568" i="3"/>
  <c r="B1569" i="3"/>
  <c r="C1569" i="3"/>
  <c r="B1570" i="3"/>
  <c r="C1570" i="3"/>
  <c r="B1571" i="3"/>
  <c r="C1571" i="3"/>
  <c r="B1572" i="3"/>
  <c r="C1572" i="3"/>
  <c r="B1573" i="3"/>
  <c r="C1573" i="3"/>
  <c r="B1574" i="3"/>
  <c r="C1574" i="3"/>
  <c r="B1575" i="3"/>
  <c r="C1575" i="3"/>
  <c r="B1576" i="3"/>
  <c r="C1576" i="3"/>
  <c r="B1577" i="3"/>
  <c r="C1577" i="3"/>
  <c r="B1578" i="3"/>
  <c r="C1578" i="3"/>
  <c r="B1579" i="3"/>
  <c r="C1579" i="3"/>
  <c r="B1580" i="3"/>
  <c r="C1580" i="3"/>
  <c r="B1581" i="3"/>
  <c r="C1581" i="3"/>
  <c r="B1582" i="3"/>
  <c r="C1582" i="3"/>
  <c r="B1583" i="3"/>
  <c r="C1583" i="3"/>
  <c r="B1584" i="3"/>
  <c r="C1584" i="3"/>
  <c r="B1585" i="3"/>
  <c r="C1585" i="3"/>
  <c r="B1586" i="3"/>
  <c r="C1586" i="3"/>
  <c r="B1587" i="3"/>
  <c r="C1587" i="3"/>
  <c r="B1588" i="3"/>
  <c r="C1588" i="3"/>
  <c r="B1589" i="3"/>
  <c r="C1589" i="3"/>
  <c r="B1590" i="3"/>
  <c r="C1590" i="3"/>
  <c r="B1591" i="3"/>
  <c r="C1591" i="3"/>
  <c r="B1592" i="3"/>
  <c r="C1592" i="3"/>
  <c r="B1593" i="3"/>
  <c r="C1593" i="3"/>
  <c r="B1594" i="3"/>
  <c r="C1594" i="3"/>
  <c r="B1595" i="3"/>
  <c r="C1595" i="3"/>
  <c r="B1596" i="3"/>
  <c r="C1596" i="3"/>
  <c r="B1597" i="3"/>
  <c r="C1597" i="3"/>
  <c r="B1598" i="3"/>
  <c r="C1598" i="3"/>
  <c r="B1599" i="3"/>
  <c r="C1599" i="3"/>
  <c r="B1600" i="3"/>
  <c r="C1600" i="3"/>
  <c r="B1601" i="3"/>
  <c r="C1601" i="3"/>
  <c r="B1602" i="3"/>
  <c r="C1602" i="3"/>
  <c r="B1603" i="3"/>
  <c r="C1603" i="3"/>
  <c r="B1604" i="3"/>
  <c r="C1604" i="3"/>
  <c r="B1605" i="3"/>
  <c r="C1605" i="3"/>
  <c r="B1606" i="3"/>
  <c r="C1606" i="3"/>
  <c r="B1607" i="3"/>
  <c r="C1607" i="3"/>
  <c r="B1608" i="3"/>
  <c r="C1608" i="3"/>
  <c r="B1609" i="3"/>
  <c r="C1609" i="3"/>
  <c r="B1610" i="3"/>
  <c r="C1610" i="3"/>
  <c r="B1611" i="3"/>
  <c r="C1611" i="3"/>
  <c r="B1612" i="3"/>
  <c r="C1612" i="3"/>
  <c r="B1613" i="3"/>
  <c r="C1613" i="3"/>
  <c r="B1614" i="3"/>
  <c r="C1614" i="3"/>
  <c r="B1615" i="3"/>
  <c r="C1615" i="3"/>
  <c r="B1616" i="3"/>
  <c r="C1616" i="3"/>
  <c r="B1617" i="3"/>
  <c r="C1617" i="3"/>
  <c r="B1618" i="3"/>
  <c r="C1618" i="3"/>
  <c r="B1619" i="3"/>
  <c r="C1619" i="3"/>
  <c r="B1620" i="3"/>
  <c r="C1620" i="3"/>
  <c r="B1621" i="3"/>
  <c r="C1621" i="3"/>
  <c r="B1622" i="3"/>
  <c r="C1622" i="3"/>
  <c r="B1623" i="3"/>
  <c r="C1623" i="3"/>
  <c r="B1624" i="3"/>
  <c r="C1624" i="3"/>
  <c r="B1625" i="3"/>
  <c r="C1625" i="3"/>
  <c r="B1626" i="3"/>
  <c r="C1626" i="3"/>
  <c r="B1627" i="3"/>
  <c r="C1627" i="3"/>
  <c r="B1628" i="3"/>
  <c r="C1628" i="3"/>
  <c r="B1629" i="3"/>
  <c r="C1629" i="3"/>
  <c r="B1630" i="3"/>
  <c r="C1630" i="3"/>
  <c r="B1631" i="3"/>
  <c r="C1631" i="3"/>
  <c r="B1632" i="3"/>
  <c r="C1632" i="3"/>
  <c r="B1633" i="3"/>
  <c r="C1633" i="3"/>
  <c r="B1634" i="3"/>
  <c r="C1634" i="3"/>
  <c r="B1635" i="3"/>
  <c r="C1635" i="3"/>
  <c r="B1636" i="3"/>
  <c r="C1636" i="3"/>
  <c r="B1637" i="3"/>
  <c r="C1637" i="3"/>
  <c r="B1638" i="3"/>
  <c r="C1638" i="3"/>
  <c r="B1639" i="3"/>
  <c r="C1639" i="3"/>
  <c r="B1640" i="3"/>
  <c r="C1640" i="3"/>
  <c r="B1641" i="3"/>
  <c r="C1641" i="3"/>
  <c r="B1642" i="3"/>
  <c r="C1642" i="3"/>
  <c r="B1643" i="3"/>
  <c r="C1643" i="3"/>
  <c r="B1644" i="3"/>
  <c r="C1644" i="3"/>
  <c r="B1645" i="3"/>
  <c r="C1645" i="3"/>
  <c r="B1646" i="3"/>
  <c r="C1646" i="3"/>
  <c r="B1647" i="3"/>
  <c r="C1647" i="3"/>
  <c r="B1648" i="3"/>
  <c r="C1648" i="3"/>
  <c r="B1649" i="3"/>
  <c r="C1649" i="3"/>
  <c r="B1650" i="3"/>
  <c r="C1650" i="3"/>
  <c r="B1651" i="3"/>
  <c r="C1651" i="3"/>
  <c r="B1652" i="3"/>
  <c r="C1652" i="3"/>
  <c r="B1653" i="3"/>
  <c r="C1653" i="3"/>
  <c r="B1654" i="3"/>
  <c r="C1654" i="3"/>
  <c r="B1655" i="3"/>
  <c r="C1655" i="3"/>
  <c r="B1656" i="3"/>
  <c r="C1656" i="3"/>
  <c r="B1657" i="3"/>
  <c r="C1657" i="3"/>
  <c r="B1658" i="3"/>
  <c r="C1658" i="3"/>
  <c r="B1659" i="3"/>
  <c r="C1659" i="3"/>
  <c r="B1660" i="3"/>
  <c r="C1660" i="3"/>
  <c r="B1661" i="3"/>
  <c r="C1661" i="3"/>
  <c r="B1662" i="3"/>
  <c r="C1662" i="3"/>
  <c r="B1663" i="3"/>
  <c r="C1663" i="3"/>
  <c r="B1664" i="3"/>
  <c r="C1664" i="3"/>
  <c r="B1665" i="3"/>
  <c r="C1665" i="3"/>
  <c r="B1666" i="3"/>
  <c r="C1666" i="3"/>
  <c r="B1667" i="3"/>
  <c r="C1667" i="3"/>
  <c r="B1668" i="3"/>
  <c r="C1668" i="3"/>
  <c r="B1669" i="3"/>
  <c r="C1669" i="3"/>
  <c r="B1670" i="3"/>
  <c r="C1670" i="3"/>
  <c r="B1671" i="3"/>
  <c r="C1671" i="3"/>
  <c r="B1672" i="3"/>
  <c r="C1672" i="3"/>
  <c r="B1673" i="3"/>
  <c r="C1673" i="3"/>
  <c r="B1674" i="3"/>
  <c r="C1674" i="3"/>
  <c r="B1675" i="3"/>
  <c r="C1675" i="3"/>
  <c r="B1676" i="3"/>
  <c r="C1676" i="3"/>
  <c r="B1677" i="3"/>
  <c r="C1677" i="3"/>
  <c r="B1678" i="3"/>
  <c r="C1678" i="3"/>
  <c r="B1679" i="3"/>
  <c r="C1679" i="3"/>
  <c r="B1680" i="3"/>
  <c r="C1680" i="3"/>
  <c r="B1681" i="3"/>
  <c r="C1681" i="3"/>
  <c r="B1682" i="3"/>
  <c r="C1682" i="3"/>
  <c r="B1683" i="3"/>
  <c r="C1683" i="3"/>
  <c r="B1684" i="3"/>
  <c r="C1684" i="3"/>
  <c r="B1685" i="3"/>
  <c r="C1685" i="3"/>
  <c r="B1686" i="3"/>
  <c r="C1686" i="3"/>
  <c r="B1687" i="3"/>
  <c r="C1687" i="3"/>
  <c r="B1688" i="3"/>
  <c r="C1688" i="3"/>
  <c r="B1689" i="3"/>
  <c r="C1689" i="3"/>
  <c r="B1690" i="3"/>
  <c r="C1690" i="3"/>
  <c r="B1691" i="3"/>
  <c r="C1691" i="3"/>
  <c r="B1692" i="3"/>
  <c r="C1692" i="3"/>
  <c r="B1693" i="3"/>
  <c r="C1693" i="3"/>
  <c r="B1694" i="3"/>
  <c r="C1694" i="3"/>
  <c r="B1695" i="3"/>
  <c r="C1695" i="3"/>
  <c r="B1696" i="3"/>
  <c r="C1696" i="3"/>
  <c r="B1697" i="3"/>
  <c r="C1697" i="3"/>
  <c r="B1698" i="3"/>
  <c r="C1698" i="3"/>
  <c r="B1699" i="3"/>
  <c r="C1699" i="3"/>
  <c r="B1700" i="3"/>
  <c r="C1700" i="3"/>
  <c r="B1701" i="3"/>
  <c r="C1701" i="3"/>
  <c r="B1702" i="3"/>
  <c r="C1702" i="3"/>
  <c r="B1703" i="3"/>
  <c r="C1703" i="3"/>
  <c r="B1704" i="3"/>
  <c r="C1704" i="3"/>
  <c r="B1705" i="3"/>
  <c r="C1705" i="3"/>
  <c r="B1706" i="3"/>
  <c r="C1706" i="3"/>
  <c r="B1707" i="3"/>
  <c r="C1707" i="3"/>
  <c r="B1708" i="3"/>
  <c r="C1708" i="3"/>
  <c r="B1709" i="3"/>
  <c r="C1709" i="3"/>
  <c r="B1710" i="3"/>
  <c r="C1710" i="3"/>
  <c r="B1711" i="3"/>
  <c r="C1711" i="3"/>
  <c r="B1712" i="3"/>
  <c r="C1712" i="3"/>
  <c r="B1713" i="3"/>
  <c r="C1713" i="3"/>
  <c r="B1714" i="3"/>
  <c r="C1714" i="3"/>
  <c r="B1715" i="3"/>
  <c r="C1715" i="3"/>
  <c r="B1716" i="3"/>
  <c r="C1716" i="3"/>
  <c r="B1717" i="3"/>
  <c r="C1717" i="3"/>
  <c r="B1718" i="3"/>
  <c r="C1718" i="3"/>
  <c r="B1719" i="3"/>
  <c r="C1719" i="3"/>
  <c r="B1720" i="3"/>
  <c r="C1720" i="3"/>
  <c r="B1721" i="3"/>
  <c r="C1721" i="3"/>
  <c r="B1722" i="3"/>
  <c r="C1722" i="3"/>
  <c r="B1723" i="3"/>
  <c r="C1723" i="3"/>
  <c r="B1724" i="3"/>
  <c r="C1724" i="3"/>
  <c r="B1725" i="3"/>
  <c r="C1725" i="3"/>
  <c r="B1726" i="3"/>
  <c r="C1726" i="3"/>
  <c r="B1727" i="3"/>
  <c r="C1727" i="3"/>
  <c r="B1728" i="3"/>
  <c r="C1728" i="3"/>
  <c r="B1729" i="3"/>
  <c r="C1729" i="3"/>
  <c r="B1730" i="3"/>
  <c r="C1730" i="3"/>
  <c r="B1731" i="3"/>
  <c r="C1731" i="3"/>
  <c r="B1732" i="3"/>
  <c r="C1732" i="3"/>
  <c r="B1733" i="3"/>
  <c r="C1733" i="3"/>
  <c r="B1734" i="3"/>
  <c r="C1734" i="3"/>
  <c r="B1735" i="3"/>
  <c r="C1735" i="3"/>
  <c r="B1736" i="3"/>
  <c r="C1736" i="3"/>
  <c r="B1737" i="3"/>
  <c r="C1737" i="3"/>
  <c r="B1738" i="3"/>
  <c r="C1738" i="3"/>
  <c r="B1739" i="3"/>
  <c r="C1739" i="3"/>
  <c r="B1740" i="3"/>
  <c r="C1740" i="3"/>
  <c r="B1741" i="3"/>
  <c r="C1741" i="3"/>
  <c r="B1742" i="3"/>
  <c r="C1742" i="3"/>
  <c r="B1743" i="3"/>
  <c r="C1743" i="3"/>
  <c r="B1744" i="3"/>
  <c r="C1744" i="3"/>
  <c r="B1745" i="3"/>
  <c r="C1745" i="3"/>
  <c r="B1746" i="3"/>
  <c r="C1746" i="3"/>
  <c r="B1747" i="3"/>
  <c r="C1747" i="3"/>
  <c r="B1748" i="3"/>
  <c r="C1748" i="3"/>
  <c r="B1749" i="3"/>
  <c r="C1749" i="3"/>
  <c r="B1750" i="3"/>
  <c r="C1750" i="3"/>
  <c r="B1751" i="3"/>
  <c r="C1751" i="3"/>
  <c r="B1752" i="3"/>
  <c r="C1752" i="3"/>
  <c r="B1753" i="3"/>
  <c r="C1753" i="3"/>
  <c r="B1754" i="3"/>
  <c r="C1754" i="3"/>
  <c r="B1755" i="3"/>
  <c r="C1755" i="3"/>
  <c r="B1756" i="3"/>
  <c r="C1756" i="3"/>
  <c r="B1757" i="3"/>
  <c r="C1757" i="3"/>
  <c r="B1758" i="3"/>
  <c r="C1758" i="3"/>
  <c r="B1759" i="3"/>
  <c r="C1759" i="3"/>
  <c r="B1760" i="3"/>
  <c r="C1760" i="3"/>
  <c r="B1761" i="3"/>
  <c r="C1761" i="3"/>
  <c r="B1762" i="3"/>
  <c r="C1762" i="3"/>
  <c r="B1763" i="3"/>
  <c r="C1763" i="3"/>
  <c r="B1764" i="3"/>
  <c r="C1764" i="3"/>
  <c r="B1765" i="3"/>
  <c r="C1765" i="3"/>
  <c r="B1766" i="3"/>
  <c r="C1766" i="3"/>
  <c r="B1767" i="3"/>
  <c r="C1767" i="3"/>
  <c r="B1768" i="3"/>
  <c r="C1768" i="3"/>
  <c r="B1769" i="3"/>
  <c r="C1769" i="3"/>
  <c r="B1770" i="3"/>
  <c r="C1770" i="3"/>
  <c r="B1771" i="3"/>
  <c r="C1771" i="3"/>
  <c r="B1772" i="3"/>
  <c r="C1772" i="3"/>
  <c r="B1773" i="3"/>
  <c r="C1773" i="3"/>
  <c r="B1774" i="3"/>
  <c r="C1774" i="3"/>
  <c r="B1775" i="3"/>
  <c r="C1775" i="3"/>
  <c r="B1776" i="3"/>
  <c r="C1776" i="3"/>
  <c r="B1777" i="3"/>
  <c r="C1777" i="3"/>
  <c r="B1778" i="3"/>
  <c r="C1778" i="3"/>
  <c r="B1779" i="3"/>
  <c r="C1779" i="3"/>
  <c r="B1780" i="3"/>
  <c r="C1780" i="3"/>
  <c r="B1781" i="3"/>
  <c r="C1781" i="3"/>
  <c r="B1782" i="3"/>
  <c r="C1782" i="3"/>
  <c r="B1783" i="3"/>
  <c r="C1783" i="3"/>
  <c r="B1784" i="3"/>
  <c r="C1784" i="3"/>
  <c r="B1785" i="3"/>
  <c r="C1785" i="3"/>
  <c r="B1786" i="3"/>
  <c r="C1786" i="3"/>
  <c r="B1787" i="3"/>
  <c r="C1787" i="3"/>
  <c r="B1788" i="3"/>
  <c r="C1788" i="3"/>
  <c r="B1789" i="3"/>
  <c r="C1789" i="3"/>
  <c r="B1790" i="3"/>
  <c r="C1790" i="3"/>
  <c r="B1791" i="3"/>
  <c r="C1791" i="3"/>
  <c r="B1792" i="3"/>
  <c r="C1792" i="3"/>
  <c r="B1793" i="3"/>
  <c r="C1793" i="3"/>
  <c r="B1794" i="3"/>
  <c r="C1794" i="3"/>
  <c r="B1795" i="3"/>
  <c r="C1795" i="3"/>
  <c r="B1796" i="3"/>
  <c r="C1796" i="3"/>
  <c r="B1797" i="3"/>
  <c r="C1797" i="3"/>
  <c r="B1798" i="3"/>
  <c r="C1798" i="3"/>
  <c r="B1799" i="3"/>
  <c r="C1799" i="3"/>
  <c r="B1800" i="3"/>
  <c r="C1800" i="3"/>
  <c r="B1801" i="3"/>
  <c r="C1801" i="3"/>
  <c r="B1802" i="3"/>
  <c r="C1802" i="3"/>
  <c r="B1803" i="3"/>
  <c r="C1803" i="3"/>
  <c r="B1804" i="3"/>
  <c r="C1804" i="3"/>
  <c r="B1805" i="3"/>
  <c r="C1805" i="3"/>
  <c r="B1806" i="3"/>
  <c r="C1806" i="3"/>
  <c r="B1807" i="3"/>
  <c r="C1807" i="3"/>
  <c r="B1808" i="3"/>
  <c r="C1808" i="3"/>
  <c r="B1809" i="3"/>
  <c r="C1809" i="3"/>
  <c r="B1810" i="3"/>
  <c r="C1810" i="3"/>
  <c r="B1811" i="3"/>
  <c r="C1811" i="3"/>
  <c r="B1812" i="3"/>
  <c r="C1812" i="3"/>
  <c r="B1813" i="3"/>
  <c r="C1813" i="3"/>
  <c r="B1814" i="3"/>
  <c r="C1814" i="3"/>
  <c r="B1815" i="3"/>
  <c r="C1815" i="3"/>
  <c r="B1816" i="3"/>
  <c r="C1816" i="3"/>
  <c r="B1817" i="3"/>
  <c r="C1817" i="3"/>
  <c r="B1818" i="3"/>
  <c r="C1818" i="3"/>
  <c r="B1819" i="3"/>
  <c r="C1819" i="3"/>
  <c r="B1820" i="3"/>
  <c r="C1820" i="3"/>
  <c r="B1821" i="3"/>
  <c r="C1821" i="3"/>
  <c r="B1822" i="3"/>
  <c r="C1822" i="3"/>
  <c r="B1823" i="3"/>
  <c r="C1823" i="3"/>
  <c r="B1824" i="3"/>
  <c r="C1824" i="3"/>
  <c r="B1825" i="3"/>
  <c r="C1825" i="3"/>
  <c r="B1826" i="3"/>
  <c r="C1826" i="3"/>
  <c r="B1827" i="3"/>
  <c r="C1827" i="3"/>
  <c r="B1828" i="3"/>
  <c r="C1828" i="3"/>
  <c r="B1829" i="3"/>
  <c r="C1829" i="3"/>
  <c r="B1830" i="3"/>
  <c r="C1830" i="3"/>
  <c r="B1831" i="3"/>
  <c r="C1831" i="3"/>
  <c r="B1832" i="3"/>
  <c r="C1832" i="3"/>
  <c r="B1833" i="3"/>
  <c r="C1833" i="3"/>
  <c r="B1834" i="3"/>
  <c r="C1834" i="3"/>
  <c r="B1835" i="3"/>
  <c r="C1835" i="3"/>
  <c r="B1836" i="3"/>
  <c r="C1836" i="3"/>
  <c r="B1837" i="3"/>
  <c r="C1837" i="3"/>
  <c r="B1838" i="3"/>
  <c r="C1838" i="3"/>
  <c r="B1839" i="3"/>
  <c r="C1839" i="3"/>
  <c r="B1840" i="3"/>
  <c r="C1840" i="3"/>
  <c r="B1841" i="3"/>
  <c r="C1841" i="3"/>
  <c r="B1842" i="3"/>
  <c r="C1842" i="3"/>
  <c r="B1843" i="3"/>
  <c r="C1843" i="3"/>
  <c r="B1844" i="3"/>
  <c r="C1844" i="3"/>
  <c r="B1845" i="3"/>
  <c r="C1845" i="3"/>
  <c r="B1846" i="3"/>
  <c r="C1846" i="3"/>
  <c r="B1847" i="3"/>
  <c r="C1847" i="3"/>
  <c r="B1848" i="3"/>
  <c r="C1848" i="3"/>
  <c r="B1849" i="3"/>
  <c r="C1849" i="3"/>
  <c r="B1850" i="3"/>
  <c r="C1850" i="3"/>
  <c r="B1851" i="3"/>
  <c r="C1851" i="3"/>
  <c r="B1852" i="3"/>
  <c r="C1852" i="3"/>
  <c r="B1853" i="3"/>
  <c r="C1853" i="3"/>
  <c r="B1854" i="3"/>
  <c r="C1854" i="3"/>
  <c r="B1855" i="3"/>
  <c r="C1855" i="3"/>
  <c r="B1856" i="3"/>
  <c r="C1856" i="3"/>
  <c r="B1857" i="3"/>
  <c r="C1857" i="3"/>
  <c r="B1858" i="3"/>
  <c r="C1858" i="3"/>
  <c r="B1859" i="3"/>
  <c r="C1859" i="3"/>
  <c r="B1860" i="3"/>
  <c r="C1860" i="3"/>
  <c r="B1861" i="3"/>
  <c r="C1861" i="3"/>
  <c r="B1862" i="3"/>
  <c r="C1862" i="3"/>
  <c r="B1863" i="3"/>
  <c r="C1863" i="3"/>
  <c r="B1864" i="3"/>
  <c r="C1864" i="3"/>
  <c r="B1865" i="3"/>
  <c r="C1865" i="3"/>
  <c r="B1866" i="3"/>
  <c r="C1866" i="3"/>
  <c r="B1867" i="3"/>
  <c r="C1867" i="3"/>
  <c r="B1868" i="3"/>
  <c r="C1868" i="3"/>
  <c r="B1869" i="3"/>
  <c r="C1869" i="3"/>
  <c r="B1870" i="3"/>
  <c r="C1870" i="3"/>
  <c r="B1871" i="3"/>
  <c r="C1871" i="3"/>
  <c r="B1872" i="3"/>
  <c r="C1872" i="3"/>
  <c r="B1873" i="3"/>
  <c r="C1873" i="3"/>
  <c r="B1874" i="3"/>
  <c r="C1874" i="3"/>
  <c r="B1875" i="3"/>
  <c r="C1875" i="3"/>
  <c r="B1876" i="3"/>
  <c r="C1876" i="3"/>
  <c r="B1877" i="3"/>
  <c r="C1877" i="3"/>
  <c r="B1878" i="3"/>
  <c r="C1878" i="3"/>
  <c r="B1879" i="3"/>
  <c r="C1879" i="3"/>
  <c r="B1880" i="3"/>
  <c r="C1880" i="3"/>
  <c r="B1881" i="3"/>
  <c r="C1881" i="3"/>
  <c r="B1882" i="3"/>
  <c r="C1882" i="3"/>
  <c r="B1883" i="3"/>
  <c r="C1883" i="3"/>
  <c r="B1884" i="3"/>
  <c r="C1884" i="3"/>
  <c r="B1885" i="3"/>
  <c r="C1885" i="3"/>
  <c r="B1886" i="3"/>
  <c r="C1886" i="3"/>
  <c r="B1887" i="3"/>
  <c r="C1887" i="3"/>
  <c r="B1888" i="3"/>
  <c r="C1888" i="3"/>
  <c r="B1889" i="3"/>
  <c r="C1889" i="3"/>
  <c r="B1890" i="3"/>
  <c r="C1890" i="3"/>
  <c r="B1891" i="3"/>
  <c r="C1891" i="3"/>
  <c r="B1892" i="3"/>
  <c r="C1892" i="3"/>
  <c r="B1893" i="3"/>
  <c r="C1893" i="3"/>
  <c r="B1894" i="3"/>
  <c r="C1894" i="3"/>
  <c r="B1895" i="3"/>
  <c r="C1895" i="3"/>
  <c r="B1896" i="3"/>
  <c r="C1896" i="3"/>
  <c r="B1897" i="3"/>
  <c r="C1897" i="3"/>
  <c r="B1898" i="3"/>
  <c r="C1898" i="3"/>
  <c r="B1899" i="3"/>
  <c r="C1899" i="3"/>
  <c r="B1900" i="3"/>
  <c r="C1900" i="3"/>
  <c r="B1901" i="3"/>
  <c r="C1901" i="3"/>
  <c r="B1902" i="3"/>
  <c r="C1902" i="3"/>
  <c r="B1903" i="3"/>
  <c r="C1903" i="3"/>
  <c r="B1904" i="3"/>
  <c r="C1904" i="3"/>
  <c r="B1905" i="3"/>
  <c r="C1905" i="3"/>
  <c r="B1906" i="3"/>
  <c r="C1906" i="3"/>
  <c r="B1907" i="3"/>
  <c r="C1907" i="3"/>
  <c r="B1908" i="3"/>
  <c r="C1908" i="3"/>
  <c r="B1909" i="3"/>
  <c r="C1909" i="3"/>
  <c r="B1910" i="3"/>
  <c r="C1910" i="3"/>
  <c r="B1911" i="3"/>
  <c r="C1911" i="3"/>
  <c r="B1912" i="3"/>
  <c r="C1912" i="3"/>
  <c r="B1913" i="3"/>
  <c r="C1913" i="3"/>
  <c r="B1914" i="3"/>
  <c r="C1914" i="3"/>
  <c r="B1915" i="3"/>
  <c r="C1915" i="3"/>
  <c r="B1916" i="3"/>
  <c r="C1916" i="3"/>
  <c r="B1917" i="3"/>
  <c r="C1917" i="3"/>
  <c r="B1918" i="3"/>
  <c r="C1918" i="3"/>
  <c r="B1919" i="3"/>
  <c r="C1919" i="3"/>
  <c r="B1920" i="3"/>
  <c r="C1920" i="3"/>
  <c r="B1921" i="3"/>
  <c r="C1921" i="3"/>
  <c r="B1922" i="3"/>
  <c r="C1922" i="3"/>
  <c r="B1923" i="3"/>
  <c r="C1923" i="3"/>
  <c r="B1924" i="3"/>
  <c r="C1924" i="3"/>
  <c r="B1925" i="3"/>
  <c r="C1925" i="3"/>
  <c r="B1926" i="3"/>
  <c r="C1926" i="3"/>
  <c r="B1927" i="3"/>
  <c r="C1927" i="3"/>
  <c r="B1928" i="3"/>
  <c r="C1928" i="3"/>
  <c r="B1929" i="3"/>
  <c r="C1929" i="3"/>
  <c r="B1930" i="3"/>
  <c r="C1930" i="3"/>
  <c r="B1931" i="3"/>
  <c r="C1931" i="3"/>
  <c r="B1932" i="3"/>
  <c r="C1932" i="3"/>
  <c r="B1933" i="3"/>
  <c r="C1933" i="3"/>
  <c r="B1934" i="3"/>
  <c r="C1934" i="3"/>
  <c r="B1935" i="3"/>
  <c r="C1935" i="3"/>
  <c r="B1936" i="3"/>
  <c r="C1936" i="3"/>
  <c r="B1937" i="3"/>
  <c r="C1937" i="3"/>
  <c r="B1938" i="3"/>
  <c r="C1938" i="3"/>
  <c r="B1939" i="3"/>
  <c r="C1939" i="3"/>
  <c r="B1940" i="3"/>
  <c r="C1940" i="3"/>
  <c r="B1941" i="3"/>
  <c r="C1941" i="3"/>
  <c r="B1942" i="3"/>
  <c r="C1942" i="3"/>
  <c r="B1943" i="3"/>
  <c r="C1943" i="3"/>
  <c r="B1944" i="3"/>
  <c r="C1944" i="3"/>
  <c r="B1945" i="3"/>
  <c r="C1945" i="3"/>
  <c r="B1946" i="3"/>
  <c r="C1946" i="3"/>
  <c r="B1947" i="3"/>
  <c r="C1947" i="3"/>
  <c r="B1948" i="3"/>
  <c r="C1948" i="3"/>
  <c r="B1949" i="3"/>
  <c r="C1949" i="3"/>
  <c r="B1950" i="3"/>
  <c r="C1950" i="3"/>
  <c r="B1951" i="3"/>
  <c r="C1951" i="3"/>
  <c r="B1952" i="3"/>
  <c r="C1952" i="3"/>
  <c r="B1953" i="3"/>
  <c r="C1953" i="3"/>
  <c r="B1954" i="3"/>
  <c r="C1954" i="3"/>
  <c r="B1955" i="3"/>
  <c r="C1955" i="3"/>
  <c r="B1956" i="3"/>
  <c r="C1956" i="3"/>
  <c r="B1957" i="3"/>
  <c r="C1957" i="3"/>
  <c r="B1958" i="3"/>
  <c r="C1958" i="3"/>
  <c r="B1959" i="3"/>
  <c r="C1959" i="3"/>
  <c r="B1960" i="3"/>
  <c r="C1960" i="3"/>
  <c r="B1961" i="3"/>
  <c r="C1961" i="3"/>
  <c r="B1962" i="3"/>
  <c r="C1962" i="3"/>
  <c r="B1963" i="3"/>
  <c r="C1963" i="3"/>
  <c r="B1964" i="3"/>
  <c r="C1964" i="3"/>
  <c r="B1965" i="3"/>
  <c r="C1965" i="3"/>
  <c r="B1966" i="3"/>
  <c r="C1966" i="3"/>
  <c r="B1967" i="3"/>
  <c r="C1967" i="3"/>
  <c r="B1968" i="3"/>
  <c r="C1968" i="3"/>
  <c r="B1969" i="3"/>
  <c r="C1969" i="3"/>
  <c r="B1970" i="3"/>
  <c r="C1970" i="3"/>
  <c r="B1971" i="3"/>
  <c r="C1971" i="3"/>
  <c r="B1972" i="3"/>
  <c r="C1972" i="3"/>
  <c r="B1973" i="3"/>
  <c r="C1973" i="3"/>
  <c r="B1974" i="3"/>
  <c r="C1974" i="3"/>
  <c r="B1975" i="3"/>
  <c r="C1975" i="3"/>
  <c r="B1976" i="3"/>
  <c r="C1976" i="3"/>
  <c r="B1977" i="3"/>
  <c r="C1977" i="3"/>
  <c r="B1978" i="3"/>
  <c r="C1978" i="3"/>
  <c r="B1979" i="3"/>
  <c r="C1979" i="3"/>
  <c r="B1980" i="3"/>
  <c r="C1980" i="3"/>
  <c r="B1981" i="3"/>
  <c r="C1981" i="3"/>
  <c r="B1982" i="3"/>
  <c r="C1982" i="3"/>
  <c r="B1983" i="3"/>
  <c r="C1983" i="3"/>
  <c r="B1984" i="3"/>
  <c r="C1984" i="3"/>
  <c r="B1985" i="3"/>
  <c r="C1985" i="3"/>
  <c r="B1986" i="3"/>
  <c r="C1986" i="3"/>
  <c r="B1987" i="3"/>
  <c r="C1987" i="3"/>
  <c r="B1988" i="3"/>
  <c r="C1988" i="3"/>
  <c r="B1989" i="3"/>
  <c r="C1989" i="3"/>
  <c r="B1990" i="3"/>
  <c r="C1990" i="3"/>
  <c r="B1991" i="3"/>
  <c r="C1991" i="3"/>
  <c r="B1992" i="3"/>
  <c r="C1992" i="3"/>
  <c r="B1993" i="3"/>
  <c r="C1993" i="3"/>
  <c r="B1994" i="3"/>
  <c r="C1994" i="3"/>
  <c r="B1995" i="3"/>
  <c r="C1995" i="3"/>
  <c r="B1996" i="3"/>
  <c r="C1996" i="3"/>
  <c r="B1997" i="3"/>
  <c r="C1997" i="3"/>
  <c r="B1998" i="3"/>
  <c r="C1998" i="3"/>
  <c r="B1999" i="3"/>
  <c r="C1999" i="3"/>
  <c r="B2000" i="3"/>
  <c r="C2000" i="3"/>
  <c r="B2001" i="3"/>
  <c r="C2001" i="3"/>
  <c r="B2002" i="3"/>
  <c r="C2002" i="3"/>
  <c r="B2003" i="3"/>
  <c r="C2003" i="3"/>
  <c r="B2004" i="3"/>
  <c r="C2004" i="3"/>
  <c r="B2005" i="3"/>
  <c r="C2005" i="3"/>
  <c r="B2006" i="3"/>
  <c r="C2006" i="3"/>
  <c r="B2007" i="3"/>
  <c r="C2007" i="3"/>
  <c r="B2008" i="3"/>
  <c r="C2008" i="3"/>
  <c r="B2009" i="3"/>
  <c r="C2009" i="3"/>
  <c r="B2010" i="3"/>
  <c r="C2010" i="3"/>
  <c r="B2011" i="3"/>
  <c r="C2011" i="3"/>
  <c r="B2012" i="3"/>
  <c r="C2012" i="3"/>
  <c r="B2013" i="3"/>
  <c r="C2013" i="3"/>
  <c r="B2014" i="3"/>
  <c r="C2014" i="3"/>
  <c r="B2015" i="3"/>
  <c r="C2015" i="3"/>
  <c r="B2016" i="3"/>
  <c r="C2016" i="3"/>
  <c r="B2017" i="3"/>
  <c r="C2017" i="3"/>
  <c r="B2018" i="3"/>
  <c r="C2018" i="3"/>
  <c r="B2019" i="3"/>
  <c r="C2019" i="3"/>
  <c r="B2020" i="3"/>
  <c r="C2020" i="3"/>
  <c r="B2021" i="3"/>
  <c r="C2021" i="3"/>
  <c r="B2022" i="3"/>
  <c r="C2022" i="3"/>
  <c r="B2023" i="3"/>
  <c r="C2023" i="3"/>
  <c r="B2024" i="3"/>
  <c r="C2024" i="3"/>
  <c r="B2025" i="3"/>
  <c r="C2025" i="3"/>
  <c r="B2026" i="3"/>
  <c r="C2026" i="3"/>
  <c r="B2027" i="3"/>
  <c r="C2027" i="3"/>
  <c r="B2028" i="3"/>
  <c r="C2028" i="3"/>
  <c r="B2029" i="3"/>
  <c r="C2029" i="3"/>
  <c r="B2030" i="3"/>
  <c r="C2030" i="3"/>
  <c r="B2031" i="3"/>
  <c r="C2031" i="3"/>
  <c r="B2032" i="3"/>
  <c r="C2032" i="3"/>
  <c r="B2033" i="3"/>
  <c r="C2033" i="3"/>
  <c r="B2034" i="3"/>
  <c r="C2034" i="3"/>
  <c r="B2035" i="3"/>
  <c r="C2035" i="3"/>
  <c r="B2036" i="3"/>
  <c r="C2036" i="3"/>
  <c r="B2037" i="3"/>
  <c r="C2037" i="3"/>
  <c r="B2038" i="3"/>
  <c r="C2038" i="3"/>
  <c r="B2039" i="3"/>
  <c r="C2039" i="3"/>
  <c r="B2040" i="3"/>
  <c r="C2040" i="3"/>
  <c r="B2041" i="3"/>
  <c r="C2041" i="3"/>
  <c r="B2042" i="3"/>
  <c r="C2042" i="3"/>
  <c r="B2043" i="3"/>
  <c r="C2043" i="3"/>
  <c r="B2044" i="3"/>
  <c r="C2044" i="3"/>
  <c r="B2045" i="3"/>
  <c r="C2045" i="3"/>
  <c r="B2046" i="3"/>
  <c r="C2046" i="3"/>
  <c r="B2047" i="3"/>
  <c r="C2047" i="3"/>
  <c r="B2048" i="3"/>
  <c r="C2048" i="3"/>
  <c r="B2049" i="3"/>
  <c r="C2049" i="3"/>
  <c r="B2050" i="3"/>
  <c r="C2050" i="3"/>
  <c r="B2051" i="3"/>
  <c r="C2051" i="3"/>
  <c r="B2052" i="3"/>
  <c r="C2052" i="3"/>
  <c r="B2053" i="3"/>
  <c r="C2053" i="3"/>
  <c r="B2054" i="3"/>
  <c r="C2054" i="3"/>
  <c r="B2055" i="3"/>
  <c r="C2055" i="3"/>
  <c r="B2056" i="3"/>
  <c r="C2056" i="3"/>
  <c r="B2057" i="3"/>
  <c r="C2057" i="3"/>
  <c r="B2058" i="3"/>
  <c r="C2058" i="3"/>
  <c r="B2059" i="3"/>
  <c r="C2059" i="3"/>
  <c r="B2060" i="3"/>
  <c r="C2060" i="3"/>
  <c r="B2061" i="3"/>
  <c r="C2061" i="3"/>
  <c r="B2062" i="3"/>
  <c r="C2062" i="3"/>
  <c r="B2063" i="3"/>
  <c r="C2063" i="3"/>
  <c r="B2064" i="3"/>
  <c r="C2064" i="3"/>
  <c r="B2065" i="3"/>
  <c r="C2065" i="3"/>
  <c r="B2066" i="3"/>
  <c r="C2066" i="3"/>
  <c r="B2067" i="3"/>
  <c r="C2067" i="3"/>
  <c r="B2068" i="3"/>
  <c r="C2068" i="3"/>
  <c r="B2069" i="3"/>
  <c r="C2069" i="3"/>
  <c r="B2070" i="3"/>
  <c r="C2070" i="3"/>
  <c r="B2071" i="3"/>
  <c r="C2071" i="3"/>
  <c r="B2072" i="3"/>
  <c r="C2072" i="3"/>
  <c r="B2073" i="3"/>
  <c r="C2073" i="3"/>
  <c r="B2074" i="3"/>
  <c r="C2074" i="3"/>
  <c r="B2075" i="3"/>
  <c r="C2075" i="3"/>
  <c r="B2076" i="3"/>
  <c r="C2076" i="3"/>
  <c r="B2077" i="3"/>
  <c r="C2077" i="3"/>
  <c r="B2078" i="3"/>
  <c r="C2078" i="3"/>
  <c r="B2079" i="3"/>
  <c r="C2079" i="3"/>
  <c r="B2080" i="3"/>
  <c r="C2080" i="3"/>
  <c r="B2081" i="3"/>
  <c r="C2081" i="3"/>
  <c r="B2082" i="3"/>
  <c r="C2082" i="3"/>
  <c r="B2083" i="3"/>
  <c r="C2083" i="3"/>
  <c r="B2084" i="3"/>
  <c r="C2084" i="3"/>
  <c r="B2085" i="3"/>
  <c r="C2085" i="3"/>
  <c r="B2086" i="3"/>
  <c r="C2086" i="3"/>
  <c r="B2087" i="3"/>
  <c r="C2087" i="3"/>
  <c r="B2088" i="3"/>
  <c r="C2088" i="3"/>
  <c r="B2089" i="3"/>
  <c r="C2089" i="3"/>
  <c r="B2090" i="3"/>
  <c r="C2090" i="3"/>
  <c r="B2091" i="3"/>
  <c r="C2091" i="3"/>
  <c r="B2092" i="3"/>
  <c r="C2092" i="3"/>
  <c r="B2093" i="3"/>
  <c r="C2093" i="3"/>
  <c r="B2094" i="3"/>
  <c r="C2094" i="3"/>
  <c r="B2095" i="3"/>
  <c r="C2095" i="3"/>
  <c r="B2096" i="3"/>
  <c r="C2096" i="3"/>
  <c r="B2097" i="3"/>
  <c r="C2097" i="3"/>
  <c r="B2098" i="3"/>
  <c r="C2098" i="3"/>
  <c r="B2099" i="3"/>
  <c r="C2099" i="3"/>
  <c r="B2100" i="3"/>
  <c r="C2100" i="3"/>
  <c r="B2101" i="3"/>
  <c r="C2101" i="3"/>
  <c r="B2102" i="3"/>
  <c r="C2102" i="3"/>
  <c r="B2103" i="3"/>
  <c r="C2103" i="3"/>
  <c r="B2104" i="3"/>
  <c r="C2104" i="3"/>
  <c r="B2105" i="3"/>
  <c r="C2105" i="3"/>
  <c r="B2106" i="3"/>
  <c r="C2106" i="3"/>
  <c r="B2107" i="3"/>
  <c r="C2107" i="3"/>
  <c r="B2108" i="3"/>
  <c r="C2108" i="3"/>
  <c r="B2109" i="3"/>
  <c r="C2109" i="3"/>
  <c r="B2110" i="3"/>
  <c r="C2110" i="3"/>
  <c r="B2111" i="3"/>
  <c r="C2111" i="3"/>
  <c r="B2112" i="3"/>
  <c r="C2112" i="3"/>
  <c r="B2113" i="3"/>
  <c r="C2113" i="3"/>
  <c r="B2114" i="3"/>
  <c r="C2114" i="3"/>
  <c r="B2115" i="3"/>
  <c r="C2115" i="3"/>
  <c r="B2116" i="3"/>
  <c r="C2116" i="3"/>
  <c r="B2117" i="3"/>
  <c r="C2117" i="3"/>
  <c r="B2118" i="3"/>
  <c r="C2118" i="3"/>
  <c r="B2119" i="3"/>
  <c r="C2119" i="3"/>
  <c r="B2120" i="3"/>
  <c r="C2120" i="3"/>
  <c r="B2121" i="3"/>
  <c r="C2121" i="3"/>
  <c r="B2122" i="3"/>
  <c r="C2122" i="3"/>
  <c r="B2123" i="3"/>
  <c r="C2123" i="3"/>
  <c r="B2124" i="3"/>
  <c r="C2124" i="3"/>
  <c r="B2125" i="3"/>
  <c r="C2125" i="3"/>
  <c r="B2126" i="3"/>
  <c r="C2126" i="3"/>
  <c r="B2127" i="3"/>
  <c r="C2127" i="3"/>
  <c r="B2128" i="3"/>
  <c r="C2128" i="3"/>
  <c r="B2129" i="3"/>
  <c r="C2129" i="3"/>
  <c r="B2130" i="3"/>
  <c r="C2130" i="3"/>
  <c r="B2131" i="3"/>
  <c r="C2131" i="3"/>
  <c r="B2132" i="3"/>
  <c r="C2132" i="3"/>
  <c r="B2133" i="3"/>
  <c r="C2133" i="3"/>
  <c r="B2134" i="3"/>
  <c r="C2134" i="3"/>
  <c r="B2135" i="3"/>
  <c r="C2135" i="3"/>
  <c r="B2136" i="3"/>
  <c r="C2136" i="3"/>
  <c r="B2137" i="3"/>
  <c r="C2137" i="3"/>
  <c r="B2138" i="3"/>
  <c r="C2138" i="3"/>
  <c r="B2139" i="3"/>
  <c r="C2139" i="3"/>
  <c r="B2140" i="3"/>
  <c r="C2140" i="3"/>
  <c r="B2141" i="3"/>
  <c r="C2141" i="3"/>
  <c r="B2142" i="3"/>
  <c r="C2142" i="3"/>
  <c r="B2143" i="3"/>
  <c r="C2143" i="3"/>
  <c r="B2144" i="3"/>
  <c r="C2144" i="3"/>
  <c r="B2145" i="3"/>
  <c r="C2145" i="3"/>
  <c r="B2146" i="3"/>
  <c r="C2146" i="3"/>
  <c r="B2147" i="3"/>
  <c r="C2147" i="3"/>
  <c r="B2148" i="3"/>
  <c r="C2148" i="3"/>
  <c r="B2149" i="3"/>
  <c r="C2149" i="3"/>
  <c r="B2150" i="3"/>
  <c r="C2150" i="3"/>
  <c r="B2151" i="3"/>
  <c r="C2151" i="3"/>
  <c r="B2152" i="3"/>
  <c r="C2152" i="3"/>
  <c r="B2153" i="3"/>
  <c r="C2153" i="3"/>
  <c r="B2154" i="3"/>
  <c r="C2154" i="3"/>
  <c r="B2155" i="3"/>
  <c r="C2155" i="3"/>
  <c r="B2156" i="3"/>
  <c r="C2156" i="3"/>
  <c r="B2157" i="3"/>
  <c r="C2157" i="3"/>
  <c r="B2158" i="3"/>
  <c r="C2158" i="3"/>
  <c r="B2159" i="3"/>
  <c r="C2159" i="3"/>
  <c r="B2160" i="3"/>
  <c r="C2160" i="3"/>
  <c r="B2161" i="3"/>
  <c r="C2161" i="3"/>
  <c r="B2162" i="3"/>
  <c r="C2162" i="3"/>
  <c r="B2163" i="3"/>
  <c r="C2163" i="3"/>
  <c r="B2164" i="3"/>
  <c r="C2164" i="3"/>
  <c r="B2165" i="3"/>
  <c r="C2165" i="3"/>
  <c r="B2166" i="3"/>
  <c r="C2166" i="3"/>
  <c r="B2167" i="3"/>
  <c r="C2167" i="3"/>
  <c r="B2168" i="3"/>
  <c r="C2168" i="3"/>
  <c r="B2169" i="3"/>
  <c r="C2169" i="3"/>
  <c r="B2170" i="3"/>
  <c r="C2170" i="3"/>
  <c r="B2171" i="3"/>
  <c r="C2171" i="3"/>
  <c r="B2172" i="3"/>
  <c r="C2172" i="3"/>
  <c r="B2173" i="3"/>
  <c r="C2173" i="3"/>
  <c r="B2174" i="3"/>
  <c r="C2174" i="3"/>
  <c r="B2175" i="3"/>
  <c r="C2175" i="3"/>
  <c r="B2176" i="3"/>
  <c r="C2176" i="3"/>
  <c r="B2177" i="3"/>
  <c r="C2177" i="3"/>
  <c r="B2178" i="3"/>
  <c r="C2178" i="3"/>
  <c r="B2179" i="3"/>
  <c r="C2179" i="3"/>
  <c r="B2180" i="3"/>
  <c r="C2180" i="3"/>
  <c r="B2181" i="3"/>
  <c r="C2181" i="3"/>
  <c r="B2182" i="3"/>
  <c r="C2182" i="3"/>
  <c r="B2183" i="3"/>
  <c r="C2183" i="3"/>
  <c r="B2184" i="3"/>
  <c r="C2184" i="3"/>
  <c r="B2185" i="3"/>
  <c r="C2185" i="3"/>
  <c r="B2186" i="3"/>
  <c r="C2186" i="3"/>
  <c r="B2187" i="3"/>
  <c r="C2187" i="3"/>
  <c r="B2188" i="3"/>
  <c r="C2188" i="3"/>
  <c r="B2189" i="3"/>
  <c r="C2189" i="3"/>
  <c r="B2190" i="3"/>
  <c r="C2190" i="3"/>
  <c r="B2191" i="3"/>
  <c r="C2191" i="3"/>
  <c r="B2192" i="3"/>
  <c r="C2192" i="3"/>
  <c r="B2193" i="3"/>
  <c r="C2193" i="3"/>
  <c r="B2194" i="3"/>
  <c r="C2194" i="3"/>
  <c r="B2195" i="3"/>
  <c r="C2195" i="3"/>
  <c r="B2196" i="3"/>
  <c r="C2196" i="3"/>
  <c r="B2197" i="3"/>
  <c r="C2197" i="3"/>
  <c r="B2198" i="3"/>
  <c r="C2198" i="3"/>
  <c r="B2199" i="3"/>
  <c r="C2199" i="3"/>
  <c r="B2200" i="3"/>
  <c r="C2200" i="3"/>
  <c r="B2201" i="3"/>
  <c r="C2201" i="3"/>
  <c r="B2202" i="3"/>
  <c r="C2202" i="3"/>
  <c r="B2203" i="3"/>
  <c r="C2203" i="3"/>
  <c r="B2204" i="3"/>
  <c r="C2204" i="3"/>
  <c r="B2205" i="3"/>
  <c r="C2205" i="3"/>
  <c r="B2206" i="3"/>
  <c r="C2206" i="3"/>
  <c r="B2207" i="3"/>
  <c r="C2207" i="3"/>
  <c r="B2208" i="3"/>
  <c r="C2208" i="3"/>
  <c r="B2209" i="3"/>
  <c r="C2209" i="3"/>
  <c r="B2210" i="3"/>
  <c r="C2210" i="3"/>
  <c r="B2211" i="3"/>
  <c r="C2211" i="3"/>
  <c r="B2212" i="3"/>
  <c r="C2212" i="3"/>
  <c r="B2213" i="3"/>
  <c r="C2213" i="3"/>
  <c r="B2214" i="3"/>
  <c r="C2214" i="3"/>
  <c r="B2215" i="3"/>
  <c r="C2215" i="3"/>
  <c r="B2216" i="3"/>
  <c r="C2216" i="3"/>
  <c r="B2217" i="3"/>
  <c r="C2217" i="3"/>
  <c r="B2218" i="3"/>
  <c r="C2218" i="3"/>
  <c r="B2219" i="3"/>
  <c r="C2219" i="3"/>
  <c r="B2220" i="3"/>
  <c r="C2220" i="3"/>
  <c r="B2221" i="3"/>
  <c r="C2221" i="3"/>
  <c r="B2222" i="3"/>
  <c r="C2222" i="3"/>
  <c r="B2223" i="3"/>
  <c r="C2223" i="3"/>
  <c r="B2224" i="3"/>
  <c r="C2224" i="3"/>
  <c r="B2225" i="3"/>
  <c r="C2225" i="3"/>
  <c r="B2226" i="3"/>
  <c r="C2226" i="3"/>
  <c r="B2227" i="3"/>
  <c r="C2227" i="3"/>
  <c r="B2228" i="3"/>
  <c r="C2228" i="3"/>
  <c r="B2229" i="3"/>
  <c r="C2229" i="3"/>
  <c r="B2230" i="3"/>
  <c r="C2230" i="3"/>
  <c r="B2231" i="3"/>
  <c r="C2231" i="3"/>
  <c r="B2232" i="3"/>
  <c r="C2232" i="3"/>
  <c r="B2233" i="3"/>
  <c r="C2233" i="3"/>
  <c r="B2234" i="3"/>
  <c r="C2234" i="3"/>
  <c r="B2235" i="3"/>
  <c r="C2235" i="3"/>
  <c r="B2236" i="3"/>
  <c r="C2236" i="3"/>
  <c r="B2237" i="3"/>
  <c r="C2237" i="3"/>
  <c r="B2238" i="3"/>
  <c r="C2238" i="3"/>
  <c r="B2239" i="3"/>
  <c r="C2239" i="3"/>
  <c r="B2240" i="3"/>
  <c r="C2240" i="3"/>
  <c r="B2241" i="3"/>
  <c r="C2241" i="3"/>
  <c r="B2242" i="3"/>
  <c r="C2242" i="3"/>
  <c r="B2243" i="3"/>
  <c r="C2243" i="3"/>
  <c r="B2244" i="3"/>
  <c r="C2244" i="3"/>
  <c r="B2245" i="3"/>
  <c r="C2245" i="3"/>
  <c r="B2246" i="3"/>
  <c r="C2246" i="3"/>
  <c r="B2247" i="3"/>
  <c r="C2247" i="3"/>
  <c r="B2248" i="3"/>
  <c r="C2248" i="3"/>
  <c r="B2249" i="3"/>
  <c r="C2249" i="3"/>
  <c r="B2250" i="3"/>
  <c r="C2250" i="3"/>
  <c r="B2251" i="3"/>
  <c r="C2251" i="3"/>
  <c r="B2252" i="3"/>
  <c r="C2252" i="3"/>
  <c r="B2253" i="3"/>
  <c r="C2253" i="3"/>
  <c r="B2254" i="3"/>
  <c r="C2254" i="3"/>
  <c r="B2255" i="3"/>
  <c r="C2255" i="3"/>
  <c r="B2256" i="3"/>
  <c r="C2256" i="3"/>
  <c r="B2257" i="3"/>
  <c r="C2257" i="3"/>
  <c r="B2258" i="3"/>
  <c r="C2258" i="3"/>
  <c r="B2259" i="3"/>
  <c r="C2259" i="3"/>
  <c r="B2260" i="3"/>
  <c r="C2260" i="3"/>
  <c r="B2261" i="3"/>
  <c r="C2261" i="3"/>
  <c r="B2262" i="3"/>
  <c r="C2262" i="3"/>
  <c r="B2263" i="3"/>
  <c r="C2263" i="3"/>
  <c r="B2264" i="3"/>
  <c r="C2264" i="3"/>
  <c r="B2265" i="3"/>
  <c r="C2265" i="3"/>
  <c r="B2266" i="3"/>
  <c r="C2266" i="3"/>
  <c r="B2267" i="3"/>
  <c r="C2267" i="3"/>
  <c r="B2268" i="3"/>
  <c r="C2268" i="3"/>
  <c r="B2269" i="3"/>
  <c r="C2269" i="3"/>
  <c r="B2270" i="3"/>
  <c r="C2270" i="3"/>
  <c r="B2271" i="3"/>
  <c r="C2271" i="3"/>
  <c r="B2272" i="3"/>
  <c r="C2272" i="3"/>
  <c r="B2273" i="3"/>
  <c r="C2273" i="3"/>
  <c r="B2274" i="3"/>
  <c r="C2274" i="3"/>
  <c r="B2275" i="3"/>
  <c r="C2275" i="3"/>
  <c r="B2276" i="3"/>
  <c r="C2276" i="3"/>
  <c r="B2277" i="3"/>
  <c r="C2277" i="3"/>
  <c r="B2278" i="3"/>
  <c r="C2278" i="3"/>
  <c r="B2279" i="3"/>
  <c r="C2279" i="3"/>
  <c r="B2280" i="3"/>
  <c r="C2280" i="3"/>
  <c r="B2281" i="3"/>
  <c r="C2281" i="3"/>
  <c r="B2282" i="3"/>
  <c r="C2282" i="3"/>
  <c r="B2283" i="3"/>
  <c r="C2283" i="3"/>
  <c r="B2284" i="3"/>
  <c r="C2284" i="3"/>
  <c r="B2285" i="3"/>
  <c r="C2285" i="3"/>
  <c r="B2286" i="3"/>
  <c r="C2286" i="3"/>
  <c r="B2287" i="3"/>
  <c r="C2287" i="3"/>
  <c r="B2288" i="3"/>
  <c r="C2288" i="3"/>
  <c r="B2289" i="3"/>
  <c r="C2289" i="3"/>
  <c r="B2290" i="3"/>
  <c r="C2290" i="3"/>
  <c r="B2291" i="3"/>
  <c r="C2291" i="3"/>
  <c r="B2292" i="3"/>
  <c r="C2292" i="3"/>
  <c r="B2293" i="3"/>
  <c r="C2293" i="3"/>
  <c r="B2294" i="3"/>
  <c r="C2294" i="3"/>
  <c r="B2295" i="3"/>
  <c r="C2295" i="3"/>
  <c r="B2296" i="3"/>
  <c r="C2296" i="3"/>
  <c r="B2297" i="3"/>
  <c r="C2297" i="3"/>
  <c r="B2298" i="3"/>
  <c r="C2298" i="3"/>
  <c r="B2299" i="3"/>
  <c r="C2299" i="3"/>
  <c r="B2300" i="3"/>
  <c r="C2300" i="3"/>
  <c r="B2301" i="3"/>
  <c r="C2301" i="3"/>
  <c r="B2302" i="3"/>
  <c r="C2302" i="3"/>
  <c r="B2303" i="3"/>
  <c r="C2303" i="3"/>
  <c r="B2304" i="3"/>
  <c r="C2304" i="3"/>
  <c r="B2305" i="3"/>
  <c r="C2305" i="3"/>
  <c r="B2306" i="3"/>
  <c r="C2306" i="3"/>
  <c r="B2307" i="3"/>
  <c r="C2307" i="3"/>
  <c r="B2308" i="3"/>
  <c r="C2308" i="3"/>
  <c r="B2309" i="3"/>
  <c r="C2309" i="3"/>
  <c r="B2310" i="3"/>
  <c r="C2310" i="3"/>
  <c r="B2311" i="3"/>
  <c r="C2311" i="3"/>
  <c r="B2312" i="3"/>
  <c r="C2312" i="3"/>
  <c r="B2313" i="3"/>
  <c r="C2313" i="3"/>
  <c r="B2314" i="3"/>
  <c r="C2314" i="3"/>
  <c r="B2315" i="3"/>
  <c r="C2315" i="3"/>
  <c r="B2316" i="3"/>
  <c r="C2316" i="3"/>
  <c r="B2317" i="3"/>
  <c r="C2317" i="3"/>
  <c r="B2318" i="3"/>
  <c r="C2318" i="3"/>
  <c r="B2319" i="3"/>
  <c r="C2319" i="3"/>
  <c r="B2320" i="3"/>
  <c r="C2320" i="3"/>
  <c r="B2321" i="3"/>
  <c r="C2321" i="3"/>
  <c r="B2322" i="3"/>
  <c r="C2322" i="3"/>
  <c r="B2323" i="3"/>
  <c r="C2323" i="3"/>
  <c r="B2324" i="3"/>
  <c r="C2324" i="3"/>
  <c r="B2325" i="3"/>
  <c r="C2325" i="3"/>
  <c r="B2326" i="3"/>
  <c r="C2326" i="3"/>
  <c r="B2327" i="3"/>
  <c r="C2327" i="3"/>
  <c r="B2328" i="3"/>
  <c r="C2328" i="3"/>
  <c r="B2329" i="3"/>
  <c r="C2329" i="3"/>
  <c r="B2330" i="3"/>
  <c r="C2330" i="3"/>
  <c r="B2331" i="3"/>
  <c r="C2331" i="3"/>
  <c r="B2332" i="3"/>
  <c r="C2332" i="3"/>
  <c r="B2333" i="3"/>
  <c r="C2333" i="3"/>
  <c r="B2334" i="3"/>
  <c r="C2334" i="3"/>
  <c r="B2335" i="3"/>
  <c r="C2335" i="3"/>
  <c r="B2336" i="3"/>
  <c r="C2336" i="3"/>
  <c r="B2337" i="3"/>
  <c r="C2337" i="3"/>
  <c r="B2338" i="3"/>
  <c r="C2338" i="3"/>
  <c r="B2339" i="3"/>
  <c r="C2339" i="3"/>
  <c r="B2340" i="3"/>
  <c r="C2340" i="3"/>
  <c r="B2341" i="3"/>
  <c r="C2341" i="3"/>
  <c r="B2342" i="3"/>
  <c r="C2342" i="3"/>
  <c r="B2343" i="3"/>
  <c r="C2343" i="3"/>
  <c r="B2344" i="3"/>
  <c r="C2344" i="3"/>
  <c r="B2345" i="3"/>
  <c r="C2345" i="3"/>
  <c r="B2346" i="3"/>
  <c r="C2346" i="3"/>
  <c r="B2347" i="3"/>
  <c r="C2347" i="3"/>
  <c r="B2348" i="3"/>
  <c r="C2348" i="3"/>
  <c r="B2349" i="3"/>
  <c r="C2349" i="3"/>
  <c r="B2350" i="3"/>
  <c r="C2350" i="3"/>
  <c r="B2351" i="3"/>
  <c r="C2351" i="3"/>
  <c r="B2352" i="3"/>
  <c r="C2352" i="3"/>
  <c r="B2353" i="3"/>
  <c r="C2353" i="3"/>
  <c r="B2354" i="3"/>
  <c r="C2354" i="3"/>
  <c r="B2355" i="3"/>
  <c r="C2355" i="3"/>
  <c r="B2356" i="3"/>
  <c r="C2356" i="3"/>
  <c r="B2357" i="3"/>
  <c r="C2357" i="3"/>
  <c r="B2358" i="3"/>
  <c r="C2358" i="3"/>
  <c r="B2359" i="3"/>
  <c r="C2359" i="3"/>
  <c r="B2360" i="3"/>
  <c r="C2360" i="3"/>
  <c r="B2361" i="3"/>
  <c r="C2361" i="3"/>
  <c r="B2362" i="3"/>
  <c r="C2362" i="3"/>
  <c r="B2363" i="3"/>
  <c r="C2363" i="3"/>
  <c r="B2364" i="3"/>
  <c r="C2364" i="3"/>
  <c r="B2365" i="3"/>
  <c r="C2365" i="3"/>
  <c r="B2366" i="3"/>
  <c r="C2366" i="3"/>
  <c r="B2367" i="3"/>
  <c r="C2367" i="3"/>
  <c r="B2368" i="3"/>
  <c r="C2368" i="3"/>
  <c r="B2369" i="3"/>
  <c r="C2369" i="3"/>
  <c r="B2370" i="3"/>
  <c r="C2370" i="3"/>
  <c r="B2371" i="3"/>
  <c r="C2371" i="3"/>
  <c r="B2372" i="3"/>
  <c r="C2372" i="3"/>
  <c r="B2373" i="3"/>
  <c r="C2373" i="3"/>
  <c r="B2374" i="3"/>
  <c r="C2374" i="3"/>
  <c r="B2375" i="3"/>
  <c r="C2375" i="3"/>
  <c r="B2376" i="3"/>
  <c r="C2376" i="3"/>
  <c r="B2377" i="3"/>
  <c r="C2377" i="3"/>
  <c r="B2378" i="3"/>
  <c r="C2378" i="3"/>
  <c r="B2379" i="3"/>
  <c r="C2379" i="3"/>
  <c r="B2380" i="3"/>
  <c r="C2380" i="3"/>
  <c r="B2381" i="3"/>
  <c r="C2381" i="3"/>
  <c r="B2382" i="3"/>
  <c r="C2382" i="3"/>
  <c r="B2383" i="3"/>
  <c r="C2383" i="3"/>
  <c r="B2384" i="3"/>
  <c r="C2384" i="3"/>
  <c r="B2385" i="3"/>
  <c r="C2385" i="3"/>
  <c r="B2386" i="3"/>
  <c r="C2386" i="3"/>
  <c r="B2387" i="3"/>
  <c r="C2387" i="3"/>
  <c r="B2388" i="3"/>
  <c r="C2388" i="3"/>
  <c r="B2389" i="3"/>
  <c r="C2389" i="3"/>
  <c r="B2390" i="3"/>
  <c r="C2390" i="3"/>
  <c r="B2391" i="3"/>
  <c r="C2391" i="3"/>
  <c r="B2392" i="3"/>
  <c r="C2392" i="3"/>
  <c r="B2393" i="3"/>
  <c r="C2393" i="3"/>
  <c r="B2394" i="3"/>
  <c r="C2394" i="3"/>
  <c r="B2395" i="3"/>
  <c r="C2395" i="3"/>
  <c r="B2396" i="3"/>
  <c r="C2396" i="3"/>
  <c r="B2397" i="3"/>
  <c r="C2397" i="3"/>
  <c r="B2398" i="3"/>
  <c r="C2398" i="3"/>
  <c r="B2399" i="3"/>
  <c r="C2399" i="3"/>
  <c r="B2400" i="3"/>
  <c r="C2400" i="3"/>
  <c r="B2401" i="3"/>
  <c r="C2401" i="3"/>
  <c r="B2402" i="3"/>
  <c r="C2402" i="3"/>
  <c r="B2403" i="3"/>
  <c r="C2403" i="3"/>
  <c r="B2404" i="3"/>
  <c r="C2404" i="3"/>
  <c r="B2405" i="3"/>
  <c r="C2405" i="3"/>
  <c r="B2406" i="3"/>
  <c r="C2406" i="3"/>
  <c r="B2407" i="3"/>
  <c r="C2407" i="3"/>
  <c r="B2408" i="3"/>
  <c r="C2408" i="3"/>
  <c r="B2409" i="3"/>
  <c r="C2409" i="3"/>
  <c r="B2410" i="3"/>
  <c r="C2410" i="3"/>
  <c r="B2411" i="3"/>
  <c r="C2411" i="3"/>
  <c r="B2412" i="3"/>
  <c r="C2412" i="3"/>
  <c r="B2413" i="3"/>
  <c r="C2413" i="3"/>
  <c r="B2414" i="3"/>
  <c r="C2414" i="3"/>
  <c r="B2415" i="3"/>
  <c r="C2415" i="3"/>
  <c r="B2416" i="3"/>
  <c r="C2416" i="3"/>
  <c r="B2417" i="3"/>
  <c r="C2417" i="3"/>
  <c r="B2418" i="3"/>
  <c r="C2418" i="3"/>
  <c r="B2419" i="3"/>
  <c r="C2419" i="3"/>
  <c r="B2420" i="3"/>
  <c r="C2420" i="3"/>
  <c r="B2421" i="3"/>
  <c r="C2421" i="3"/>
  <c r="B2422" i="3"/>
  <c r="C2422" i="3"/>
  <c r="B2423" i="3"/>
  <c r="C2423" i="3"/>
  <c r="B2424" i="3"/>
  <c r="C2424" i="3"/>
  <c r="B2425" i="3"/>
  <c r="C2425" i="3"/>
  <c r="B2426" i="3"/>
  <c r="C2426" i="3"/>
  <c r="B2427" i="3"/>
  <c r="C2427" i="3"/>
  <c r="B2428" i="3"/>
  <c r="C2428" i="3"/>
  <c r="B2429" i="3"/>
  <c r="C2429" i="3"/>
  <c r="B2430" i="3"/>
  <c r="C2430" i="3"/>
  <c r="B2431" i="3"/>
  <c r="C2431" i="3"/>
  <c r="B2432" i="3"/>
  <c r="C2432" i="3"/>
  <c r="B2433" i="3"/>
  <c r="C2433" i="3"/>
  <c r="B2434" i="3"/>
  <c r="C2434" i="3"/>
  <c r="B2435" i="3"/>
  <c r="C2435" i="3"/>
  <c r="B2436" i="3"/>
  <c r="C2436" i="3"/>
  <c r="B2437" i="3"/>
  <c r="C2437" i="3"/>
  <c r="B2438" i="3"/>
  <c r="C2438" i="3"/>
  <c r="B2439" i="3"/>
  <c r="C2439" i="3"/>
  <c r="B2440" i="3"/>
  <c r="C2440" i="3"/>
  <c r="B2441" i="3"/>
  <c r="C2441" i="3"/>
  <c r="B2442" i="3"/>
  <c r="C2442" i="3"/>
  <c r="B2443" i="3"/>
  <c r="C2443" i="3"/>
  <c r="B2444" i="3"/>
  <c r="C2444" i="3"/>
  <c r="B2445" i="3"/>
  <c r="C2445" i="3"/>
  <c r="B2446" i="3"/>
  <c r="C2446" i="3"/>
  <c r="B2447" i="3"/>
  <c r="C2447" i="3"/>
  <c r="B2448" i="3"/>
  <c r="C2448" i="3"/>
  <c r="B2449" i="3"/>
  <c r="C2449" i="3"/>
  <c r="B2450" i="3"/>
  <c r="C2450" i="3"/>
  <c r="B2451" i="3"/>
  <c r="C2451" i="3"/>
  <c r="B2452" i="3"/>
  <c r="C2452" i="3"/>
  <c r="B2453" i="3"/>
  <c r="C2453" i="3"/>
  <c r="B2454" i="3"/>
  <c r="C2454" i="3"/>
  <c r="B2455" i="3"/>
  <c r="C2455" i="3"/>
  <c r="B2456" i="3"/>
  <c r="C2456" i="3"/>
  <c r="B2457" i="3"/>
  <c r="C2457" i="3"/>
  <c r="B2458" i="3"/>
  <c r="C2458" i="3"/>
  <c r="B2459" i="3"/>
  <c r="C2459" i="3"/>
  <c r="B2460" i="3"/>
  <c r="C2460" i="3"/>
  <c r="B2461" i="3"/>
  <c r="C2461" i="3"/>
  <c r="B2462" i="3"/>
  <c r="C2462" i="3"/>
  <c r="B2463" i="3"/>
  <c r="C2463" i="3"/>
  <c r="B2464" i="3"/>
  <c r="C2464" i="3"/>
  <c r="B2465" i="3"/>
  <c r="C2465" i="3"/>
  <c r="B2466" i="3"/>
  <c r="C2466" i="3"/>
  <c r="B2467" i="3"/>
  <c r="C2467" i="3"/>
  <c r="B2468" i="3"/>
  <c r="C2468" i="3"/>
  <c r="B2469" i="3"/>
  <c r="C2469" i="3"/>
  <c r="B2470" i="3"/>
  <c r="C2470" i="3"/>
  <c r="B2471" i="3"/>
  <c r="C2471" i="3"/>
  <c r="B2472" i="3"/>
  <c r="C2472" i="3"/>
  <c r="B2473" i="3"/>
  <c r="C2473" i="3"/>
  <c r="B2474" i="3"/>
  <c r="C2474" i="3"/>
  <c r="B2475" i="3"/>
  <c r="C2475" i="3"/>
  <c r="B2476" i="3"/>
  <c r="C2476" i="3"/>
  <c r="B2477" i="3"/>
  <c r="C2477" i="3"/>
  <c r="B2478" i="3"/>
  <c r="C2478" i="3"/>
  <c r="B2479" i="3"/>
  <c r="C2479" i="3"/>
  <c r="B2480" i="3"/>
  <c r="C2480" i="3"/>
  <c r="B2481" i="3"/>
  <c r="C2481" i="3"/>
  <c r="B2482" i="3"/>
  <c r="C2482" i="3"/>
  <c r="B2483" i="3"/>
  <c r="C2483" i="3"/>
  <c r="B2484" i="3"/>
  <c r="C2484" i="3"/>
  <c r="B2485" i="3"/>
  <c r="C2485" i="3"/>
  <c r="B2486" i="3"/>
  <c r="C2486" i="3"/>
  <c r="B2487" i="3"/>
  <c r="C2487" i="3"/>
  <c r="B2488" i="3"/>
  <c r="C2488" i="3"/>
  <c r="B2489" i="3"/>
  <c r="C2489" i="3"/>
  <c r="B2490" i="3"/>
  <c r="C2490" i="3"/>
  <c r="B2491" i="3"/>
  <c r="C2491" i="3"/>
  <c r="B2492" i="3"/>
  <c r="C2492" i="3"/>
  <c r="B2493" i="3"/>
  <c r="C2493" i="3"/>
  <c r="B2494" i="3"/>
  <c r="C2494" i="3"/>
  <c r="B2495" i="3"/>
  <c r="C2495" i="3"/>
  <c r="B2496" i="3"/>
  <c r="C2496" i="3"/>
  <c r="B2497" i="3"/>
  <c r="C2497" i="3"/>
  <c r="B2498" i="3"/>
  <c r="C2498" i="3"/>
  <c r="B2499" i="3"/>
  <c r="C2499" i="3"/>
  <c r="B2500" i="3"/>
  <c r="C2500" i="3"/>
  <c r="B2501" i="3"/>
  <c r="C2501" i="3"/>
  <c r="B2502" i="3"/>
  <c r="C2502" i="3"/>
  <c r="B2503" i="3"/>
  <c r="C2503" i="3"/>
  <c r="B2504" i="3"/>
  <c r="C2504" i="3"/>
  <c r="B2505" i="3"/>
  <c r="C2505" i="3"/>
  <c r="B2506" i="3"/>
  <c r="C2506" i="3"/>
  <c r="B2507" i="3"/>
  <c r="C2507" i="3"/>
  <c r="B2508" i="3"/>
  <c r="C2508" i="3"/>
  <c r="B2509" i="3"/>
  <c r="C2509" i="3"/>
  <c r="B2510" i="3"/>
  <c r="C2510" i="3"/>
  <c r="B2511" i="3"/>
  <c r="C2511" i="3"/>
  <c r="B2512" i="3"/>
  <c r="C2512" i="3"/>
  <c r="B2513" i="3"/>
  <c r="C2513" i="3"/>
  <c r="B2514" i="3"/>
  <c r="C2514" i="3"/>
  <c r="B2515" i="3"/>
  <c r="C2515" i="3"/>
  <c r="B2516" i="3"/>
  <c r="C2516" i="3"/>
  <c r="B2517" i="3"/>
  <c r="C2517" i="3"/>
  <c r="B2518" i="3"/>
  <c r="C2518" i="3"/>
  <c r="B2519" i="3"/>
  <c r="C2519" i="3"/>
  <c r="B2520" i="3"/>
  <c r="C2520" i="3"/>
  <c r="B2521" i="3"/>
  <c r="C2521" i="3"/>
  <c r="B2522" i="3"/>
  <c r="C2522" i="3"/>
  <c r="B2523" i="3"/>
  <c r="C2523" i="3"/>
  <c r="B2524" i="3"/>
  <c r="C2524" i="3"/>
  <c r="B2525" i="3"/>
  <c r="C2525" i="3"/>
  <c r="B2526" i="3"/>
  <c r="C2526" i="3"/>
  <c r="B2527" i="3"/>
  <c r="C2527" i="3"/>
  <c r="B2528" i="3"/>
  <c r="C2528" i="3"/>
  <c r="B2529" i="3"/>
  <c r="C2529" i="3"/>
  <c r="B2530" i="3"/>
  <c r="C2530" i="3"/>
  <c r="B2531" i="3"/>
  <c r="C2531" i="3"/>
  <c r="B2532" i="3"/>
  <c r="C2532" i="3"/>
  <c r="B2533" i="3"/>
  <c r="C2533" i="3"/>
  <c r="B2534" i="3"/>
  <c r="C2534" i="3"/>
  <c r="B2535" i="3"/>
  <c r="C2535" i="3"/>
  <c r="B2536" i="3"/>
  <c r="C2536" i="3"/>
  <c r="B2537" i="3"/>
  <c r="C2537" i="3"/>
  <c r="B2538" i="3"/>
  <c r="C2538" i="3"/>
  <c r="B2539" i="3"/>
  <c r="C2539" i="3"/>
  <c r="B2540" i="3"/>
  <c r="C2540" i="3"/>
  <c r="B2541" i="3"/>
  <c r="C2541" i="3"/>
  <c r="B2542" i="3"/>
  <c r="C2542" i="3"/>
  <c r="B2543" i="3"/>
  <c r="C2543" i="3"/>
  <c r="B2544" i="3"/>
  <c r="C2544" i="3"/>
  <c r="B2545" i="3"/>
  <c r="C2545" i="3"/>
  <c r="B2546" i="3"/>
  <c r="C2546" i="3"/>
  <c r="B2547" i="3"/>
  <c r="C2547" i="3"/>
  <c r="B2548" i="3"/>
  <c r="C2548" i="3"/>
  <c r="B2549" i="3"/>
  <c r="C2549" i="3"/>
  <c r="B2550" i="3"/>
  <c r="C2550" i="3"/>
  <c r="B2551" i="3"/>
  <c r="C2551" i="3"/>
  <c r="B2552" i="3"/>
  <c r="C2552" i="3"/>
  <c r="B2553" i="3"/>
  <c r="C2553" i="3"/>
  <c r="B2554" i="3"/>
  <c r="C2554" i="3"/>
  <c r="B2555" i="3"/>
  <c r="C2555" i="3"/>
  <c r="B2556" i="3"/>
  <c r="C2556" i="3"/>
  <c r="B2557" i="3"/>
  <c r="C2557" i="3"/>
  <c r="B2558" i="3"/>
  <c r="C2558" i="3"/>
  <c r="B2559" i="3"/>
  <c r="C2559" i="3"/>
  <c r="B2560" i="3"/>
  <c r="C2560" i="3"/>
  <c r="B2561" i="3"/>
  <c r="C2561" i="3"/>
  <c r="B2562" i="3"/>
  <c r="C2562" i="3"/>
  <c r="B2563" i="3"/>
  <c r="C2563" i="3"/>
  <c r="B2564" i="3"/>
  <c r="C2564" i="3"/>
  <c r="B2565" i="3"/>
  <c r="C2565" i="3"/>
  <c r="B2566" i="3"/>
  <c r="C2566" i="3"/>
  <c r="B2567" i="3"/>
  <c r="C2567" i="3"/>
  <c r="B2568" i="3"/>
  <c r="C2568" i="3"/>
  <c r="B2569" i="3"/>
  <c r="C2569" i="3"/>
  <c r="B2570" i="3"/>
  <c r="C2570" i="3"/>
  <c r="B2571" i="3"/>
  <c r="C2571" i="3"/>
  <c r="B2572" i="3"/>
  <c r="C2572" i="3"/>
  <c r="B2573" i="3"/>
  <c r="C2573" i="3"/>
  <c r="B2574" i="3"/>
  <c r="C2574" i="3"/>
  <c r="B2575" i="3"/>
  <c r="C2575" i="3"/>
  <c r="B2576" i="3"/>
  <c r="C2576" i="3"/>
  <c r="B2577" i="3"/>
  <c r="C2577" i="3"/>
  <c r="B2578" i="3"/>
  <c r="C2578" i="3"/>
  <c r="B2579" i="3"/>
  <c r="C2579" i="3"/>
  <c r="B2580" i="3"/>
  <c r="C2580" i="3"/>
  <c r="B2581" i="3"/>
  <c r="C2581" i="3"/>
  <c r="B2582" i="3"/>
  <c r="C2582" i="3"/>
  <c r="B2583" i="3"/>
  <c r="C2583" i="3"/>
  <c r="B2584" i="3"/>
  <c r="C2584" i="3"/>
  <c r="B2585" i="3"/>
  <c r="C2585" i="3"/>
  <c r="B2586" i="3"/>
  <c r="C2586" i="3"/>
  <c r="B2587" i="3"/>
  <c r="C2587" i="3"/>
  <c r="B2588" i="3"/>
  <c r="C2588" i="3"/>
  <c r="B2589" i="3"/>
  <c r="C2589" i="3"/>
  <c r="B2590" i="3"/>
  <c r="C2590" i="3"/>
  <c r="B2591" i="3"/>
  <c r="C2591" i="3"/>
  <c r="B2592" i="3"/>
  <c r="C2592" i="3"/>
  <c r="B2593" i="3"/>
  <c r="C2593" i="3"/>
  <c r="B2594" i="3"/>
  <c r="C2594" i="3"/>
  <c r="B2595" i="3"/>
  <c r="C2595" i="3"/>
  <c r="B2596" i="3"/>
  <c r="C2596" i="3"/>
  <c r="B2597" i="3"/>
  <c r="C2597" i="3"/>
  <c r="B2598" i="3"/>
  <c r="C2598" i="3"/>
  <c r="B2599" i="3"/>
  <c r="C2599" i="3"/>
  <c r="B2600" i="3"/>
  <c r="C2600" i="3"/>
  <c r="B2601" i="3"/>
  <c r="C2601" i="3"/>
  <c r="B2602" i="3"/>
  <c r="C2602" i="3"/>
  <c r="B2603" i="3"/>
  <c r="C2603" i="3"/>
  <c r="B2604" i="3"/>
  <c r="C2604" i="3"/>
  <c r="B2605" i="3"/>
  <c r="C2605" i="3"/>
  <c r="B2606" i="3"/>
  <c r="C2606" i="3"/>
  <c r="B2607" i="3"/>
  <c r="C2607" i="3"/>
  <c r="B2608" i="3"/>
  <c r="C2608" i="3"/>
  <c r="B2609" i="3"/>
  <c r="C2609" i="3"/>
  <c r="B2610" i="3"/>
  <c r="C2610" i="3"/>
  <c r="B2611" i="3"/>
  <c r="C2611" i="3"/>
  <c r="B2612" i="3"/>
  <c r="C2612" i="3"/>
  <c r="B2613" i="3"/>
  <c r="C2613" i="3"/>
  <c r="B2614" i="3"/>
  <c r="C2614" i="3"/>
  <c r="B2615" i="3"/>
  <c r="C2615" i="3"/>
  <c r="B2616" i="3"/>
  <c r="C2616" i="3"/>
  <c r="B2617" i="3"/>
  <c r="C2617" i="3"/>
  <c r="B2618" i="3"/>
  <c r="C2618" i="3"/>
  <c r="B2619" i="3"/>
  <c r="C2619" i="3"/>
  <c r="B2620" i="3"/>
  <c r="C2620" i="3"/>
  <c r="B2621" i="3"/>
  <c r="C2621" i="3"/>
  <c r="B2622" i="3"/>
  <c r="C2622" i="3"/>
  <c r="B2623" i="3"/>
  <c r="C2623" i="3"/>
  <c r="B2624" i="3"/>
  <c r="C2624" i="3"/>
  <c r="B2625" i="3"/>
  <c r="C2625" i="3"/>
  <c r="B2626" i="3"/>
  <c r="C2626" i="3"/>
  <c r="B2627" i="3"/>
  <c r="C2627" i="3"/>
  <c r="B2628" i="3"/>
  <c r="C2628" i="3"/>
  <c r="B2629" i="3"/>
  <c r="C2629" i="3"/>
  <c r="B2630" i="3"/>
  <c r="C2630" i="3"/>
  <c r="B2631" i="3"/>
  <c r="C2631" i="3"/>
  <c r="B2632" i="3"/>
  <c r="C2632" i="3"/>
  <c r="B2633" i="3"/>
  <c r="C2633" i="3"/>
  <c r="B2634" i="3"/>
  <c r="C2634" i="3"/>
  <c r="B2635" i="3"/>
  <c r="C2635" i="3"/>
  <c r="B2636" i="3"/>
  <c r="C2636" i="3"/>
  <c r="B2637" i="3"/>
  <c r="C2637" i="3"/>
  <c r="B2638" i="3"/>
  <c r="C2638" i="3"/>
  <c r="B2639" i="3"/>
  <c r="C2639" i="3"/>
  <c r="B2640" i="3"/>
  <c r="C2640" i="3"/>
  <c r="B2641" i="3"/>
  <c r="C2641" i="3"/>
  <c r="B2642" i="3"/>
  <c r="C2642" i="3"/>
  <c r="B2643" i="3"/>
  <c r="C2643" i="3"/>
  <c r="B2644" i="3"/>
  <c r="C2644" i="3"/>
  <c r="B2645" i="3"/>
  <c r="C2645" i="3"/>
  <c r="B2646" i="3"/>
  <c r="C2646" i="3"/>
  <c r="B2647" i="3"/>
  <c r="C2647" i="3"/>
  <c r="B2648" i="3"/>
  <c r="C2648" i="3"/>
  <c r="B2649" i="3"/>
  <c r="C2649" i="3"/>
  <c r="B2650" i="3"/>
  <c r="C2650" i="3"/>
  <c r="B2651" i="3"/>
  <c r="C2651" i="3"/>
  <c r="B2652" i="3"/>
  <c r="C2652" i="3"/>
  <c r="B2653" i="3"/>
  <c r="C2653" i="3"/>
  <c r="B2654" i="3"/>
  <c r="C2654" i="3"/>
  <c r="B2655" i="3"/>
  <c r="C2655" i="3"/>
  <c r="B2656" i="3"/>
  <c r="C2656" i="3"/>
  <c r="B2657" i="3"/>
  <c r="C2657" i="3"/>
  <c r="B2658" i="3"/>
  <c r="C2658" i="3"/>
  <c r="B2659" i="3"/>
  <c r="C2659" i="3"/>
  <c r="B2660" i="3"/>
  <c r="C2660" i="3"/>
  <c r="B2661" i="3"/>
  <c r="C2661" i="3"/>
  <c r="B2662" i="3"/>
  <c r="C2662" i="3"/>
  <c r="B2663" i="3"/>
  <c r="C2663" i="3"/>
  <c r="B2664" i="3"/>
  <c r="C2664" i="3"/>
  <c r="B2665" i="3"/>
  <c r="C2665" i="3"/>
  <c r="B2666" i="3"/>
  <c r="C2666" i="3"/>
  <c r="B2667" i="3"/>
  <c r="C2667" i="3"/>
  <c r="B2668" i="3"/>
  <c r="C2668" i="3"/>
  <c r="B2669" i="3"/>
  <c r="C2669" i="3"/>
  <c r="B2670" i="3"/>
  <c r="C2670" i="3"/>
  <c r="B2671" i="3"/>
  <c r="C2671" i="3"/>
  <c r="B2672" i="3"/>
  <c r="C2672" i="3"/>
  <c r="B2673" i="3"/>
  <c r="C2673" i="3"/>
  <c r="B2674" i="3"/>
  <c r="C2674" i="3"/>
  <c r="B2675" i="3"/>
  <c r="C2675" i="3"/>
  <c r="B2676" i="3"/>
  <c r="C2676" i="3"/>
  <c r="B2677" i="3"/>
  <c r="C2677" i="3"/>
  <c r="B2678" i="3"/>
  <c r="C2678" i="3"/>
  <c r="B2679" i="3"/>
  <c r="C2679" i="3"/>
  <c r="B2680" i="3"/>
  <c r="C2680" i="3"/>
  <c r="B2681" i="3"/>
  <c r="C2681" i="3"/>
  <c r="B2682" i="3"/>
  <c r="C2682" i="3"/>
  <c r="B2683" i="3"/>
  <c r="C2683" i="3"/>
  <c r="B2684" i="3"/>
  <c r="C2684" i="3"/>
  <c r="B2685" i="3"/>
  <c r="C2685" i="3"/>
  <c r="B2686" i="3"/>
  <c r="C2686" i="3"/>
  <c r="B2687" i="3"/>
  <c r="C2687" i="3"/>
  <c r="B2688" i="3"/>
  <c r="C2688" i="3"/>
  <c r="B2689" i="3"/>
  <c r="C2689" i="3"/>
  <c r="B2690" i="3"/>
  <c r="C2690" i="3"/>
  <c r="B2691" i="3"/>
  <c r="C2691" i="3"/>
  <c r="B2692" i="3"/>
  <c r="C2692" i="3"/>
  <c r="B2693" i="3"/>
  <c r="C2693" i="3"/>
  <c r="B2694" i="3"/>
  <c r="C2694" i="3"/>
  <c r="B2695" i="3"/>
  <c r="C2695" i="3"/>
  <c r="B2696" i="3"/>
  <c r="C2696" i="3"/>
  <c r="B2697" i="3"/>
  <c r="C2697" i="3"/>
  <c r="B2698" i="3"/>
  <c r="C2698" i="3"/>
  <c r="B2699" i="3"/>
  <c r="C2699" i="3"/>
  <c r="B2700" i="3"/>
  <c r="C2700" i="3"/>
  <c r="B2701" i="3"/>
  <c r="C2701" i="3"/>
  <c r="B2702" i="3"/>
  <c r="C2702" i="3"/>
  <c r="B2703" i="3"/>
  <c r="C2703" i="3"/>
  <c r="B2704" i="3"/>
  <c r="C2704" i="3"/>
  <c r="B2705" i="3"/>
  <c r="C2705" i="3"/>
  <c r="B2706" i="3"/>
  <c r="C2706" i="3"/>
  <c r="B2707" i="3"/>
  <c r="C2707" i="3"/>
  <c r="B2708" i="3"/>
  <c r="C2708" i="3"/>
  <c r="B2709" i="3"/>
  <c r="C2709" i="3"/>
  <c r="B2710" i="3"/>
  <c r="C2710" i="3"/>
  <c r="B2711" i="3"/>
  <c r="C2711" i="3"/>
  <c r="B2712" i="3"/>
  <c r="C2712" i="3"/>
  <c r="B2713" i="3"/>
  <c r="C2713" i="3"/>
  <c r="B2714" i="3"/>
  <c r="C2714" i="3"/>
  <c r="B2715" i="3"/>
  <c r="C2715" i="3"/>
  <c r="B2716" i="3"/>
  <c r="C2716" i="3"/>
  <c r="B2717" i="3"/>
  <c r="C2717" i="3"/>
  <c r="B2718" i="3"/>
  <c r="C2718" i="3"/>
  <c r="B2719" i="3"/>
  <c r="C2719" i="3"/>
  <c r="B2720" i="3"/>
  <c r="C2720" i="3"/>
  <c r="B2721" i="3"/>
  <c r="C2721" i="3"/>
  <c r="B2722" i="3"/>
  <c r="C2722" i="3"/>
  <c r="B2723" i="3"/>
  <c r="C2723" i="3"/>
  <c r="B2724" i="3"/>
  <c r="C2724" i="3"/>
  <c r="B2725" i="3"/>
  <c r="C2725" i="3"/>
  <c r="B2726" i="3"/>
  <c r="C2726" i="3"/>
  <c r="B2727" i="3"/>
  <c r="C2727" i="3"/>
  <c r="B2728" i="3"/>
  <c r="C2728" i="3"/>
  <c r="B2729" i="3"/>
  <c r="C2729" i="3"/>
  <c r="B2730" i="3"/>
  <c r="C2730" i="3"/>
  <c r="B2731" i="3"/>
  <c r="C2731" i="3"/>
  <c r="B2732" i="3"/>
  <c r="C2732" i="3"/>
  <c r="B2733" i="3"/>
  <c r="C2733" i="3"/>
  <c r="B2734" i="3"/>
  <c r="C2734" i="3"/>
  <c r="B2735" i="3"/>
  <c r="C2735" i="3"/>
  <c r="B2736" i="3"/>
  <c r="C2736" i="3"/>
  <c r="B2737" i="3"/>
  <c r="C2737" i="3"/>
  <c r="B2738" i="3"/>
  <c r="C2738" i="3"/>
  <c r="B2739" i="3"/>
  <c r="C2739" i="3"/>
  <c r="B2740" i="3"/>
  <c r="C2740" i="3"/>
  <c r="B2741" i="3"/>
  <c r="C2741" i="3"/>
  <c r="B2742" i="3"/>
  <c r="C2742" i="3"/>
  <c r="B2743" i="3"/>
  <c r="C2743" i="3"/>
  <c r="B2744" i="3"/>
  <c r="C2744" i="3"/>
  <c r="B2745" i="3"/>
  <c r="C2745" i="3"/>
  <c r="B2746" i="3"/>
  <c r="C2746" i="3"/>
  <c r="B2747" i="3"/>
  <c r="C2747" i="3"/>
  <c r="B2748" i="3"/>
  <c r="C2748" i="3"/>
  <c r="B2749" i="3"/>
  <c r="C2749" i="3"/>
  <c r="B2750" i="3"/>
  <c r="C2750" i="3"/>
  <c r="B2751" i="3"/>
  <c r="C2751" i="3"/>
  <c r="B2752" i="3"/>
  <c r="C2752" i="3"/>
  <c r="B2753" i="3"/>
  <c r="C2753" i="3"/>
  <c r="B2754" i="3"/>
  <c r="C2754" i="3"/>
  <c r="B2755" i="3"/>
  <c r="C2755" i="3"/>
  <c r="B2756" i="3"/>
  <c r="C2756" i="3"/>
  <c r="B2757" i="3"/>
  <c r="C2757" i="3"/>
  <c r="B2758" i="3"/>
  <c r="C2758" i="3"/>
  <c r="B2759" i="3"/>
  <c r="C2759" i="3"/>
  <c r="B2760" i="3"/>
  <c r="C2760" i="3"/>
  <c r="B2761" i="3"/>
  <c r="C2761" i="3"/>
  <c r="B2762" i="3"/>
  <c r="C2762" i="3"/>
  <c r="B2763" i="3"/>
  <c r="C2763" i="3"/>
  <c r="B2764" i="3"/>
  <c r="C2764" i="3"/>
  <c r="B2765" i="3"/>
  <c r="C2765" i="3"/>
  <c r="B2766" i="3"/>
  <c r="C2766" i="3"/>
  <c r="B2767" i="3"/>
  <c r="C2767" i="3"/>
  <c r="B2768" i="3"/>
  <c r="C2768" i="3"/>
  <c r="B2769" i="3"/>
  <c r="C2769" i="3"/>
  <c r="B2770" i="3"/>
  <c r="C2770" i="3"/>
  <c r="B2771" i="3"/>
  <c r="C2771" i="3"/>
  <c r="B2772" i="3"/>
  <c r="C2772" i="3"/>
  <c r="B2773" i="3"/>
  <c r="C2773" i="3"/>
  <c r="B2774" i="3"/>
  <c r="C2774" i="3"/>
  <c r="B2775" i="3"/>
  <c r="C2775" i="3"/>
  <c r="B2776" i="3"/>
  <c r="C2776" i="3"/>
  <c r="B2777" i="3"/>
  <c r="C2777" i="3"/>
  <c r="B2778" i="3"/>
  <c r="C2778" i="3"/>
  <c r="B2779" i="3"/>
  <c r="C2779" i="3"/>
  <c r="B2780" i="3"/>
  <c r="C2780" i="3"/>
  <c r="B2781" i="3"/>
  <c r="C2781" i="3"/>
  <c r="B2782" i="3"/>
  <c r="C2782" i="3"/>
  <c r="B2783" i="3"/>
  <c r="C2783" i="3"/>
  <c r="B2784" i="3"/>
  <c r="C2784" i="3"/>
  <c r="B2785" i="3"/>
  <c r="C2785" i="3"/>
  <c r="B2786" i="3"/>
  <c r="C2786" i="3"/>
  <c r="B2787" i="3"/>
  <c r="C2787" i="3"/>
  <c r="B2788" i="3"/>
  <c r="C2788" i="3"/>
  <c r="B2789" i="3"/>
  <c r="C2789" i="3"/>
  <c r="B2790" i="3"/>
  <c r="C2790" i="3"/>
  <c r="B2791" i="3"/>
  <c r="C2791" i="3"/>
  <c r="B2792" i="3"/>
  <c r="C2792" i="3"/>
  <c r="B2793" i="3"/>
  <c r="C2793" i="3"/>
  <c r="B2794" i="3"/>
  <c r="C2794" i="3"/>
  <c r="B2795" i="3"/>
  <c r="C2795" i="3"/>
  <c r="B2796" i="3"/>
  <c r="C2796" i="3"/>
  <c r="B2797" i="3"/>
  <c r="C2797" i="3"/>
  <c r="B2798" i="3"/>
  <c r="C2798" i="3"/>
  <c r="B2799" i="3"/>
  <c r="C2799" i="3"/>
  <c r="B2800" i="3"/>
  <c r="C2800" i="3"/>
  <c r="B2801" i="3"/>
  <c r="C2801" i="3"/>
  <c r="B2802" i="3"/>
  <c r="C2802" i="3"/>
  <c r="B2803" i="3"/>
  <c r="C2803" i="3"/>
  <c r="B2804" i="3"/>
  <c r="C2804" i="3"/>
  <c r="B2805" i="3"/>
  <c r="C2805" i="3"/>
  <c r="B2806" i="3"/>
  <c r="C2806" i="3"/>
  <c r="B2807" i="3"/>
  <c r="C2807" i="3"/>
  <c r="B2808" i="3"/>
  <c r="C2808" i="3"/>
  <c r="B2809" i="3"/>
  <c r="C2809" i="3"/>
  <c r="B2810" i="3"/>
  <c r="C2810" i="3"/>
  <c r="B2811" i="3"/>
  <c r="C2811" i="3"/>
  <c r="B2812" i="3"/>
  <c r="C2812" i="3"/>
  <c r="B2813" i="3"/>
  <c r="C2813" i="3"/>
  <c r="B2814" i="3"/>
  <c r="C2814" i="3"/>
  <c r="B2815" i="3"/>
  <c r="C2815" i="3"/>
  <c r="B2816" i="3"/>
  <c r="C2816" i="3"/>
  <c r="B2817" i="3"/>
  <c r="C2817" i="3"/>
  <c r="B2818" i="3"/>
  <c r="C2818" i="3"/>
  <c r="B2819" i="3"/>
  <c r="C2819" i="3"/>
  <c r="B2820" i="3"/>
  <c r="C2820" i="3"/>
  <c r="B2821" i="3"/>
  <c r="C2821" i="3"/>
  <c r="B2822" i="3"/>
  <c r="C2822" i="3"/>
  <c r="B2823" i="3"/>
  <c r="C2823" i="3"/>
  <c r="B2824" i="3"/>
  <c r="C2824" i="3"/>
  <c r="B2825" i="3"/>
  <c r="C2825" i="3"/>
  <c r="B2826" i="3"/>
  <c r="C2826" i="3"/>
  <c r="B2827" i="3"/>
  <c r="C2827" i="3"/>
  <c r="B2828" i="3"/>
  <c r="C2828" i="3"/>
  <c r="B2829" i="3"/>
  <c r="C2829" i="3"/>
  <c r="B2830" i="3"/>
  <c r="C2830" i="3"/>
  <c r="B2831" i="3"/>
  <c r="C2831" i="3"/>
  <c r="B2832" i="3"/>
  <c r="C2832" i="3"/>
  <c r="B2833" i="3"/>
  <c r="C2833" i="3"/>
  <c r="B2834" i="3"/>
  <c r="C2834" i="3"/>
  <c r="B2835" i="3"/>
  <c r="C2835" i="3"/>
  <c r="B2836" i="3"/>
  <c r="C2836" i="3"/>
  <c r="B2837" i="3"/>
  <c r="C2837" i="3"/>
  <c r="B2838" i="3"/>
  <c r="C2838" i="3"/>
  <c r="B2839" i="3"/>
  <c r="C2839" i="3"/>
  <c r="B2840" i="3"/>
  <c r="C2840" i="3"/>
  <c r="B2841" i="3"/>
  <c r="C2841" i="3"/>
  <c r="B2842" i="3"/>
  <c r="C2842" i="3"/>
  <c r="B2843" i="3"/>
  <c r="C2843" i="3"/>
  <c r="B2844" i="3"/>
  <c r="C2844" i="3"/>
  <c r="B2845" i="3"/>
  <c r="C2845" i="3"/>
  <c r="B2846" i="3"/>
  <c r="C2846" i="3"/>
  <c r="B2847" i="3"/>
  <c r="C2847" i="3"/>
  <c r="B2848" i="3"/>
  <c r="C2848" i="3"/>
  <c r="B2849" i="3"/>
  <c r="C2849" i="3"/>
  <c r="B2850" i="3"/>
  <c r="C2850" i="3"/>
  <c r="B2851" i="3"/>
  <c r="C2851" i="3"/>
  <c r="B2852" i="3"/>
  <c r="C2852" i="3"/>
  <c r="B2853" i="3"/>
  <c r="C2853" i="3"/>
  <c r="B2854" i="3"/>
  <c r="C2854" i="3"/>
  <c r="B2855" i="3"/>
  <c r="C2855" i="3"/>
  <c r="B2856" i="3"/>
  <c r="C2856" i="3"/>
  <c r="B2857" i="3"/>
  <c r="C2857" i="3"/>
  <c r="B2858" i="3"/>
  <c r="C2858" i="3"/>
  <c r="B2859" i="3"/>
  <c r="C2859" i="3"/>
  <c r="B2860" i="3"/>
  <c r="C2860" i="3"/>
  <c r="B2861" i="3"/>
  <c r="C2861" i="3"/>
  <c r="B2862" i="3"/>
  <c r="C2862" i="3"/>
  <c r="B2863" i="3"/>
  <c r="C2863" i="3"/>
  <c r="B2864" i="3"/>
  <c r="C2864" i="3"/>
  <c r="B2865" i="3"/>
  <c r="C2865" i="3"/>
  <c r="B2866" i="3"/>
  <c r="C2866" i="3"/>
  <c r="B2867" i="3"/>
  <c r="C2867" i="3"/>
  <c r="B2868" i="3"/>
  <c r="C2868" i="3"/>
  <c r="B2869" i="3"/>
  <c r="C2869" i="3"/>
  <c r="B2870" i="3"/>
  <c r="C2870" i="3"/>
  <c r="B2871" i="3"/>
  <c r="C2871" i="3"/>
  <c r="B2872" i="3"/>
  <c r="C2872" i="3"/>
</calcChain>
</file>

<file path=xl/sharedStrings.xml><?xml version="1.0" encoding="utf-8"?>
<sst xmlns="http://schemas.openxmlformats.org/spreadsheetml/2006/main" count="15" uniqueCount="15">
  <si>
    <t>p-value</t>
  </si>
  <si>
    <t>Fold change</t>
  </si>
  <si>
    <t>Normalised count (C) HEK293 cells + RBBP9-FLAG</t>
  </si>
  <si>
    <t>Normalised count (B) HEK293 cells + RBBP9-FLAG</t>
  </si>
  <si>
    <t>Normalised count (A) HEK293 cells + FANCC-FLAG</t>
  </si>
  <si>
    <t>Raw count (C) HEK293 cells + RBBP9-FLAG</t>
  </si>
  <si>
    <t>Raw count (B) HEK293 cells + RBBP9-FLAG</t>
  </si>
  <si>
    <t>Raw count (A) HEK293 cells + FANCC-FLAG</t>
  </si>
  <si>
    <t>Percentage.sequence.coverage</t>
  </si>
  <si>
    <t>Mol.weight.kDa</t>
  </si>
  <si>
    <t>Kinase.names</t>
  </si>
  <si>
    <t>MaxQuant.gene.names</t>
  </si>
  <si>
    <t>MaxQuant.pgID</t>
  </si>
  <si>
    <t>RBBP9-FLAG IP-Mass spec data pertinent to Figure 4f.</t>
  </si>
  <si>
    <r>
      <t xml:space="preserve">indicates final selection of high-confidence RBBP9-interacting proteins based on spectral count abundance (fold change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2) as well as p-value </t>
    </r>
    <r>
      <rPr>
        <sz val="11"/>
        <color theme="1"/>
        <rFont val="Calibri"/>
        <family val="2"/>
      </rPr>
      <t>≤ 0.05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</si>
</sst>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5">
    <xf numFmtId="0" fontId="0" fillId="0" borderId="0" xfId="0"/>
    <xf numFmtId="0" fontId="1" fillId="3" borderId="0" xfId="2"/>
    <xf numFmtId="0" fontId="1" fillId="2" borderId="0" xfId="1"/>
    <xf numFmtId="0" fontId="0" fillId="0" borderId="0" xfId="0" applyFill="1"/>
    <xf numFmtId="0" fontId="0" fillId="4" borderId="0" xfId="0" applyFill="1"/>
    <xf numFmtId="0" fontId="2" fillId="0" borderId="0" xfId="0" applyFont="1" applyFill="1"/>
    <xf numFmtId="0" fontId="3" fillId="0" borderId="0" xfId="2" applyFont="1" applyFill="1"/>
    <xf numFmtId="0" fontId="3" fillId="0" borderId="0" xfId="1" applyFont="1" applyFill="1"/>
    <xf numFmtId="0" fontId="1" fillId="4" borderId="0" xfId="2" applyFill="1"/>
    <xf numFmtId="0" fontId="1" fillId="4" borderId="0" xfId="1" applyFill="1"/>
    <xf numFmtId="11" fontId="0" fillId="4" borderId="0" xfId="0" applyNumberFormat="1" applyFill="1"/>
    <xf numFmtId="0" fontId="2" fillId="0" borderId="0" xfId="2" applyFont="1" applyFill="1"/>
    <xf numFmtId="0" fontId="2" fillId="0" borderId="0" xfId="1" applyFont="1" applyFill="1"/>
    <xf numFmtId="0" fontId="3" fillId="0" borderId="0" xfId="0" applyFont="1" applyFill="1"/>
    <xf numFmtId="0" fontId="4" fillId="5" borderId="0" xfId="0" applyFont="1" applyFill="1"/>
  </cellXfs>
  <cellStyles count="3">
    <cellStyle name="Accent5" xfId="1" builtinId="45"/>
    <cellStyle name="Accent6" xfId="2" builtinId="4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avy's%20Workplace\23%20screen%20Pai%20-%20Fanconi\RBBP9%20MAssSpec\PrOEF-021220-OPLnumber-DR-RBBP9_BARD1%20IP-JCK10Jan2017-tp2101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stigator &amp; Experiment Data"/>
      <sheetName val="Sample Source Data &amp; Gel Images"/>
      <sheetName val="RESULT&gt;&gt;&gt;"/>
      <sheetName val="parameter settings"/>
      <sheetName val="QC"/>
      <sheetName val="protein report"/>
      <sheetName val="unsupervised clustering"/>
      <sheetName val="A-vs-BC"/>
      <sheetName val="clust. A-vs-BC"/>
      <sheetName val="DE-vs-FG"/>
      <sheetName val="clust. DE-vs-FG"/>
      <sheetName val="Drop Dow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A4" t="str">
            <v>1DGE Gel</v>
          </cell>
          <cell r="B4" t="str">
            <v>Coomassie</v>
          </cell>
          <cell r="C4" t="str">
            <v>Identification Of Complex Mixtures (MS and MS/MS)</v>
          </cell>
          <cell r="D4" t="str">
            <v>By Collaborator</v>
          </cell>
          <cell r="E4" t="str">
            <v>1DGE + IGD</v>
          </cell>
          <cell r="F4">
            <v>1</v>
          </cell>
          <cell r="G4">
            <v>1</v>
          </cell>
          <cell r="H4" t="str">
            <v>Human</v>
          </cell>
          <cell r="I4" t="str">
            <v>2-group comparison, beta-binomial statistics</v>
          </cell>
        </row>
        <row r="5">
          <cell r="A5" t="str">
            <v>1DGE Gel Slice</v>
          </cell>
          <cell r="B5" t="str">
            <v>Silver</v>
          </cell>
          <cell r="C5" t="str">
            <v>Identification Of Simple Mixtures (MS and MS/MS)</v>
          </cell>
          <cell r="D5" t="str">
            <v>By Collaborator at OPL</v>
          </cell>
          <cell r="E5" t="str">
            <v>1DGE(blob gel) + IGD</v>
          </cell>
          <cell r="F5">
            <v>2</v>
          </cell>
          <cell r="G5">
            <v>2</v>
          </cell>
          <cell r="H5" t="str">
            <v>Mouse</v>
          </cell>
          <cell r="I5" t="str">
            <v>2-group comparison, paired statistics</v>
          </cell>
        </row>
        <row r="6">
          <cell r="A6" t="str">
            <v>2DGE Gel Punch</v>
          </cell>
          <cell r="C6" t="str">
            <v>Mass Determination (MS only)</v>
          </cell>
          <cell r="D6" t="str">
            <v>By OPL</v>
          </cell>
          <cell r="E6" t="str">
            <v>2DGE + IGD</v>
          </cell>
          <cell r="F6">
            <v>3</v>
          </cell>
          <cell r="G6">
            <v>3</v>
          </cell>
          <cell r="H6" t="str">
            <v>Rat</v>
          </cell>
          <cell r="I6" t="str">
            <v>3-group comparison, beta-binomial statistics</v>
          </cell>
        </row>
        <row r="7">
          <cell r="A7" t="str">
            <v>Biochemical Fraction</v>
          </cell>
          <cell r="C7" t="str">
            <v>Profiling (MS only)</v>
          </cell>
          <cell r="D7" t="str">
            <v>By OPL (Service)</v>
          </cell>
          <cell r="E7" t="str">
            <v>Bead Clean-up</v>
          </cell>
          <cell r="F7">
            <v>4</v>
          </cell>
          <cell r="G7">
            <v>5</v>
          </cell>
        </row>
        <row r="8">
          <cell r="A8" t="str">
            <v>Cell Lysate</v>
          </cell>
          <cell r="E8" t="str">
            <v>FASP + ISD</v>
          </cell>
          <cell r="F8">
            <v>5</v>
          </cell>
          <cell r="G8">
            <v>10</v>
          </cell>
        </row>
        <row r="9">
          <cell r="A9" t="str">
            <v>Exosomes</v>
          </cell>
          <cell r="E9" t="str">
            <v>IGD</v>
          </cell>
          <cell r="F9">
            <v>6</v>
          </cell>
        </row>
        <row r="10">
          <cell r="A10" t="str">
            <v>FFPE Tissue</v>
          </cell>
          <cell r="E10" t="str">
            <v>ISD</v>
          </cell>
          <cell r="F10">
            <v>7</v>
          </cell>
        </row>
        <row r="11">
          <cell r="A11" t="str">
            <v>FFPE Tissue Lysate</v>
          </cell>
          <cell r="E11" t="str">
            <v>ISD + pTyr IP</v>
          </cell>
          <cell r="F11">
            <v>8</v>
          </cell>
        </row>
        <row r="12">
          <cell r="A12" t="str">
            <v>LC fraction</v>
          </cell>
          <cell r="E12" t="str">
            <v>ISD + TiOx capture</v>
          </cell>
          <cell r="F12">
            <v>9</v>
          </cell>
        </row>
        <row r="13">
          <cell r="A13" t="str">
            <v>Peptide Eluate</v>
          </cell>
          <cell r="E13" t="str">
            <v>ISD + TiOx capture + pTyr IP</v>
          </cell>
          <cell r="F13">
            <v>10</v>
          </cell>
        </row>
        <row r="14">
          <cell r="A14" t="str">
            <v>Plasma</v>
          </cell>
          <cell r="E14" t="str">
            <v>LCM, FASP + ISD</v>
          </cell>
          <cell r="F14">
            <v>11</v>
          </cell>
        </row>
        <row r="15">
          <cell r="A15" t="str">
            <v>Secretome</v>
          </cell>
          <cell r="E15" t="str">
            <v>ZipTip Clean-up</v>
          </cell>
          <cell r="F15">
            <v>12</v>
          </cell>
        </row>
        <row r="16">
          <cell r="A16" t="str">
            <v>Serum</v>
          </cell>
          <cell r="F16">
            <v>13</v>
          </cell>
        </row>
        <row r="17">
          <cell r="A17" t="str">
            <v>Synthetic Peptide</v>
          </cell>
          <cell r="F17">
            <v>14</v>
          </cell>
        </row>
        <row r="18">
          <cell r="A18" t="str">
            <v>Tissue Lysate</v>
          </cell>
          <cell r="F18">
            <v>15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tabSelected="1" workbookViewId="0">
      <selection activeCell="R26" sqref="R26"/>
    </sheetView>
  </sheetViews>
  <sheetFormatPr defaultRowHeight="15" x14ac:dyDescent="0.25"/>
  <sheetData>
    <row r="3" spans="2:3" x14ac:dyDescent="0.25">
      <c r="B3" t="s">
        <v>13</v>
      </c>
    </row>
    <row r="5" spans="2:3" x14ac:dyDescent="0.25">
      <c r="B5" s="14"/>
      <c r="C5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5"/>
  <sheetViews>
    <sheetView workbookViewId="0">
      <selection activeCell="H1" sqref="H1"/>
    </sheetView>
  </sheetViews>
  <sheetFormatPr defaultRowHeight="15" x14ac:dyDescent="0.25"/>
  <cols>
    <col min="6" max="6" width="9.7109375" customWidth="1"/>
    <col min="7" max="7" width="11.85546875" customWidth="1"/>
    <col min="8" max="8" width="11" customWidth="1"/>
    <col min="9" max="9" width="9.140625" style="2"/>
    <col min="10" max="11" width="9.140625" style="1"/>
  </cols>
  <sheetData>
    <row r="1" spans="1:13" s="5" customFormat="1" x14ac:dyDescent="0.25">
      <c r="A1" s="5" t="s">
        <v>12</v>
      </c>
      <c r="B1" s="5" t="s">
        <v>11</v>
      </c>
      <c r="C1" s="5" t="s">
        <v>10</v>
      </c>
      <c r="D1" s="5" t="s">
        <v>9</v>
      </c>
      <c r="E1" s="5" t="s">
        <v>8</v>
      </c>
      <c r="F1" s="5" t="s">
        <v>7</v>
      </c>
      <c r="G1" s="5" t="s">
        <v>6</v>
      </c>
      <c r="H1" s="5" t="s">
        <v>5</v>
      </c>
      <c r="I1" s="12" t="s">
        <v>4</v>
      </c>
      <c r="J1" s="11" t="s">
        <v>3</v>
      </c>
      <c r="K1" s="11" t="s">
        <v>2</v>
      </c>
      <c r="L1" s="5" t="s">
        <v>1</v>
      </c>
      <c r="M1" s="5" t="s">
        <v>0</v>
      </c>
    </row>
    <row r="2" spans="1:13" s="4" customFormat="1" x14ac:dyDescent="0.25">
      <c r="A2" s="4">
        <v>352</v>
      </c>
      <c r="B2" s="4" t="str">
        <f>"RBBP9"</f>
        <v>RBBP9</v>
      </c>
      <c r="C2" s="4" t="str">
        <f>""</f>
        <v/>
      </c>
      <c r="D2" s="4">
        <v>21</v>
      </c>
      <c r="E2" s="4">
        <v>68.8</v>
      </c>
      <c r="F2" s="4">
        <v>33</v>
      </c>
      <c r="G2" s="4">
        <v>393</v>
      </c>
      <c r="H2" s="4">
        <v>364</v>
      </c>
      <c r="I2" s="9">
        <v>18.507449842012001</v>
      </c>
      <c r="J2" s="8">
        <v>228.41647143389599</v>
      </c>
      <c r="K2" s="8">
        <v>219.66679566563499</v>
      </c>
      <c r="L2" s="4">
        <v>12.105483762608401</v>
      </c>
      <c r="M2" s="10">
        <v>1.8919685020631802E-5</v>
      </c>
    </row>
    <row r="3" spans="1:13" s="4" customFormat="1" x14ac:dyDescent="0.25">
      <c r="A3" s="4">
        <v>1667</v>
      </c>
      <c r="B3" s="4" t="str">
        <f>"GOLGB1"</f>
        <v>GOLGB1</v>
      </c>
      <c r="C3" s="4" t="str">
        <f>""</f>
        <v/>
      </c>
      <c r="D3" s="4">
        <v>367.42</v>
      </c>
      <c r="E3" s="4">
        <v>3.9</v>
      </c>
      <c r="F3" s="4">
        <v>0</v>
      </c>
      <c r="G3" s="4">
        <v>6</v>
      </c>
      <c r="H3" s="4">
        <v>5</v>
      </c>
      <c r="I3" s="9">
        <v>0</v>
      </c>
      <c r="J3" s="8">
        <v>3.4872743730365801</v>
      </c>
      <c r="K3" s="8">
        <v>3.0174010393631101</v>
      </c>
      <c r="L3" s="4">
        <v>10000</v>
      </c>
      <c r="M3" s="4">
        <v>6.5278998186156503E-3</v>
      </c>
    </row>
    <row r="4" spans="1:13" s="4" customFormat="1" x14ac:dyDescent="0.25">
      <c r="A4" s="4">
        <v>506</v>
      </c>
      <c r="B4" s="4" t="str">
        <f>"CSTB"</f>
        <v>CSTB</v>
      </c>
      <c r="C4" s="4" t="str">
        <f>""</f>
        <v/>
      </c>
      <c r="D4" s="4">
        <v>11.138999999999999</v>
      </c>
      <c r="E4" s="4">
        <v>12.2</v>
      </c>
      <c r="F4" s="4">
        <v>0</v>
      </c>
      <c r="G4" s="4">
        <v>6</v>
      </c>
      <c r="H4" s="4">
        <v>4</v>
      </c>
      <c r="I4" s="9">
        <v>0</v>
      </c>
      <c r="J4" s="8">
        <v>3.4872743730365801</v>
      </c>
      <c r="K4" s="8">
        <v>2.4139208314904899</v>
      </c>
      <c r="L4" s="4">
        <v>10000</v>
      </c>
      <c r="M4" s="4">
        <v>9.0311048056365296E-3</v>
      </c>
    </row>
    <row r="5" spans="1:13" s="4" customFormat="1" x14ac:dyDescent="0.25">
      <c r="A5" s="4">
        <v>2286</v>
      </c>
      <c r="B5" s="4" t="str">
        <f>"ANP32B"</f>
        <v>ANP32B</v>
      </c>
      <c r="C5" s="4" t="str">
        <f>""</f>
        <v/>
      </c>
      <c r="D5" s="4">
        <v>22.276</v>
      </c>
      <c r="E5" s="4">
        <v>12.3</v>
      </c>
      <c r="F5" s="4">
        <v>0</v>
      </c>
      <c r="G5" s="4">
        <v>5</v>
      </c>
      <c r="H5" s="4">
        <v>4</v>
      </c>
      <c r="I5" s="9">
        <v>0</v>
      </c>
      <c r="J5" s="8">
        <v>2.9060619775304799</v>
      </c>
      <c r="K5" s="8">
        <v>2.4139208314904899</v>
      </c>
      <c r="L5" s="4">
        <v>10000</v>
      </c>
      <c r="M5" s="4">
        <v>9.9315177395611597E-3</v>
      </c>
    </row>
    <row r="6" spans="1:13" s="4" customFormat="1" x14ac:dyDescent="0.25">
      <c r="A6" s="4">
        <v>1335</v>
      </c>
      <c r="B6" s="4" t="str">
        <f>"RPS15"</f>
        <v>RPS15</v>
      </c>
      <c r="C6" s="4" t="str">
        <f>""</f>
        <v/>
      </c>
      <c r="D6" s="4">
        <v>17.04</v>
      </c>
      <c r="E6" s="4">
        <v>35.9</v>
      </c>
      <c r="F6" s="4">
        <v>0</v>
      </c>
      <c r="G6" s="4">
        <v>4</v>
      </c>
      <c r="H6" s="4">
        <v>5</v>
      </c>
      <c r="I6" s="9">
        <v>0</v>
      </c>
      <c r="J6" s="8">
        <v>2.32484958202439</v>
      </c>
      <c r="K6" s="8">
        <v>3.0174010393631101</v>
      </c>
      <c r="L6" s="4">
        <v>10000</v>
      </c>
      <c r="M6" s="4">
        <v>1.0205600824396199E-2</v>
      </c>
    </row>
    <row r="7" spans="1:13" s="4" customFormat="1" x14ac:dyDescent="0.25">
      <c r="A7" s="4">
        <v>1571</v>
      </c>
      <c r="B7" s="4" t="str">
        <f>"TCOF1"</f>
        <v>TCOF1</v>
      </c>
      <c r="C7" s="4" t="str">
        <f>""</f>
        <v/>
      </c>
      <c r="D7" s="4">
        <v>144.31</v>
      </c>
      <c r="E7" s="4">
        <v>5.2</v>
      </c>
      <c r="F7" s="4">
        <v>0</v>
      </c>
      <c r="G7" s="4">
        <v>4</v>
      </c>
      <c r="H7" s="4">
        <v>4</v>
      </c>
      <c r="I7" s="9">
        <v>0</v>
      </c>
      <c r="J7" s="8">
        <v>2.32484958202439</v>
      </c>
      <c r="K7" s="8">
        <v>2.4139208314904899</v>
      </c>
      <c r="L7" s="4">
        <v>10000</v>
      </c>
      <c r="M7" s="4">
        <v>1.23844698374172E-2</v>
      </c>
    </row>
    <row r="8" spans="1:13" s="4" customFormat="1" x14ac:dyDescent="0.25">
      <c r="A8" s="4">
        <v>2844</v>
      </c>
      <c r="B8" s="4" t="str">
        <f>"NHP2"</f>
        <v>NHP2</v>
      </c>
      <c r="C8" s="4" t="str">
        <f>""</f>
        <v/>
      </c>
      <c r="D8" s="4">
        <v>17.201000000000001</v>
      </c>
      <c r="E8" s="4">
        <v>6.5</v>
      </c>
      <c r="F8" s="4">
        <v>0</v>
      </c>
      <c r="G8" s="4">
        <v>4</v>
      </c>
      <c r="H8" s="4">
        <v>3</v>
      </c>
      <c r="I8" s="9">
        <v>0</v>
      </c>
      <c r="J8" s="8">
        <v>2.32484958202439</v>
      </c>
      <c r="K8" s="8">
        <v>1.8104406236178701</v>
      </c>
      <c r="L8" s="4">
        <v>10000</v>
      </c>
      <c r="M8" s="4">
        <v>1.74751307099166E-2</v>
      </c>
    </row>
    <row r="9" spans="1:13" s="4" customFormat="1" x14ac:dyDescent="0.25">
      <c r="A9" s="4">
        <v>1347</v>
      </c>
      <c r="B9" s="4" t="str">
        <f>"PPIA"</f>
        <v>PPIA</v>
      </c>
      <c r="C9" s="4" t="str">
        <f>""</f>
        <v/>
      </c>
      <c r="D9" s="4">
        <v>11.417999999999999</v>
      </c>
      <c r="E9" s="4">
        <v>10.5</v>
      </c>
      <c r="F9" s="4">
        <v>0</v>
      </c>
      <c r="G9" s="4">
        <v>3</v>
      </c>
      <c r="H9" s="4">
        <v>4</v>
      </c>
      <c r="I9" s="9">
        <v>0</v>
      </c>
      <c r="J9" s="8">
        <v>1.74363718651829</v>
      </c>
      <c r="K9" s="8">
        <v>2.4139208314904899</v>
      </c>
      <c r="L9" s="4">
        <v>10000</v>
      </c>
      <c r="M9" s="4">
        <v>1.7810626015509E-2</v>
      </c>
    </row>
    <row r="10" spans="1:13" s="4" customFormat="1" x14ac:dyDescent="0.25">
      <c r="A10" s="4">
        <v>1785</v>
      </c>
      <c r="B10" s="4" t="str">
        <f>"PFKFB3"</f>
        <v>PFKFB3</v>
      </c>
      <c r="C10" s="4" t="str">
        <f>""</f>
        <v/>
      </c>
      <c r="D10" s="4">
        <v>57.286999999999999</v>
      </c>
      <c r="E10" s="4">
        <v>6.8</v>
      </c>
      <c r="F10" s="4">
        <v>0</v>
      </c>
      <c r="G10" s="4">
        <v>3</v>
      </c>
      <c r="H10" s="4">
        <v>4</v>
      </c>
      <c r="I10" s="9">
        <v>0</v>
      </c>
      <c r="J10" s="8">
        <v>1.74363718651829</v>
      </c>
      <c r="K10" s="8">
        <v>2.4139208314904899</v>
      </c>
      <c r="L10" s="4">
        <v>10000</v>
      </c>
      <c r="M10" s="4">
        <v>1.7810626015509E-2</v>
      </c>
    </row>
    <row r="11" spans="1:13" s="4" customFormat="1" x14ac:dyDescent="0.25">
      <c r="A11" s="4">
        <v>2738</v>
      </c>
      <c r="B11" s="4" t="str">
        <f>"MOV10"</f>
        <v>MOV10</v>
      </c>
      <c r="C11" s="4" t="str">
        <f>""</f>
        <v/>
      </c>
      <c r="D11" s="4">
        <v>113.67</v>
      </c>
      <c r="E11" s="4">
        <v>7.4</v>
      </c>
      <c r="F11" s="4">
        <v>2</v>
      </c>
      <c r="G11" s="4">
        <v>9</v>
      </c>
      <c r="H11" s="4">
        <v>8</v>
      </c>
      <c r="I11" s="9">
        <v>1.1216636267886</v>
      </c>
      <c r="J11" s="8">
        <v>5.2309115595548699</v>
      </c>
      <c r="K11" s="8">
        <v>4.8278416629809797</v>
      </c>
      <c r="L11" s="4">
        <v>4.4838545987867704</v>
      </c>
      <c r="M11" s="4">
        <v>2.2496154610830599E-2</v>
      </c>
    </row>
    <row r="12" spans="1:13" s="4" customFormat="1" x14ac:dyDescent="0.25">
      <c r="A12" s="4">
        <v>1304</v>
      </c>
      <c r="B12" s="4" t="str">
        <f>"PPP1CA"</f>
        <v>PPP1CA</v>
      </c>
      <c r="C12" s="4" t="str">
        <f>""</f>
        <v/>
      </c>
      <c r="D12" s="4">
        <v>37.512</v>
      </c>
      <c r="E12" s="4">
        <v>15.2</v>
      </c>
      <c r="F12" s="4">
        <v>0</v>
      </c>
      <c r="G12" s="4">
        <v>3</v>
      </c>
      <c r="H12" s="4">
        <v>3</v>
      </c>
      <c r="I12" s="9">
        <v>0</v>
      </c>
      <c r="J12" s="8">
        <v>1.74363718651829</v>
      </c>
      <c r="K12" s="8">
        <v>1.8104406236178701</v>
      </c>
      <c r="L12" s="4">
        <v>10000</v>
      </c>
      <c r="M12" s="4">
        <v>2.46894339539214E-2</v>
      </c>
    </row>
    <row r="13" spans="1:13" s="4" customFormat="1" x14ac:dyDescent="0.25">
      <c r="A13" s="4">
        <v>1007</v>
      </c>
      <c r="B13" s="4" t="str">
        <f>"BUD31"</f>
        <v>BUD31</v>
      </c>
      <c r="C13" s="4" t="str">
        <f>""</f>
        <v/>
      </c>
      <c r="D13" s="4">
        <v>17</v>
      </c>
      <c r="E13" s="4">
        <v>12.5</v>
      </c>
      <c r="F13" s="4">
        <v>0</v>
      </c>
      <c r="G13" s="4">
        <v>3</v>
      </c>
      <c r="H13" s="4">
        <v>3</v>
      </c>
      <c r="I13" s="9">
        <v>0</v>
      </c>
      <c r="J13" s="8">
        <v>1.74363718651829</v>
      </c>
      <c r="K13" s="8">
        <v>1.8104406236178701</v>
      </c>
      <c r="L13" s="4">
        <v>10000</v>
      </c>
      <c r="M13" s="4">
        <v>2.46894339539214E-2</v>
      </c>
    </row>
    <row r="14" spans="1:13" s="4" customFormat="1" x14ac:dyDescent="0.25">
      <c r="A14" s="4">
        <v>1976</v>
      </c>
      <c r="B14" s="4" t="str">
        <f>"NFXL1"</f>
        <v>NFXL1</v>
      </c>
      <c r="C14" s="4" t="str">
        <f>""</f>
        <v/>
      </c>
      <c r="D14" s="4">
        <v>101.34</v>
      </c>
      <c r="E14" s="4">
        <v>4.4000000000000004</v>
      </c>
      <c r="F14" s="4">
        <v>0</v>
      </c>
      <c r="G14" s="4">
        <v>3</v>
      </c>
      <c r="H14" s="4">
        <v>3</v>
      </c>
      <c r="I14" s="9">
        <v>0</v>
      </c>
      <c r="J14" s="8">
        <v>1.74363718651829</v>
      </c>
      <c r="K14" s="8">
        <v>1.8104406236178701</v>
      </c>
      <c r="L14" s="4">
        <v>10000</v>
      </c>
      <c r="M14" s="4">
        <v>2.46894339539214E-2</v>
      </c>
    </row>
    <row r="15" spans="1:13" s="4" customFormat="1" x14ac:dyDescent="0.25">
      <c r="A15" s="4">
        <v>2071</v>
      </c>
      <c r="B15" s="4" t="str">
        <f>"CHD1L"</f>
        <v>CHD1L</v>
      </c>
      <c r="C15" s="4" t="str">
        <f>""</f>
        <v/>
      </c>
      <c r="D15" s="4">
        <v>90.254000000000005</v>
      </c>
      <c r="E15" s="4">
        <v>4.9000000000000004</v>
      </c>
      <c r="F15" s="4">
        <v>0</v>
      </c>
      <c r="G15" s="4">
        <v>3</v>
      </c>
      <c r="H15" s="4">
        <v>3</v>
      </c>
      <c r="I15" s="9">
        <v>0</v>
      </c>
      <c r="J15" s="8">
        <v>1.74363718651829</v>
      </c>
      <c r="K15" s="8">
        <v>1.8104406236178701</v>
      </c>
      <c r="L15" s="4">
        <v>10000</v>
      </c>
      <c r="M15" s="4">
        <v>2.46894339539214E-2</v>
      </c>
    </row>
    <row r="16" spans="1:13" s="4" customFormat="1" x14ac:dyDescent="0.25">
      <c r="A16" s="4">
        <v>2503</v>
      </c>
      <c r="B16" s="4" t="str">
        <f>"AKAP9"</f>
        <v>AKAP9</v>
      </c>
      <c r="C16" s="4" t="str">
        <f>""</f>
        <v/>
      </c>
      <c r="D16" s="4">
        <v>447.75</v>
      </c>
      <c r="E16" s="4">
        <v>1.7</v>
      </c>
      <c r="F16" s="4">
        <v>0</v>
      </c>
      <c r="G16" s="4">
        <v>5</v>
      </c>
      <c r="H16" s="4">
        <v>2</v>
      </c>
      <c r="I16" s="9">
        <v>0</v>
      </c>
      <c r="J16" s="8">
        <v>2.9060619775304799</v>
      </c>
      <c r="K16" s="8">
        <v>1.20696041574525</v>
      </c>
      <c r="L16" s="4">
        <v>10000</v>
      </c>
      <c r="M16" s="4">
        <v>2.71456350453733E-2</v>
      </c>
    </row>
    <row r="17" spans="1:13" s="4" customFormat="1" x14ac:dyDescent="0.25">
      <c r="A17" s="4">
        <v>1320</v>
      </c>
      <c r="B17" s="4" t="str">
        <f>"SNRPD3"</f>
        <v>SNRPD3</v>
      </c>
      <c r="C17" s="4" t="str">
        <f>""</f>
        <v/>
      </c>
      <c r="D17" s="4">
        <v>13.291</v>
      </c>
      <c r="E17" s="4">
        <v>40</v>
      </c>
      <c r="F17" s="4">
        <v>0</v>
      </c>
      <c r="G17" s="4">
        <v>4</v>
      </c>
      <c r="H17" s="4">
        <v>2</v>
      </c>
      <c r="I17" s="9">
        <v>0</v>
      </c>
      <c r="J17" s="8">
        <v>2.32484958202439</v>
      </c>
      <c r="K17" s="8">
        <v>1.20696041574525</v>
      </c>
      <c r="L17" s="4">
        <v>10000</v>
      </c>
      <c r="M17" s="4">
        <v>2.88470115809801E-2</v>
      </c>
    </row>
    <row r="18" spans="1:13" s="4" customFormat="1" x14ac:dyDescent="0.25">
      <c r="A18" s="4">
        <v>1877</v>
      </c>
      <c r="B18" s="4" t="str">
        <f>"RIF1"</f>
        <v>RIF1</v>
      </c>
      <c r="C18" s="4" t="str">
        <f>""</f>
        <v/>
      </c>
      <c r="D18" s="4">
        <v>271.69</v>
      </c>
      <c r="E18" s="4">
        <v>2.2000000000000002</v>
      </c>
      <c r="F18" s="4">
        <v>0</v>
      </c>
      <c r="G18" s="4">
        <v>2</v>
      </c>
      <c r="H18" s="4">
        <v>5</v>
      </c>
      <c r="I18" s="9">
        <v>0</v>
      </c>
      <c r="J18" s="8">
        <v>1.1624247910121901</v>
      </c>
      <c r="K18" s="8">
        <v>3.0174010393631101</v>
      </c>
      <c r="L18" s="4">
        <v>10000</v>
      </c>
      <c r="M18" s="4">
        <v>2.9399583617420899E-2</v>
      </c>
    </row>
    <row r="19" spans="1:13" s="4" customFormat="1" x14ac:dyDescent="0.25">
      <c r="A19" s="4">
        <v>2015</v>
      </c>
      <c r="B19" s="4" t="str">
        <f>"MRPL21"</f>
        <v>MRPL21</v>
      </c>
      <c r="C19" s="4" t="str">
        <f>""</f>
        <v/>
      </c>
      <c r="D19" s="4">
        <v>22.814</v>
      </c>
      <c r="E19" s="4">
        <v>19.5</v>
      </c>
      <c r="F19" s="4">
        <v>0</v>
      </c>
      <c r="G19" s="4">
        <v>2</v>
      </c>
      <c r="H19" s="4">
        <v>5</v>
      </c>
      <c r="I19" s="9">
        <v>0</v>
      </c>
      <c r="J19" s="8">
        <v>1.1624247910121901</v>
      </c>
      <c r="K19" s="8">
        <v>3.0174010393631101</v>
      </c>
      <c r="L19" s="4">
        <v>10000</v>
      </c>
      <c r="M19" s="4">
        <v>2.9399583617420899E-2</v>
      </c>
    </row>
    <row r="20" spans="1:13" s="4" customFormat="1" x14ac:dyDescent="0.25">
      <c r="A20" s="4">
        <v>786</v>
      </c>
      <c r="B20" s="4" t="str">
        <f>"PCMT1"</f>
        <v>PCMT1</v>
      </c>
      <c r="C20" s="4" t="str">
        <f>""</f>
        <v/>
      </c>
      <c r="D20" s="4">
        <v>24.635999999999999</v>
      </c>
      <c r="E20" s="4">
        <v>20.3</v>
      </c>
      <c r="F20" s="4">
        <v>0</v>
      </c>
      <c r="G20" s="4">
        <v>2</v>
      </c>
      <c r="H20" s="4">
        <v>4</v>
      </c>
      <c r="I20" s="9">
        <v>0</v>
      </c>
      <c r="J20" s="8">
        <v>1.1624247910121901</v>
      </c>
      <c r="K20" s="8">
        <v>2.4139208314904899</v>
      </c>
      <c r="L20" s="4">
        <v>10000</v>
      </c>
      <c r="M20" s="4">
        <v>2.99460594608532E-2</v>
      </c>
    </row>
    <row r="21" spans="1:13" s="4" customFormat="1" x14ac:dyDescent="0.25">
      <c r="A21" s="4">
        <v>1754</v>
      </c>
      <c r="B21" s="4" t="str">
        <f>"SEPT7"</f>
        <v>SEPT7</v>
      </c>
      <c r="C21" s="4" t="str">
        <f>""</f>
        <v/>
      </c>
      <c r="D21" s="4">
        <v>50.58</v>
      </c>
      <c r="E21" s="4">
        <v>13.8</v>
      </c>
      <c r="F21" s="4">
        <v>0</v>
      </c>
      <c r="G21" s="4">
        <v>2</v>
      </c>
      <c r="H21" s="4">
        <v>4</v>
      </c>
      <c r="I21" s="9">
        <v>0</v>
      </c>
      <c r="J21" s="8">
        <v>1.1624247910121901</v>
      </c>
      <c r="K21" s="8">
        <v>2.4139208314904899</v>
      </c>
      <c r="L21" s="4">
        <v>10000</v>
      </c>
      <c r="M21" s="4">
        <v>2.99460594608532E-2</v>
      </c>
    </row>
    <row r="22" spans="1:13" s="4" customFormat="1" x14ac:dyDescent="0.25">
      <c r="A22" s="4">
        <v>2251</v>
      </c>
      <c r="B22" s="4" t="str">
        <f>"PRPF31"</f>
        <v>PRPF31</v>
      </c>
      <c r="C22" s="4" t="str">
        <f>""</f>
        <v/>
      </c>
      <c r="D22" s="4">
        <v>54.908999999999999</v>
      </c>
      <c r="E22" s="4">
        <v>13.8</v>
      </c>
      <c r="F22" s="4">
        <v>7</v>
      </c>
      <c r="G22" s="4">
        <v>17</v>
      </c>
      <c r="H22" s="4">
        <v>14</v>
      </c>
      <c r="I22" s="9">
        <v>3.9258226937601099</v>
      </c>
      <c r="J22" s="8">
        <v>9.88061072360364</v>
      </c>
      <c r="K22" s="8">
        <v>8.4487229102167198</v>
      </c>
      <c r="L22" s="4">
        <v>2.3344576492150102</v>
      </c>
      <c r="M22" s="4">
        <v>3.5504191610770702E-2</v>
      </c>
    </row>
    <row r="23" spans="1:13" s="4" customFormat="1" x14ac:dyDescent="0.25">
      <c r="A23" s="4">
        <v>2907</v>
      </c>
      <c r="B23" s="4" t="str">
        <f>"SUCLA2"</f>
        <v>SUCLA2</v>
      </c>
      <c r="C23" s="4" t="str">
        <f>""</f>
        <v/>
      </c>
      <c r="D23" s="4">
        <v>48.039000000000001</v>
      </c>
      <c r="E23" s="4">
        <v>12.9</v>
      </c>
      <c r="F23" s="4">
        <v>1</v>
      </c>
      <c r="G23" s="4">
        <v>5</v>
      </c>
      <c r="H23" s="4">
        <v>6</v>
      </c>
      <c r="I23" s="9">
        <v>0.56083181339430199</v>
      </c>
      <c r="J23" s="8">
        <v>2.9060619775304799</v>
      </c>
      <c r="K23" s="8">
        <v>3.6208812472357401</v>
      </c>
      <c r="L23" s="4">
        <v>5.8189844699281901</v>
      </c>
      <c r="M23" s="4">
        <v>3.6481500913750797E-2</v>
      </c>
    </row>
    <row r="24" spans="1:13" s="4" customFormat="1" x14ac:dyDescent="0.25">
      <c r="A24" s="4">
        <v>363</v>
      </c>
      <c r="B24" s="4" t="str">
        <f>"RECQL5"</f>
        <v>RECQL5</v>
      </c>
      <c r="C24" s="4" t="str">
        <f>""</f>
        <v/>
      </c>
      <c r="D24" s="4">
        <v>106.05</v>
      </c>
      <c r="E24" s="4">
        <v>3</v>
      </c>
      <c r="F24" s="4">
        <v>0</v>
      </c>
      <c r="G24" s="4">
        <v>3</v>
      </c>
      <c r="H24" s="4">
        <v>2</v>
      </c>
      <c r="I24" s="9">
        <v>0</v>
      </c>
      <c r="J24" s="8">
        <v>1.74363718651829</v>
      </c>
      <c r="K24" s="8">
        <v>1.20696041574525</v>
      </c>
      <c r="L24" s="4">
        <v>10000</v>
      </c>
      <c r="M24" s="4">
        <v>3.99318181236843E-2</v>
      </c>
    </row>
    <row r="25" spans="1:13" s="4" customFormat="1" x14ac:dyDescent="0.25">
      <c r="A25" s="4">
        <v>2758</v>
      </c>
      <c r="B25" s="4" t="str">
        <f>"ISYNA1"</f>
        <v>ISYNA1</v>
      </c>
      <c r="C25" s="4" t="str">
        <f>""</f>
        <v/>
      </c>
      <c r="D25" s="4">
        <v>47.146000000000001</v>
      </c>
      <c r="E25" s="4">
        <v>12.8</v>
      </c>
      <c r="F25" s="4">
        <v>0</v>
      </c>
      <c r="G25" s="4">
        <v>3</v>
      </c>
      <c r="H25" s="4">
        <v>2</v>
      </c>
      <c r="I25" s="9">
        <v>0</v>
      </c>
      <c r="J25" s="8">
        <v>1.74363718651829</v>
      </c>
      <c r="K25" s="8">
        <v>1.20696041574525</v>
      </c>
      <c r="L25" s="4">
        <v>10000</v>
      </c>
      <c r="M25" s="4">
        <v>3.99318181236843E-2</v>
      </c>
    </row>
    <row r="26" spans="1:13" s="4" customFormat="1" x14ac:dyDescent="0.25">
      <c r="A26" s="4">
        <v>3138</v>
      </c>
      <c r="B26" s="4" t="str">
        <f>"SNX5"</f>
        <v>SNX5</v>
      </c>
      <c r="C26" s="4" t="str">
        <f>""</f>
        <v/>
      </c>
      <c r="D26" s="4">
        <v>46.816000000000003</v>
      </c>
      <c r="E26" s="4">
        <v>11.1</v>
      </c>
      <c r="F26" s="4">
        <v>0</v>
      </c>
      <c r="G26" s="4">
        <v>3</v>
      </c>
      <c r="H26" s="4">
        <v>2</v>
      </c>
      <c r="I26" s="9">
        <v>0</v>
      </c>
      <c r="J26" s="8">
        <v>1.74363718651829</v>
      </c>
      <c r="K26" s="8">
        <v>1.20696041574525</v>
      </c>
      <c r="L26" s="4">
        <v>10000</v>
      </c>
      <c r="M26" s="4">
        <v>3.99318181236843E-2</v>
      </c>
    </row>
    <row r="27" spans="1:13" s="4" customFormat="1" x14ac:dyDescent="0.25">
      <c r="A27" s="4">
        <v>1495</v>
      </c>
      <c r="B27" s="4" t="str">
        <f>"AHNAK"</f>
        <v>AHNAK</v>
      </c>
      <c r="C27" s="4" t="str">
        <f>""</f>
        <v/>
      </c>
      <c r="D27" s="4">
        <v>629.09</v>
      </c>
      <c r="E27" s="4">
        <v>1.2</v>
      </c>
      <c r="F27" s="4">
        <v>0</v>
      </c>
      <c r="G27" s="4">
        <v>2</v>
      </c>
      <c r="H27" s="4">
        <v>3</v>
      </c>
      <c r="I27" s="9">
        <v>0</v>
      </c>
      <c r="J27" s="8">
        <v>1.1624247910121901</v>
      </c>
      <c r="K27" s="8">
        <v>1.8104406236178701</v>
      </c>
      <c r="L27" s="4">
        <v>10000</v>
      </c>
      <c r="M27" s="4">
        <v>3.9931974787516901E-2</v>
      </c>
    </row>
    <row r="28" spans="1:13" s="4" customFormat="1" x14ac:dyDescent="0.25">
      <c r="A28" s="4">
        <v>165</v>
      </c>
      <c r="B28" s="4" t="str">
        <f>"SETD1A"</f>
        <v>SETD1A</v>
      </c>
      <c r="C28" s="4" t="str">
        <f>""</f>
        <v/>
      </c>
      <c r="D28" s="4">
        <v>186.03</v>
      </c>
      <c r="E28" s="4">
        <v>1.8</v>
      </c>
      <c r="F28" s="4">
        <v>0</v>
      </c>
      <c r="G28" s="4">
        <v>2</v>
      </c>
      <c r="H28" s="4">
        <v>3</v>
      </c>
      <c r="I28" s="9">
        <v>0</v>
      </c>
      <c r="J28" s="8">
        <v>1.1624247910121901</v>
      </c>
      <c r="K28" s="8">
        <v>1.8104406236178701</v>
      </c>
      <c r="L28" s="4">
        <v>10000</v>
      </c>
      <c r="M28" s="4">
        <v>3.9931974787516901E-2</v>
      </c>
    </row>
    <row r="29" spans="1:13" s="4" customFormat="1" x14ac:dyDescent="0.25">
      <c r="A29" s="4">
        <v>305</v>
      </c>
      <c r="B29" s="4" t="str">
        <f>"CAND2"</f>
        <v>CAND2</v>
      </c>
      <c r="C29" s="4" t="str">
        <f>""</f>
        <v/>
      </c>
      <c r="D29" s="4">
        <v>122.66</v>
      </c>
      <c r="E29" s="4">
        <v>5.0999999999999996</v>
      </c>
      <c r="F29" s="4">
        <v>0</v>
      </c>
      <c r="G29" s="4">
        <v>2</v>
      </c>
      <c r="H29" s="4">
        <v>3</v>
      </c>
      <c r="I29" s="9">
        <v>0</v>
      </c>
      <c r="J29" s="8">
        <v>1.1624247910121901</v>
      </c>
      <c r="K29" s="8">
        <v>1.8104406236178701</v>
      </c>
      <c r="L29" s="4">
        <v>10000</v>
      </c>
      <c r="M29" s="4">
        <v>3.9931974787516901E-2</v>
      </c>
    </row>
    <row r="30" spans="1:13" s="4" customFormat="1" x14ac:dyDescent="0.25">
      <c r="A30" s="4">
        <v>866</v>
      </c>
      <c r="B30" s="4" t="str">
        <f>"MAPK1"</f>
        <v>MAPK1</v>
      </c>
      <c r="C30" s="4" t="str">
        <f>"MAPK1"</f>
        <v>MAPK1</v>
      </c>
      <c r="D30" s="4">
        <v>36.432000000000002</v>
      </c>
      <c r="E30" s="4">
        <v>11.7</v>
      </c>
      <c r="F30" s="4">
        <v>0</v>
      </c>
      <c r="G30" s="4">
        <v>2</v>
      </c>
      <c r="H30" s="4">
        <v>3</v>
      </c>
      <c r="I30" s="9">
        <v>0</v>
      </c>
      <c r="J30" s="8">
        <v>1.1624247910121901</v>
      </c>
      <c r="K30" s="8">
        <v>1.8104406236178701</v>
      </c>
      <c r="L30" s="4">
        <v>10000</v>
      </c>
      <c r="M30" s="4">
        <v>3.9931974787516901E-2</v>
      </c>
    </row>
    <row r="31" spans="1:13" s="4" customFormat="1" x14ac:dyDescent="0.25">
      <c r="A31" s="4">
        <v>1316</v>
      </c>
      <c r="B31" s="4" t="str">
        <f>"RPS11"</f>
        <v>RPS11</v>
      </c>
      <c r="C31" s="4" t="str">
        <f>""</f>
        <v/>
      </c>
      <c r="D31" s="4">
        <v>18.431000000000001</v>
      </c>
      <c r="E31" s="4">
        <v>36.700000000000003</v>
      </c>
      <c r="F31" s="4">
        <v>1</v>
      </c>
      <c r="G31" s="4">
        <v>7</v>
      </c>
      <c r="H31" s="4">
        <v>4</v>
      </c>
      <c r="I31" s="9">
        <v>0.56083181339430199</v>
      </c>
      <c r="J31" s="8">
        <v>4.0684867685426802</v>
      </c>
      <c r="K31" s="8">
        <v>2.4139208314904899</v>
      </c>
      <c r="L31" s="4">
        <v>5.7792794962895604</v>
      </c>
      <c r="M31" s="4">
        <v>4.3183568619892303E-2</v>
      </c>
    </row>
    <row r="32" spans="1:13" s="4" customFormat="1" x14ac:dyDescent="0.25">
      <c r="A32" s="4">
        <v>933</v>
      </c>
      <c r="B32" s="4" t="str">
        <f>"MCM5"</f>
        <v>MCM5</v>
      </c>
      <c r="C32" s="4" t="str">
        <f>""</f>
        <v/>
      </c>
      <c r="D32" s="4">
        <v>82.284999999999997</v>
      </c>
      <c r="E32" s="4">
        <v>16.3</v>
      </c>
      <c r="F32" s="4">
        <v>6</v>
      </c>
      <c r="G32" s="4">
        <v>12</v>
      </c>
      <c r="H32" s="4">
        <v>15</v>
      </c>
      <c r="I32" s="9">
        <v>3.3649908803658102</v>
      </c>
      <c r="J32" s="8">
        <v>6.9745487460731601</v>
      </c>
      <c r="K32" s="8">
        <v>9.0522031180893396</v>
      </c>
      <c r="L32" s="4">
        <v>2.3813960325533201</v>
      </c>
      <c r="M32" s="4">
        <v>4.5500041996451697E-2</v>
      </c>
    </row>
    <row r="33" spans="1:13" s="4" customFormat="1" x14ac:dyDescent="0.25">
      <c r="A33" s="4">
        <v>1214</v>
      </c>
      <c r="B33" s="4" t="str">
        <f>"YARS"</f>
        <v>YARS</v>
      </c>
      <c r="C33" s="4" t="str">
        <f>""</f>
        <v/>
      </c>
      <c r="D33" s="4">
        <v>59.143000000000001</v>
      </c>
      <c r="E33" s="4">
        <v>19.899999999999999</v>
      </c>
      <c r="F33" s="4">
        <v>7</v>
      </c>
      <c r="G33" s="4">
        <v>15</v>
      </c>
      <c r="H33" s="4">
        <v>14</v>
      </c>
      <c r="I33" s="9">
        <v>3.9258226937601099</v>
      </c>
      <c r="J33" s="8">
        <v>8.7181859325914495</v>
      </c>
      <c r="K33" s="8">
        <v>8.4487229102167198</v>
      </c>
      <c r="L33" s="4">
        <v>2.18640908950041</v>
      </c>
      <c r="M33" s="4">
        <v>4.8788920954399802E-2</v>
      </c>
    </row>
    <row r="34" spans="1:13" s="13" customFormat="1" x14ac:dyDescent="0.25">
      <c r="A34" s="13">
        <v>623</v>
      </c>
      <c r="B34" s="13" t="str">
        <f>"HSPA1A;HSPA1B"</f>
        <v>HSPA1A;HSPA1B</v>
      </c>
      <c r="C34" s="13" t="str">
        <f>""</f>
        <v/>
      </c>
      <c r="D34" s="13">
        <v>70.051000000000002</v>
      </c>
      <c r="E34" s="13">
        <v>37.6</v>
      </c>
      <c r="F34" s="13">
        <v>139</v>
      </c>
      <c r="G34" s="13">
        <v>110</v>
      </c>
      <c r="H34" s="13">
        <v>92</v>
      </c>
      <c r="I34" s="7">
        <v>77.955622061808</v>
      </c>
      <c r="J34" s="6">
        <v>63.933363505670599</v>
      </c>
      <c r="K34" s="6">
        <v>55.520179124281299</v>
      </c>
      <c r="L34" s="13">
        <v>-1.30520402066772</v>
      </c>
      <c r="M34" s="13">
        <v>3.6415041868229497E-2</v>
      </c>
    </row>
    <row r="35" spans="1:13" s="13" customFormat="1" x14ac:dyDescent="0.25">
      <c r="A35" s="13">
        <v>1558</v>
      </c>
      <c r="B35" s="13" t="str">
        <f>"PABPC4"</f>
        <v>PABPC4</v>
      </c>
      <c r="C35" s="13" t="str">
        <f>""</f>
        <v/>
      </c>
      <c r="D35" s="13">
        <v>69.578000000000003</v>
      </c>
      <c r="E35" s="13">
        <v>5.0999999999999996</v>
      </c>
      <c r="F35" s="13">
        <v>12</v>
      </c>
      <c r="G35" s="13">
        <v>4</v>
      </c>
      <c r="H35" s="13">
        <v>4</v>
      </c>
      <c r="I35" s="7">
        <v>6.7299817607316301</v>
      </c>
      <c r="J35" s="6">
        <v>2.32484958202439</v>
      </c>
      <c r="K35" s="6">
        <v>2.4139208314904899</v>
      </c>
      <c r="L35" s="13">
        <v>-2.8403915672039499</v>
      </c>
      <c r="M35" s="13">
        <v>3.24736036069403E-2</v>
      </c>
    </row>
    <row r="36" spans="1:13" s="13" customFormat="1" x14ac:dyDescent="0.25">
      <c r="A36" s="13">
        <v>2409</v>
      </c>
      <c r="B36" s="13" t="str">
        <f>"ABHD14B"</f>
        <v>ABHD14B</v>
      </c>
      <c r="C36" s="13" t="str">
        <f>""</f>
        <v/>
      </c>
      <c r="D36" s="13">
        <v>22.344999999999999</v>
      </c>
      <c r="E36" s="13">
        <v>17.100000000000001</v>
      </c>
      <c r="F36" s="13">
        <v>10</v>
      </c>
      <c r="G36" s="13">
        <v>3</v>
      </c>
      <c r="H36" s="13">
        <v>3</v>
      </c>
      <c r="I36" s="7">
        <v>5.6083181339430199</v>
      </c>
      <c r="J36" s="6">
        <v>1.74363718651829</v>
      </c>
      <c r="K36" s="6">
        <v>1.8104406236178701</v>
      </c>
      <c r="L36" s="13">
        <v>-3.1559906302266199</v>
      </c>
      <c r="M36" s="13">
        <v>3.46715978101758E-2</v>
      </c>
    </row>
    <row r="37" spans="1:13" s="13" customFormat="1" x14ac:dyDescent="0.25">
      <c r="A37" s="13">
        <v>780</v>
      </c>
      <c r="B37" s="13" t="str">
        <f>"VDAC1"</f>
        <v>VDAC1</v>
      </c>
      <c r="C37" s="13" t="str">
        <f>""</f>
        <v/>
      </c>
      <c r="D37" s="13">
        <v>30.771999999999998</v>
      </c>
      <c r="E37" s="13">
        <v>14.5</v>
      </c>
      <c r="F37" s="13">
        <v>9</v>
      </c>
      <c r="G37" s="13">
        <v>2</v>
      </c>
      <c r="H37" s="13">
        <v>2</v>
      </c>
      <c r="I37" s="7">
        <v>5.0474863205487202</v>
      </c>
      <c r="J37" s="6">
        <v>1.1624247910121901</v>
      </c>
      <c r="K37" s="6">
        <v>1.20696041574525</v>
      </c>
      <c r="L37" s="13">
        <v>-4.2605873508059302</v>
      </c>
      <c r="M37" s="13">
        <v>2.45075532600228E-2</v>
      </c>
    </row>
    <row r="38" spans="1:13" s="13" customFormat="1" x14ac:dyDescent="0.25">
      <c r="A38" s="13">
        <v>468</v>
      </c>
      <c r="B38" s="13" t="str">
        <f>"IGHV3-21;IGHV3-20"</f>
        <v>IGHV3-21;IGHV3-20</v>
      </c>
      <c r="C38" s="13" t="str">
        <f>""</f>
        <v/>
      </c>
      <c r="D38" s="13">
        <v>12.943</v>
      </c>
      <c r="E38" s="13">
        <v>29.9</v>
      </c>
      <c r="F38" s="13">
        <v>40</v>
      </c>
      <c r="G38" s="13">
        <v>8</v>
      </c>
      <c r="H38" s="13">
        <v>7</v>
      </c>
      <c r="I38" s="7">
        <v>22.433272535772101</v>
      </c>
      <c r="J38" s="6">
        <v>4.6496991640487702</v>
      </c>
      <c r="K38" s="6">
        <v>4.2243614551083599</v>
      </c>
      <c r="L38" s="13">
        <v>-5.0559205077647604</v>
      </c>
      <c r="M38" s="13">
        <v>1.88243902000692E-3</v>
      </c>
    </row>
    <row r="39" spans="1:13" s="13" customFormat="1" x14ac:dyDescent="0.25">
      <c r="A39" s="13">
        <v>1037</v>
      </c>
      <c r="B39" s="13" t="str">
        <f>"GPD2"</f>
        <v>GPD2</v>
      </c>
      <c r="C39" s="13" t="str">
        <f>""</f>
        <v/>
      </c>
      <c r="D39" s="13">
        <v>67.531000000000006</v>
      </c>
      <c r="E39" s="13">
        <v>5.8</v>
      </c>
      <c r="F39" s="13">
        <v>6</v>
      </c>
      <c r="G39" s="13">
        <v>1</v>
      </c>
      <c r="H39" s="13">
        <v>1</v>
      </c>
      <c r="I39" s="7">
        <v>3.3649908803658102</v>
      </c>
      <c r="J39" s="6">
        <v>0.58121239550609605</v>
      </c>
      <c r="K39" s="6">
        <v>0.60348020787262302</v>
      </c>
      <c r="L39" s="13">
        <v>-5.6807831344079096</v>
      </c>
      <c r="M39" s="13">
        <v>3.2546653211491597E-2</v>
      </c>
    </row>
    <row r="40" spans="1:13" s="13" customFormat="1" x14ac:dyDescent="0.25">
      <c r="A40" s="13">
        <v>499</v>
      </c>
      <c r="B40" s="13" t="str">
        <f>"HPX"</f>
        <v>HPX</v>
      </c>
      <c r="C40" s="13" t="str">
        <f>""</f>
        <v/>
      </c>
      <c r="D40" s="13">
        <v>51.676000000000002</v>
      </c>
      <c r="E40" s="13">
        <v>13.9</v>
      </c>
      <c r="F40" s="13">
        <v>8</v>
      </c>
      <c r="G40" s="13">
        <v>2</v>
      </c>
      <c r="H40" s="13">
        <v>0</v>
      </c>
      <c r="I40" s="7">
        <v>4.4866545071544204</v>
      </c>
      <c r="J40" s="6">
        <v>1.1624247910121901</v>
      </c>
      <c r="K40" s="6">
        <v>0</v>
      </c>
      <c r="L40" s="13">
        <v>-7.71947491458371</v>
      </c>
      <c r="M40" s="13">
        <v>3.1531141748019902E-2</v>
      </c>
    </row>
    <row r="41" spans="1:13" s="13" customFormat="1" x14ac:dyDescent="0.25">
      <c r="A41" s="13">
        <v>467</v>
      </c>
      <c r="B41" s="13" t="str">
        <f>"IGKV3D-20"</f>
        <v>IGKV3D-20</v>
      </c>
      <c r="C41" s="13" t="str">
        <f>""</f>
        <v/>
      </c>
      <c r="D41" s="13">
        <v>12.557</v>
      </c>
      <c r="E41" s="13">
        <v>21.6</v>
      </c>
      <c r="F41" s="13">
        <v>17</v>
      </c>
      <c r="G41" s="13">
        <v>2</v>
      </c>
      <c r="H41" s="13">
        <v>2</v>
      </c>
      <c r="I41" s="7">
        <v>9.5341408277031405</v>
      </c>
      <c r="J41" s="6">
        <v>1.1624247910121901</v>
      </c>
      <c r="K41" s="6">
        <v>1.20696041574525</v>
      </c>
      <c r="L41" s="13">
        <v>-8.0477761070778708</v>
      </c>
      <c r="M41" s="13">
        <v>4.7932873667406303E-3</v>
      </c>
    </row>
    <row r="42" spans="1:13" s="13" customFormat="1" x14ac:dyDescent="0.25">
      <c r="A42" s="13">
        <v>754</v>
      </c>
      <c r="B42" s="13" t="str">
        <f>"ITIH2"</f>
        <v>ITIH2</v>
      </c>
      <c r="C42" s="13" t="str">
        <f>""</f>
        <v/>
      </c>
      <c r="D42" s="13">
        <v>106.46</v>
      </c>
      <c r="E42" s="13">
        <v>15.6</v>
      </c>
      <c r="F42" s="13">
        <v>15</v>
      </c>
      <c r="G42" s="13">
        <v>2</v>
      </c>
      <c r="H42" s="13">
        <v>1</v>
      </c>
      <c r="I42" s="7">
        <v>8.4124772009145303</v>
      </c>
      <c r="J42" s="6">
        <v>1.1624247910121901</v>
      </c>
      <c r="K42" s="6">
        <v>0.60348020787262302</v>
      </c>
      <c r="L42" s="13">
        <v>-9.5276667841442002</v>
      </c>
      <c r="M42" s="13">
        <v>5.9085099432668398E-3</v>
      </c>
    </row>
    <row r="43" spans="1:13" s="13" customFormat="1" x14ac:dyDescent="0.25">
      <c r="A43" s="13">
        <v>821</v>
      </c>
      <c r="B43" s="13" t="str">
        <f>"MPST"</f>
        <v>MPST</v>
      </c>
      <c r="C43" s="13" t="str">
        <f>""</f>
        <v/>
      </c>
      <c r="D43" s="13">
        <v>33.177999999999997</v>
      </c>
      <c r="E43" s="13">
        <v>5.0999999999999996</v>
      </c>
      <c r="F43" s="13">
        <v>5</v>
      </c>
      <c r="G43" s="13">
        <v>1</v>
      </c>
      <c r="H43" s="13">
        <v>0</v>
      </c>
      <c r="I43" s="7">
        <v>2.80415906697151</v>
      </c>
      <c r="J43" s="6">
        <v>0.58121239550609605</v>
      </c>
      <c r="K43" s="6">
        <v>0</v>
      </c>
      <c r="L43" s="13">
        <v>-9.6493436432296296</v>
      </c>
      <c r="M43" s="13">
        <v>3.42104642436502E-2</v>
      </c>
    </row>
    <row r="44" spans="1:13" s="13" customFormat="1" x14ac:dyDescent="0.25">
      <c r="A44" s="13">
        <v>1060</v>
      </c>
      <c r="B44" s="13" t="str">
        <f>"RPS9"</f>
        <v>RPS9</v>
      </c>
      <c r="C44" s="13" t="str">
        <f>""</f>
        <v/>
      </c>
      <c r="D44" s="13">
        <v>22.591000000000001</v>
      </c>
      <c r="E44" s="13">
        <v>4.5999999999999996</v>
      </c>
      <c r="F44" s="13">
        <v>6</v>
      </c>
      <c r="G44" s="13">
        <v>1</v>
      </c>
      <c r="H44" s="13">
        <v>0</v>
      </c>
      <c r="I44" s="7">
        <v>3.3649908803658102</v>
      </c>
      <c r="J44" s="6">
        <v>0.58121239550609605</v>
      </c>
      <c r="K44" s="6">
        <v>0</v>
      </c>
      <c r="L44" s="13">
        <v>-11.579212371875601</v>
      </c>
      <c r="M44" s="13">
        <v>2.48415479093715E-2</v>
      </c>
    </row>
    <row r="45" spans="1:13" s="13" customFormat="1" x14ac:dyDescent="0.25">
      <c r="A45" s="13">
        <v>46</v>
      </c>
      <c r="B45" s="13" t="str">
        <f>"ALB"</f>
        <v>ALB</v>
      </c>
      <c r="C45" s="13" t="str">
        <f>""</f>
        <v/>
      </c>
      <c r="D45" s="13">
        <v>69.366</v>
      </c>
      <c r="E45" s="13">
        <v>13.3</v>
      </c>
      <c r="F45" s="13">
        <v>140</v>
      </c>
      <c r="G45" s="13">
        <v>19</v>
      </c>
      <c r="H45" s="13">
        <v>3</v>
      </c>
      <c r="I45" s="7">
        <v>78.516453875202302</v>
      </c>
      <c r="J45" s="6">
        <v>11.0430355146158</v>
      </c>
      <c r="K45" s="6">
        <v>1.8104406236178701</v>
      </c>
      <c r="L45" s="13">
        <v>-12.217154804006499</v>
      </c>
      <c r="M45" s="13">
        <v>6.5540644307931903E-3</v>
      </c>
    </row>
    <row r="46" spans="1:13" s="13" customFormat="1" x14ac:dyDescent="0.25">
      <c r="A46" s="13">
        <v>483</v>
      </c>
      <c r="B46" s="13" t="str">
        <f>"APOE"</f>
        <v>APOE</v>
      </c>
      <c r="C46" s="13" t="str">
        <f>""</f>
        <v/>
      </c>
      <c r="D46" s="13">
        <v>36.154000000000003</v>
      </c>
      <c r="E46" s="13">
        <v>20.2</v>
      </c>
      <c r="F46" s="13">
        <v>13</v>
      </c>
      <c r="G46" s="13">
        <v>2</v>
      </c>
      <c r="H46" s="13">
        <v>0</v>
      </c>
      <c r="I46" s="7">
        <v>7.2908135741259299</v>
      </c>
      <c r="J46" s="6">
        <v>1.1624247910121901</v>
      </c>
      <c r="K46" s="6">
        <v>0</v>
      </c>
      <c r="L46" s="13">
        <v>-12.544146736198501</v>
      </c>
      <c r="M46" s="13">
        <v>1.4991296913441801E-2</v>
      </c>
    </row>
    <row r="47" spans="1:13" s="13" customFormat="1" x14ac:dyDescent="0.25">
      <c r="A47" s="13">
        <v>459</v>
      </c>
      <c r="B47" s="13" t="str">
        <f>"A2M"</f>
        <v>A2M</v>
      </c>
      <c r="C47" s="13" t="str">
        <f>""</f>
        <v/>
      </c>
      <c r="D47" s="13">
        <v>163.29</v>
      </c>
      <c r="E47" s="13">
        <v>7.9</v>
      </c>
      <c r="F47" s="13">
        <v>20</v>
      </c>
      <c r="G47" s="13">
        <v>2</v>
      </c>
      <c r="H47" s="13">
        <v>0</v>
      </c>
      <c r="I47" s="7">
        <v>11.216636267886001</v>
      </c>
      <c r="J47" s="6">
        <v>1.1624247910121901</v>
      </c>
      <c r="K47" s="6">
        <v>0</v>
      </c>
      <c r="L47" s="13">
        <v>-19.298687286459302</v>
      </c>
      <c r="M47" s="13">
        <v>8.3748061398320403E-3</v>
      </c>
    </row>
    <row r="48" spans="1:13" s="13" customFormat="1" x14ac:dyDescent="0.25">
      <c r="A48" s="13">
        <v>456</v>
      </c>
      <c r="B48" s="13" t="str">
        <f>"SERPINA1"</f>
        <v>SERPINA1</v>
      </c>
      <c r="C48" s="13" t="str">
        <f>""</f>
        <v/>
      </c>
      <c r="D48" s="13">
        <v>46.735999999999997</v>
      </c>
      <c r="E48" s="13">
        <v>10.3</v>
      </c>
      <c r="F48" s="13">
        <v>24</v>
      </c>
      <c r="G48" s="13">
        <v>0</v>
      </c>
      <c r="H48" s="13">
        <v>1</v>
      </c>
      <c r="I48" s="7">
        <v>13.459963521463299</v>
      </c>
      <c r="J48" s="6">
        <v>0</v>
      </c>
      <c r="K48" s="6">
        <v>0.60348020787262302</v>
      </c>
      <c r="L48" s="13">
        <v>-44.607804351735297</v>
      </c>
      <c r="M48" s="13">
        <v>3.8605637783251301E-3</v>
      </c>
    </row>
    <row r="49" spans="1:13" s="13" customFormat="1" x14ac:dyDescent="0.25">
      <c r="A49" s="13">
        <v>508</v>
      </c>
      <c r="B49" s="13" t="str">
        <f>"APOB"</f>
        <v>APOB</v>
      </c>
      <c r="C49" s="13" t="str">
        <f>""</f>
        <v/>
      </c>
      <c r="D49" s="13">
        <v>515.6</v>
      </c>
      <c r="E49" s="13">
        <v>7</v>
      </c>
      <c r="F49" s="13">
        <v>46</v>
      </c>
      <c r="G49" s="13">
        <v>0</v>
      </c>
      <c r="H49" s="13">
        <v>1</v>
      </c>
      <c r="I49" s="7">
        <v>25.7982634161379</v>
      </c>
      <c r="J49" s="6">
        <v>0</v>
      </c>
      <c r="K49" s="6">
        <v>0.60348020787262302</v>
      </c>
      <c r="L49" s="13">
        <v>-85.498291674159304</v>
      </c>
      <c r="M49" s="13">
        <v>1.89858519250325E-3</v>
      </c>
    </row>
    <row r="50" spans="1:13" s="13" customFormat="1" x14ac:dyDescent="0.25">
      <c r="A50" s="13">
        <v>460</v>
      </c>
      <c r="B50" s="13" t="str">
        <f>"C3"</f>
        <v>C3</v>
      </c>
      <c r="C50" s="13" t="str">
        <f>""</f>
        <v/>
      </c>
      <c r="D50" s="13">
        <v>187.15</v>
      </c>
      <c r="E50" s="13">
        <v>14.4</v>
      </c>
      <c r="F50" s="13">
        <v>45</v>
      </c>
      <c r="G50" s="13">
        <v>1</v>
      </c>
      <c r="H50" s="13">
        <v>0</v>
      </c>
      <c r="I50" s="7">
        <v>25.237431602743602</v>
      </c>
      <c r="J50" s="6">
        <v>0.58121239550609605</v>
      </c>
      <c r="K50" s="6">
        <v>0</v>
      </c>
      <c r="L50" s="13">
        <v>-86.844092789066707</v>
      </c>
      <c r="M50" s="13">
        <v>1.8665001008979099E-3</v>
      </c>
    </row>
    <row r="51" spans="1:13" s="13" customFormat="1" x14ac:dyDescent="0.25">
      <c r="A51" s="13">
        <v>451</v>
      </c>
      <c r="B51" s="13" t="str">
        <f>"HP;HPR"</f>
        <v>HP;HPR</v>
      </c>
      <c r="C51" s="13" t="str">
        <f>""</f>
        <v/>
      </c>
      <c r="D51" s="13">
        <v>45.204999999999998</v>
      </c>
      <c r="E51" s="13">
        <v>18</v>
      </c>
      <c r="F51" s="13">
        <v>36</v>
      </c>
      <c r="G51" s="13">
        <v>0</v>
      </c>
      <c r="H51" s="13">
        <v>0</v>
      </c>
      <c r="I51" s="7">
        <v>20.189945282194898</v>
      </c>
      <c r="J51" s="6">
        <v>0</v>
      </c>
      <c r="K51" s="6">
        <v>0</v>
      </c>
      <c r="L51" s="13">
        <v>-10000</v>
      </c>
      <c r="M51" s="13">
        <v>2.7383609944210698E-3</v>
      </c>
    </row>
    <row r="52" spans="1:13" s="13" customFormat="1" x14ac:dyDescent="0.25">
      <c r="A52" s="13">
        <v>497</v>
      </c>
      <c r="B52" s="13" t="str">
        <f>"TF"</f>
        <v>TF</v>
      </c>
      <c r="C52" s="13" t="str">
        <f>""</f>
        <v/>
      </c>
      <c r="D52" s="13">
        <v>77.063000000000002</v>
      </c>
      <c r="E52" s="13">
        <v>14.9</v>
      </c>
      <c r="F52" s="13">
        <v>33</v>
      </c>
      <c r="G52" s="13">
        <v>0</v>
      </c>
      <c r="H52" s="13">
        <v>0</v>
      </c>
      <c r="I52" s="7">
        <v>18.507449842012001</v>
      </c>
      <c r="J52" s="6">
        <v>0</v>
      </c>
      <c r="K52" s="6">
        <v>0</v>
      </c>
      <c r="L52" s="13">
        <v>-10000</v>
      </c>
      <c r="M52" s="13">
        <v>2.9257656785236399E-3</v>
      </c>
    </row>
    <row r="53" spans="1:13" s="13" customFormat="1" x14ac:dyDescent="0.25">
      <c r="A53" s="13">
        <v>443</v>
      </c>
      <c r="B53" s="13" t="str">
        <f>"CP"</f>
        <v>CP</v>
      </c>
      <c r="C53" s="13" t="str">
        <f>""</f>
        <v/>
      </c>
      <c r="D53" s="13">
        <v>122.2</v>
      </c>
      <c r="E53" s="13">
        <v>10.8</v>
      </c>
      <c r="F53" s="13">
        <v>28</v>
      </c>
      <c r="G53" s="13">
        <v>0</v>
      </c>
      <c r="H53" s="13">
        <v>0</v>
      </c>
      <c r="I53" s="7">
        <v>15.7032907750405</v>
      </c>
      <c r="J53" s="6">
        <v>0</v>
      </c>
      <c r="K53" s="6">
        <v>0</v>
      </c>
      <c r="L53" s="13">
        <v>-10000</v>
      </c>
      <c r="M53" s="13">
        <v>3.3198579671683999E-3</v>
      </c>
    </row>
    <row r="54" spans="1:13" s="13" customFormat="1" x14ac:dyDescent="0.25">
      <c r="A54" s="13">
        <v>457</v>
      </c>
      <c r="B54" s="13" t="str">
        <f>"SERPINA3"</f>
        <v>SERPINA3</v>
      </c>
      <c r="C54" s="13" t="str">
        <f>""</f>
        <v/>
      </c>
      <c r="D54" s="13">
        <v>47.65</v>
      </c>
      <c r="E54" s="13">
        <v>20.8</v>
      </c>
      <c r="F54" s="13">
        <v>26</v>
      </c>
      <c r="G54" s="13">
        <v>0</v>
      </c>
      <c r="H54" s="13">
        <v>0</v>
      </c>
      <c r="I54" s="7">
        <v>14.581627148251901</v>
      </c>
      <c r="J54" s="6">
        <v>0</v>
      </c>
      <c r="K54" s="6">
        <v>0</v>
      </c>
      <c r="L54" s="13">
        <v>-10000</v>
      </c>
      <c r="M54" s="13">
        <v>3.5167616468825499E-3</v>
      </c>
    </row>
    <row r="55" spans="1:13" s="13" customFormat="1" x14ac:dyDescent="0.25">
      <c r="A55" s="13">
        <v>619</v>
      </c>
      <c r="B55" s="13" t="str">
        <f>"C4B;C4A"</f>
        <v>C4B;C4A</v>
      </c>
      <c r="C55" s="13" t="str">
        <f>""</f>
        <v/>
      </c>
      <c r="D55" s="13">
        <v>192.75</v>
      </c>
      <c r="E55" s="13">
        <v>12.6</v>
      </c>
      <c r="F55" s="13">
        <v>26</v>
      </c>
      <c r="G55" s="13">
        <v>0</v>
      </c>
      <c r="H55" s="13">
        <v>0</v>
      </c>
      <c r="I55" s="7">
        <v>14.581627148251901</v>
      </c>
      <c r="J55" s="6">
        <v>0</v>
      </c>
      <c r="K55" s="6">
        <v>0</v>
      </c>
      <c r="L55" s="13">
        <v>-10000</v>
      </c>
      <c r="M55" s="13">
        <v>3.5167616468825499E-3</v>
      </c>
    </row>
    <row r="56" spans="1:13" s="13" customFormat="1" x14ac:dyDescent="0.25">
      <c r="A56" s="13">
        <v>553</v>
      </c>
      <c r="B56" s="13" t="str">
        <f>"APOA4"</f>
        <v>APOA4</v>
      </c>
      <c r="C56" s="13" t="str">
        <f>""</f>
        <v/>
      </c>
      <c r="D56" s="13">
        <v>45.398000000000003</v>
      </c>
      <c r="E56" s="13">
        <v>26.3</v>
      </c>
      <c r="F56" s="13">
        <v>18</v>
      </c>
      <c r="G56" s="13">
        <v>0</v>
      </c>
      <c r="H56" s="13">
        <v>0</v>
      </c>
      <c r="I56" s="7">
        <v>10.094972641097399</v>
      </c>
      <c r="J56" s="6">
        <v>0</v>
      </c>
      <c r="K56" s="6">
        <v>0</v>
      </c>
      <c r="L56" s="13">
        <v>-10000</v>
      </c>
      <c r="M56" s="13">
        <v>4.7110110703267802E-3</v>
      </c>
    </row>
    <row r="57" spans="1:13" s="13" customFormat="1" x14ac:dyDescent="0.25">
      <c r="A57" s="13">
        <v>482</v>
      </c>
      <c r="B57" s="13" t="str">
        <f>"APOA1"</f>
        <v>APOA1</v>
      </c>
      <c r="C57" s="13" t="str">
        <f>""</f>
        <v/>
      </c>
      <c r="D57" s="13">
        <v>30.777000000000001</v>
      </c>
      <c r="E57" s="13">
        <v>43.8</v>
      </c>
      <c r="F57" s="13">
        <v>15</v>
      </c>
      <c r="G57" s="13">
        <v>0</v>
      </c>
      <c r="H57" s="13">
        <v>0</v>
      </c>
      <c r="I57" s="7">
        <v>8.4124772009145303</v>
      </c>
      <c r="J57" s="6">
        <v>0</v>
      </c>
      <c r="K57" s="6">
        <v>0</v>
      </c>
      <c r="L57" s="13">
        <v>-10000</v>
      </c>
      <c r="M57" s="13">
        <v>5.4706954424528897E-3</v>
      </c>
    </row>
    <row r="58" spans="1:13" s="13" customFormat="1" x14ac:dyDescent="0.25">
      <c r="A58" s="13">
        <v>1412</v>
      </c>
      <c r="B58" s="13" t="str">
        <f>"FANCC"</f>
        <v>FANCC</v>
      </c>
      <c r="C58" s="13" t="str">
        <f>""</f>
        <v/>
      </c>
      <c r="D58" s="13">
        <v>63.427999999999997</v>
      </c>
      <c r="E58" s="13">
        <v>5.7</v>
      </c>
      <c r="F58" s="13">
        <v>14</v>
      </c>
      <c r="G58" s="13">
        <v>0</v>
      </c>
      <c r="H58" s="13">
        <v>0</v>
      </c>
      <c r="I58" s="7">
        <v>7.8516453875202297</v>
      </c>
      <c r="J58" s="6">
        <v>0</v>
      </c>
      <c r="K58" s="6">
        <v>0</v>
      </c>
      <c r="L58" s="13">
        <v>-10000</v>
      </c>
      <c r="M58" s="13">
        <v>5.7943263068859002E-3</v>
      </c>
    </row>
    <row r="59" spans="1:13" s="13" customFormat="1" x14ac:dyDescent="0.25">
      <c r="A59" s="13">
        <v>30</v>
      </c>
      <c r="B59" s="13" t="str">
        <f>"IGLC1;IGLL5;IGLC6"</f>
        <v>IGLC1;IGLL5;IGLC6</v>
      </c>
      <c r="C59" s="13" t="str">
        <f>""</f>
        <v/>
      </c>
      <c r="D59" s="13">
        <v>11.348000000000001</v>
      </c>
      <c r="E59" s="13">
        <v>32.1</v>
      </c>
      <c r="F59" s="13">
        <v>13</v>
      </c>
      <c r="G59" s="13">
        <v>0</v>
      </c>
      <c r="H59" s="13">
        <v>0</v>
      </c>
      <c r="I59" s="7">
        <v>7.2908135741259299</v>
      </c>
      <c r="J59" s="6">
        <v>0</v>
      </c>
      <c r="K59" s="6">
        <v>0</v>
      </c>
      <c r="L59" s="13">
        <v>-10000</v>
      </c>
      <c r="M59" s="13">
        <v>6.1669658617330998E-3</v>
      </c>
    </row>
    <row r="60" spans="1:13" s="13" customFormat="1" x14ac:dyDescent="0.25">
      <c r="A60" s="13">
        <v>449</v>
      </c>
      <c r="B60" s="13" t="str">
        <f>"F2"</f>
        <v>F2</v>
      </c>
      <c r="C60" s="13" t="str">
        <f>""</f>
        <v/>
      </c>
      <c r="D60" s="13">
        <v>70.036000000000001</v>
      </c>
      <c r="E60" s="13">
        <v>8.8000000000000007</v>
      </c>
      <c r="F60" s="13">
        <v>12</v>
      </c>
      <c r="G60" s="13">
        <v>0</v>
      </c>
      <c r="H60" s="13">
        <v>0</v>
      </c>
      <c r="I60" s="7">
        <v>6.7299817607316301</v>
      </c>
      <c r="J60" s="6">
        <v>0</v>
      </c>
      <c r="K60" s="6">
        <v>0</v>
      </c>
      <c r="L60" s="13">
        <v>-10000</v>
      </c>
      <c r="M60" s="13">
        <v>6.6012194094674202E-3</v>
      </c>
    </row>
    <row r="61" spans="1:13" s="13" customFormat="1" x14ac:dyDescent="0.25">
      <c r="A61" s="13">
        <v>450</v>
      </c>
      <c r="B61" s="13" t="str">
        <f>"C1R"</f>
        <v>C1R</v>
      </c>
      <c r="C61" s="13" t="str">
        <f>""</f>
        <v/>
      </c>
      <c r="D61" s="13">
        <v>80.117999999999995</v>
      </c>
      <c r="E61" s="13">
        <v>2.1</v>
      </c>
      <c r="F61" s="13">
        <v>11</v>
      </c>
      <c r="G61" s="13">
        <v>0</v>
      </c>
      <c r="H61" s="13">
        <v>0</v>
      </c>
      <c r="I61" s="7">
        <v>6.1691499473373197</v>
      </c>
      <c r="J61" s="6">
        <v>0</v>
      </c>
      <c r="K61" s="6">
        <v>0</v>
      </c>
      <c r="L61" s="13">
        <v>-10000</v>
      </c>
      <c r="M61" s="13">
        <v>7.1145141113374902E-3</v>
      </c>
    </row>
    <row r="62" spans="1:13" s="13" customFormat="1" x14ac:dyDescent="0.25">
      <c r="A62" s="13">
        <v>473</v>
      </c>
      <c r="B62" s="13" t="str">
        <f>"IGHM"</f>
        <v>IGHM</v>
      </c>
      <c r="C62" s="13" t="str">
        <f>""</f>
        <v/>
      </c>
      <c r="D62" s="13">
        <v>49.439</v>
      </c>
      <c r="E62" s="13">
        <v>31.8</v>
      </c>
      <c r="F62" s="13">
        <v>9</v>
      </c>
      <c r="G62" s="13">
        <v>0</v>
      </c>
      <c r="H62" s="13">
        <v>0</v>
      </c>
      <c r="I62" s="7">
        <v>5.0474863205487202</v>
      </c>
      <c r="J62" s="6">
        <v>0</v>
      </c>
      <c r="K62" s="6">
        <v>0</v>
      </c>
      <c r="L62" s="13">
        <v>-10000</v>
      </c>
      <c r="M62" s="13">
        <v>8.4893658058549006E-3</v>
      </c>
    </row>
    <row r="63" spans="1:13" s="13" customFormat="1" x14ac:dyDescent="0.25">
      <c r="A63" s="13">
        <v>490</v>
      </c>
      <c r="B63" s="13" t="str">
        <f>"LRG1"</f>
        <v>LRG1</v>
      </c>
      <c r="C63" s="13" t="str">
        <f>""</f>
        <v/>
      </c>
      <c r="D63" s="13">
        <v>38.177</v>
      </c>
      <c r="E63" s="13">
        <v>5.2</v>
      </c>
      <c r="F63" s="13">
        <v>9</v>
      </c>
      <c r="G63" s="13">
        <v>0</v>
      </c>
      <c r="H63" s="13">
        <v>0</v>
      </c>
      <c r="I63" s="7">
        <v>5.0474863205487202</v>
      </c>
      <c r="J63" s="6">
        <v>0</v>
      </c>
      <c r="K63" s="6">
        <v>0</v>
      </c>
      <c r="L63" s="13">
        <v>-10000</v>
      </c>
      <c r="M63" s="13">
        <v>8.4893658058549006E-3</v>
      </c>
    </row>
    <row r="64" spans="1:13" s="13" customFormat="1" x14ac:dyDescent="0.25">
      <c r="A64" s="13">
        <v>487</v>
      </c>
      <c r="B64" s="13" t="str">
        <f>"CRP"</f>
        <v>CRP</v>
      </c>
      <c r="C64" s="13" t="str">
        <f>""</f>
        <v/>
      </c>
      <c r="D64" s="13">
        <v>25.038</v>
      </c>
      <c r="E64" s="13">
        <v>13.4</v>
      </c>
      <c r="F64" s="13">
        <v>9</v>
      </c>
      <c r="G64" s="13">
        <v>0</v>
      </c>
      <c r="H64" s="13">
        <v>0</v>
      </c>
      <c r="I64" s="7">
        <v>5.0474863205487202</v>
      </c>
      <c r="J64" s="6">
        <v>0</v>
      </c>
      <c r="K64" s="6">
        <v>0</v>
      </c>
      <c r="L64" s="13">
        <v>-10000</v>
      </c>
      <c r="M64" s="13">
        <v>8.4893658058549006E-3</v>
      </c>
    </row>
    <row r="65" spans="1:13" s="13" customFormat="1" x14ac:dyDescent="0.25">
      <c r="A65" s="13">
        <v>491</v>
      </c>
      <c r="B65" s="13" t="str">
        <f>"FN1"</f>
        <v>FN1</v>
      </c>
      <c r="C65" s="13" t="str">
        <f>""</f>
        <v/>
      </c>
      <c r="D65" s="13">
        <v>221.29</v>
      </c>
      <c r="E65" s="13">
        <v>1.6</v>
      </c>
      <c r="F65" s="13">
        <v>8</v>
      </c>
      <c r="G65" s="13">
        <v>0</v>
      </c>
      <c r="H65" s="13">
        <v>0</v>
      </c>
      <c r="I65" s="7">
        <v>4.4866545071544204</v>
      </c>
      <c r="J65" s="6">
        <v>0</v>
      </c>
      <c r="K65" s="6">
        <v>0</v>
      </c>
      <c r="L65" s="13">
        <v>-10000</v>
      </c>
      <c r="M65" s="13">
        <v>9.4441740711228503E-3</v>
      </c>
    </row>
    <row r="66" spans="1:13" s="13" customFormat="1" x14ac:dyDescent="0.25">
      <c r="A66" s="13">
        <v>512</v>
      </c>
      <c r="B66" s="13" t="str">
        <f>"HRG"</f>
        <v>HRG</v>
      </c>
      <c r="C66" s="13" t="str">
        <f>""</f>
        <v/>
      </c>
      <c r="D66" s="13">
        <v>59.578000000000003</v>
      </c>
      <c r="E66" s="13">
        <v>4</v>
      </c>
      <c r="F66" s="13">
        <v>8</v>
      </c>
      <c r="G66" s="13">
        <v>0</v>
      </c>
      <c r="H66" s="13">
        <v>0</v>
      </c>
      <c r="I66" s="7">
        <v>4.4866545071544204</v>
      </c>
      <c r="J66" s="6">
        <v>0</v>
      </c>
      <c r="K66" s="6">
        <v>0</v>
      </c>
      <c r="L66" s="13">
        <v>-10000</v>
      </c>
      <c r="M66" s="13">
        <v>9.4441740711228503E-3</v>
      </c>
    </row>
    <row r="67" spans="1:13" s="13" customFormat="1" x14ac:dyDescent="0.25">
      <c r="A67" s="13">
        <v>455</v>
      </c>
      <c r="B67" s="13" t="str">
        <f>"SERPINC1"</f>
        <v>SERPINC1</v>
      </c>
      <c r="C67" s="13" t="str">
        <f>""</f>
        <v/>
      </c>
      <c r="D67" s="13">
        <v>52.601999999999997</v>
      </c>
      <c r="E67" s="13">
        <v>13.1</v>
      </c>
      <c r="F67" s="13">
        <v>7</v>
      </c>
      <c r="G67" s="13">
        <v>0</v>
      </c>
      <c r="H67" s="13">
        <v>0</v>
      </c>
      <c r="I67" s="7">
        <v>3.9258226937601099</v>
      </c>
      <c r="J67" s="6">
        <v>0</v>
      </c>
      <c r="K67" s="6">
        <v>0</v>
      </c>
      <c r="L67" s="13">
        <v>-10000</v>
      </c>
      <c r="M67" s="13">
        <v>1.06884424308634E-2</v>
      </c>
    </row>
    <row r="68" spans="1:13" s="13" customFormat="1" x14ac:dyDescent="0.25">
      <c r="A68" s="13">
        <v>452</v>
      </c>
      <c r="B68" s="13" t="str">
        <f>"PLG"</f>
        <v>PLG</v>
      </c>
      <c r="C68" s="13" t="str">
        <f>""</f>
        <v/>
      </c>
      <c r="D68" s="13">
        <v>90.567999999999998</v>
      </c>
      <c r="E68" s="13">
        <v>2.1</v>
      </c>
      <c r="F68" s="13">
        <v>6</v>
      </c>
      <c r="G68" s="13">
        <v>0</v>
      </c>
      <c r="H68" s="13">
        <v>0</v>
      </c>
      <c r="I68" s="7">
        <v>3.3649908803658102</v>
      </c>
      <c r="J68" s="6">
        <v>0</v>
      </c>
      <c r="K68" s="6">
        <v>0</v>
      </c>
      <c r="L68" s="13">
        <v>-10000</v>
      </c>
      <c r="M68" s="13">
        <v>1.2384127405586901E-2</v>
      </c>
    </row>
    <row r="69" spans="1:13" s="13" customFormat="1" x14ac:dyDescent="0.25">
      <c r="A69" s="13">
        <v>488</v>
      </c>
      <c r="B69" s="13" t="str">
        <f>"C1QB"</f>
        <v>C1QB</v>
      </c>
      <c r="C69" s="13" t="str">
        <f>""</f>
        <v/>
      </c>
      <c r="D69" s="13">
        <v>26.721</v>
      </c>
      <c r="E69" s="13">
        <v>8.6999999999999993</v>
      </c>
      <c r="F69" s="13">
        <v>6</v>
      </c>
      <c r="G69" s="13">
        <v>0</v>
      </c>
      <c r="H69" s="13">
        <v>0</v>
      </c>
      <c r="I69" s="7">
        <v>3.3649908803658102</v>
      </c>
      <c r="J69" s="6">
        <v>0</v>
      </c>
      <c r="K69" s="6">
        <v>0</v>
      </c>
      <c r="L69" s="13">
        <v>-10000</v>
      </c>
      <c r="M69" s="13">
        <v>1.2384127405586901E-2</v>
      </c>
    </row>
    <row r="70" spans="1:13" s="13" customFormat="1" x14ac:dyDescent="0.25">
      <c r="A70" s="13">
        <v>570</v>
      </c>
      <c r="B70" s="13" t="str">
        <f>"C8B"</f>
        <v>C8B</v>
      </c>
      <c r="C70" s="13" t="str">
        <f>""</f>
        <v/>
      </c>
      <c r="D70" s="13">
        <v>67.046000000000006</v>
      </c>
      <c r="E70" s="13">
        <v>4.7</v>
      </c>
      <c r="F70" s="13">
        <v>6</v>
      </c>
      <c r="G70" s="13">
        <v>0</v>
      </c>
      <c r="H70" s="13">
        <v>0</v>
      </c>
      <c r="I70" s="7">
        <v>3.3649908803658102</v>
      </c>
      <c r="J70" s="6">
        <v>0</v>
      </c>
      <c r="K70" s="6">
        <v>0</v>
      </c>
      <c r="L70" s="13">
        <v>-10000</v>
      </c>
      <c r="M70" s="13">
        <v>1.2384127405586901E-2</v>
      </c>
    </row>
    <row r="71" spans="1:13" s="13" customFormat="1" x14ac:dyDescent="0.25">
      <c r="A71" s="13">
        <v>581</v>
      </c>
      <c r="B71" s="13" t="str">
        <f>"UMOD"</f>
        <v>UMOD</v>
      </c>
      <c r="C71" s="13" t="str">
        <f>""</f>
        <v/>
      </c>
      <c r="D71" s="13">
        <v>55.959000000000003</v>
      </c>
      <c r="E71" s="13">
        <v>6.9</v>
      </c>
      <c r="F71" s="13">
        <v>6</v>
      </c>
      <c r="G71" s="13">
        <v>0</v>
      </c>
      <c r="H71" s="13">
        <v>0</v>
      </c>
      <c r="I71" s="7">
        <v>3.3649908803658102</v>
      </c>
      <c r="J71" s="6">
        <v>0</v>
      </c>
      <c r="K71" s="6">
        <v>0</v>
      </c>
      <c r="L71" s="13">
        <v>-10000</v>
      </c>
      <c r="M71" s="13">
        <v>1.2384127405586901E-2</v>
      </c>
    </row>
    <row r="72" spans="1:13" s="13" customFormat="1" x14ac:dyDescent="0.25">
      <c r="A72" s="13">
        <v>598</v>
      </c>
      <c r="B72" s="13" t="str">
        <f>"SERPINF2"</f>
        <v>SERPINF2</v>
      </c>
      <c r="C72" s="13" t="str">
        <f>""</f>
        <v/>
      </c>
      <c r="D72" s="13">
        <v>54.564999999999998</v>
      </c>
      <c r="E72" s="13">
        <v>6.5</v>
      </c>
      <c r="F72" s="13">
        <v>6</v>
      </c>
      <c r="G72" s="13">
        <v>0</v>
      </c>
      <c r="H72" s="13">
        <v>0</v>
      </c>
      <c r="I72" s="7">
        <v>3.3649908803658102</v>
      </c>
      <c r="J72" s="6">
        <v>0</v>
      </c>
      <c r="K72" s="6">
        <v>0</v>
      </c>
      <c r="L72" s="13">
        <v>-10000</v>
      </c>
      <c r="M72" s="13">
        <v>1.2384127405586901E-2</v>
      </c>
    </row>
    <row r="73" spans="1:13" s="13" customFormat="1" x14ac:dyDescent="0.25">
      <c r="A73" s="13">
        <v>489</v>
      </c>
      <c r="B73" s="13" t="str">
        <f>"C9"</f>
        <v>C9</v>
      </c>
      <c r="C73" s="13" t="str">
        <f>""</f>
        <v/>
      </c>
      <c r="D73" s="13">
        <v>63.173000000000002</v>
      </c>
      <c r="E73" s="13">
        <v>5.5</v>
      </c>
      <c r="F73" s="13">
        <v>5</v>
      </c>
      <c r="G73" s="13">
        <v>0</v>
      </c>
      <c r="H73" s="13">
        <v>0</v>
      </c>
      <c r="I73" s="7">
        <v>2.80415906697151</v>
      </c>
      <c r="J73" s="6">
        <v>0</v>
      </c>
      <c r="K73" s="6">
        <v>0</v>
      </c>
      <c r="L73" s="13">
        <v>-10000</v>
      </c>
      <c r="M73" s="13">
        <v>1.4844416854721701E-2</v>
      </c>
    </row>
    <row r="74" spans="1:13" s="13" customFormat="1" x14ac:dyDescent="0.25">
      <c r="A74" s="13">
        <v>484</v>
      </c>
      <c r="B74" s="13" t="str">
        <f>"APOA2"</f>
        <v>APOA2</v>
      </c>
      <c r="C74" s="13" t="str">
        <f>""</f>
        <v/>
      </c>
      <c r="D74" s="13">
        <v>11.175000000000001</v>
      </c>
      <c r="E74" s="13">
        <v>11</v>
      </c>
      <c r="F74" s="13">
        <v>5</v>
      </c>
      <c r="G74" s="13">
        <v>0</v>
      </c>
      <c r="H74" s="13">
        <v>0</v>
      </c>
      <c r="I74" s="7">
        <v>2.80415906697151</v>
      </c>
      <c r="J74" s="6">
        <v>0</v>
      </c>
      <c r="K74" s="6">
        <v>0</v>
      </c>
      <c r="L74" s="13">
        <v>-10000</v>
      </c>
      <c r="M74" s="13">
        <v>1.4844416854721701E-2</v>
      </c>
    </row>
    <row r="75" spans="1:13" s="13" customFormat="1" x14ac:dyDescent="0.25">
      <c r="A75" s="13">
        <v>492</v>
      </c>
      <c r="B75" s="13" t="str">
        <f>"RBP4"</f>
        <v>RBP4</v>
      </c>
      <c r="C75" s="13" t="str">
        <f>""</f>
        <v/>
      </c>
      <c r="D75" s="13">
        <v>23.01</v>
      </c>
      <c r="E75" s="13">
        <v>5</v>
      </c>
      <c r="F75" s="13">
        <v>5</v>
      </c>
      <c r="G75" s="13">
        <v>0</v>
      </c>
      <c r="H75" s="13">
        <v>0</v>
      </c>
      <c r="I75" s="7">
        <v>2.80415906697151</v>
      </c>
      <c r="J75" s="6">
        <v>0</v>
      </c>
      <c r="K75" s="6">
        <v>0</v>
      </c>
      <c r="L75" s="13">
        <v>-10000</v>
      </c>
      <c r="M75" s="13">
        <v>1.4844416854721701E-2</v>
      </c>
    </row>
    <row r="76" spans="1:13" s="13" customFormat="1" x14ac:dyDescent="0.25">
      <c r="A76" s="13">
        <v>466</v>
      </c>
      <c r="B76" s="13" t="str">
        <f>""</f>
        <v/>
      </c>
      <c r="C76" s="13" t="str">
        <f>""</f>
        <v/>
      </c>
      <c r="D76" s="13">
        <v>12.778</v>
      </c>
      <c r="E76" s="13">
        <v>12.8</v>
      </c>
      <c r="F76" s="13">
        <v>4</v>
      </c>
      <c r="G76" s="13">
        <v>0</v>
      </c>
      <c r="H76" s="13">
        <v>0</v>
      </c>
      <c r="I76" s="7">
        <v>2.2433272535772102</v>
      </c>
      <c r="J76" s="6">
        <v>0</v>
      </c>
      <c r="K76" s="6">
        <v>0</v>
      </c>
      <c r="L76" s="13">
        <v>-10000</v>
      </c>
      <c r="M76" s="13">
        <v>1.8766233460301901E-2</v>
      </c>
    </row>
    <row r="77" spans="1:13" s="13" customFormat="1" x14ac:dyDescent="0.25">
      <c r="A77" s="13">
        <v>461</v>
      </c>
      <c r="B77" s="13" t="str">
        <f>"C5"</f>
        <v>C5</v>
      </c>
      <c r="C77" s="13" t="str">
        <f>""</f>
        <v/>
      </c>
      <c r="D77" s="13">
        <v>188.3</v>
      </c>
      <c r="E77" s="13">
        <v>4.8</v>
      </c>
      <c r="F77" s="13">
        <v>4</v>
      </c>
      <c r="G77" s="13">
        <v>0</v>
      </c>
      <c r="H77" s="13">
        <v>0</v>
      </c>
      <c r="I77" s="7">
        <v>2.2433272535772102</v>
      </c>
      <c r="J77" s="6">
        <v>0</v>
      </c>
      <c r="K77" s="6">
        <v>0</v>
      </c>
      <c r="L77" s="13">
        <v>-10000</v>
      </c>
      <c r="M77" s="13">
        <v>1.8766233460301901E-2</v>
      </c>
    </row>
    <row r="78" spans="1:13" s="13" customFormat="1" x14ac:dyDescent="0.25">
      <c r="A78" s="13">
        <v>820</v>
      </c>
      <c r="B78" s="13" t="str">
        <f>"AZGP1"</f>
        <v>AZGP1</v>
      </c>
      <c r="C78" s="13" t="str">
        <f>""</f>
        <v/>
      </c>
      <c r="D78" s="13">
        <v>34.258000000000003</v>
      </c>
      <c r="E78" s="13">
        <v>7.4</v>
      </c>
      <c r="F78" s="13">
        <v>4</v>
      </c>
      <c r="G78" s="13">
        <v>0</v>
      </c>
      <c r="H78" s="13">
        <v>0</v>
      </c>
      <c r="I78" s="7">
        <v>2.2433272535772102</v>
      </c>
      <c r="J78" s="6">
        <v>0</v>
      </c>
      <c r="K78" s="6">
        <v>0</v>
      </c>
      <c r="L78" s="13">
        <v>-10000</v>
      </c>
      <c r="M78" s="13">
        <v>1.8766233460301901E-2</v>
      </c>
    </row>
    <row r="79" spans="1:13" s="13" customFormat="1" x14ac:dyDescent="0.25">
      <c r="A79" s="13">
        <v>534</v>
      </c>
      <c r="B79" s="13" t="str">
        <f>"CFI"</f>
        <v>CFI</v>
      </c>
      <c r="C79" s="13" t="str">
        <f>""</f>
        <v/>
      </c>
      <c r="D79" s="13">
        <v>65.75</v>
      </c>
      <c r="E79" s="13">
        <v>3.1</v>
      </c>
      <c r="F79" s="13">
        <v>4</v>
      </c>
      <c r="G79" s="13">
        <v>0</v>
      </c>
      <c r="H79" s="13">
        <v>0</v>
      </c>
      <c r="I79" s="7">
        <v>2.2433272535772102</v>
      </c>
      <c r="J79" s="6">
        <v>0</v>
      </c>
      <c r="K79" s="6">
        <v>0</v>
      </c>
      <c r="L79" s="13">
        <v>-10000</v>
      </c>
      <c r="M79" s="13">
        <v>1.8766233460301901E-2</v>
      </c>
    </row>
    <row r="80" spans="1:13" s="13" customFormat="1" x14ac:dyDescent="0.25">
      <c r="A80" s="13">
        <v>596</v>
      </c>
      <c r="B80" s="13" t="str">
        <f>"CFH"</f>
        <v>CFH</v>
      </c>
      <c r="C80" s="13" t="str">
        <f>""</f>
        <v/>
      </c>
      <c r="D80" s="13">
        <v>139.09</v>
      </c>
      <c r="E80" s="13">
        <v>4.9000000000000004</v>
      </c>
      <c r="F80" s="13">
        <v>4</v>
      </c>
      <c r="G80" s="13">
        <v>0</v>
      </c>
      <c r="H80" s="13">
        <v>0</v>
      </c>
      <c r="I80" s="7">
        <v>2.2433272535772102</v>
      </c>
      <c r="J80" s="6">
        <v>0</v>
      </c>
      <c r="K80" s="6">
        <v>0</v>
      </c>
      <c r="L80" s="13">
        <v>-10000</v>
      </c>
      <c r="M80" s="13">
        <v>1.8766233460301901E-2</v>
      </c>
    </row>
    <row r="81" spans="1:13" s="13" customFormat="1" x14ac:dyDescent="0.25">
      <c r="A81" s="13">
        <v>974</v>
      </c>
      <c r="B81" s="13" t="str">
        <f>"SERPINF1"</f>
        <v>SERPINF1</v>
      </c>
      <c r="C81" s="13" t="str">
        <f>""</f>
        <v/>
      </c>
      <c r="D81" s="13">
        <v>46.311999999999998</v>
      </c>
      <c r="E81" s="13">
        <v>12.2</v>
      </c>
      <c r="F81" s="13">
        <v>4</v>
      </c>
      <c r="G81" s="13">
        <v>0</v>
      </c>
      <c r="H81" s="13">
        <v>0</v>
      </c>
      <c r="I81" s="7">
        <v>2.2433272535772102</v>
      </c>
      <c r="J81" s="6">
        <v>0</v>
      </c>
      <c r="K81" s="6">
        <v>0</v>
      </c>
      <c r="L81" s="13">
        <v>-10000</v>
      </c>
      <c r="M81" s="13">
        <v>1.8766233460301901E-2</v>
      </c>
    </row>
    <row r="82" spans="1:13" s="13" customFormat="1" x14ac:dyDescent="0.25">
      <c r="A82" s="13">
        <v>493</v>
      </c>
      <c r="B82" s="13" t="str">
        <f>"AMBP"</f>
        <v>AMBP</v>
      </c>
      <c r="C82" s="13" t="str">
        <f>""</f>
        <v/>
      </c>
      <c r="D82" s="13">
        <v>38.999000000000002</v>
      </c>
      <c r="E82" s="13">
        <v>8.5</v>
      </c>
      <c r="F82" s="13">
        <v>4</v>
      </c>
      <c r="G82" s="13">
        <v>0</v>
      </c>
      <c r="H82" s="13">
        <v>0</v>
      </c>
      <c r="I82" s="7">
        <v>2.2433272535772102</v>
      </c>
      <c r="J82" s="6">
        <v>0</v>
      </c>
      <c r="K82" s="6">
        <v>0</v>
      </c>
      <c r="L82" s="13">
        <v>-10000</v>
      </c>
      <c r="M82" s="13">
        <v>1.8766233460301901E-2</v>
      </c>
    </row>
    <row r="83" spans="1:13" s="13" customFormat="1" x14ac:dyDescent="0.25">
      <c r="A83" s="13">
        <v>547</v>
      </c>
      <c r="B83" s="13" t="str">
        <f>"GSN"</f>
        <v>GSN</v>
      </c>
      <c r="C83" s="13" t="str">
        <f>""</f>
        <v/>
      </c>
      <c r="D83" s="13">
        <v>80.64</v>
      </c>
      <c r="E83" s="13">
        <v>9.4</v>
      </c>
      <c r="F83" s="13">
        <v>4</v>
      </c>
      <c r="G83" s="13">
        <v>0</v>
      </c>
      <c r="H83" s="13">
        <v>0</v>
      </c>
      <c r="I83" s="7">
        <v>2.2433272535772102</v>
      </c>
      <c r="J83" s="6">
        <v>0</v>
      </c>
      <c r="K83" s="6">
        <v>0</v>
      </c>
      <c r="L83" s="13">
        <v>-10000</v>
      </c>
      <c r="M83" s="13">
        <v>1.8766233460301901E-2</v>
      </c>
    </row>
    <row r="84" spans="1:13" s="13" customFormat="1" x14ac:dyDescent="0.25">
      <c r="A84" s="13">
        <v>2100</v>
      </c>
      <c r="B84" s="13" t="str">
        <f>"RHOT2"</f>
        <v>RHOT2</v>
      </c>
      <c r="C84" s="13" t="str">
        <f>""</f>
        <v/>
      </c>
      <c r="D84" s="13">
        <v>68.117000000000004</v>
      </c>
      <c r="E84" s="13">
        <v>6</v>
      </c>
      <c r="F84" s="13">
        <v>4</v>
      </c>
      <c r="G84" s="13">
        <v>0</v>
      </c>
      <c r="H84" s="13">
        <v>0</v>
      </c>
      <c r="I84" s="7">
        <v>2.2433272535772102</v>
      </c>
      <c r="J84" s="6">
        <v>0</v>
      </c>
      <c r="K84" s="6">
        <v>0</v>
      </c>
      <c r="L84" s="13">
        <v>-10000</v>
      </c>
      <c r="M84" s="13">
        <v>1.8766233460301901E-2</v>
      </c>
    </row>
    <row r="85" spans="1:13" s="13" customFormat="1" x14ac:dyDescent="0.25">
      <c r="A85" s="13">
        <v>476</v>
      </c>
      <c r="B85" s="13" t="str">
        <f>"IGHD"</f>
        <v>IGHD</v>
      </c>
      <c r="C85" s="13" t="str">
        <f>""</f>
        <v/>
      </c>
      <c r="D85" s="13">
        <v>42.351999999999997</v>
      </c>
      <c r="E85" s="13">
        <v>20.8</v>
      </c>
      <c r="F85" s="13">
        <v>3</v>
      </c>
      <c r="G85" s="13">
        <v>0</v>
      </c>
      <c r="H85" s="13">
        <v>0</v>
      </c>
      <c r="I85" s="7">
        <v>1.68249544018291</v>
      </c>
      <c r="J85" s="6">
        <v>0</v>
      </c>
      <c r="K85" s="6">
        <v>0</v>
      </c>
      <c r="L85" s="13">
        <v>-10000</v>
      </c>
      <c r="M85" s="13">
        <v>2.6086415634634999E-2</v>
      </c>
    </row>
    <row r="86" spans="1:13" s="13" customFormat="1" x14ac:dyDescent="0.25">
      <c r="A86" s="13">
        <v>2</v>
      </c>
      <c r="B86" s="13" t="str">
        <f>"IGHV3-66;IGHV3-74;IGHV3-23"</f>
        <v>IGHV3-66;IGHV3-74;IGHV3-23</v>
      </c>
      <c r="C86" s="13" t="str">
        <f>""</f>
        <v/>
      </c>
      <c r="D86" s="13">
        <v>12.698</v>
      </c>
      <c r="E86" s="13">
        <v>19</v>
      </c>
      <c r="F86" s="13">
        <v>3</v>
      </c>
      <c r="G86" s="13">
        <v>0</v>
      </c>
      <c r="H86" s="13">
        <v>0</v>
      </c>
      <c r="I86" s="7">
        <v>1.68249544018291</v>
      </c>
      <c r="J86" s="6">
        <v>0</v>
      </c>
      <c r="K86" s="6">
        <v>0</v>
      </c>
      <c r="L86" s="13">
        <v>-10000</v>
      </c>
      <c r="M86" s="13">
        <v>2.6086415634634999E-2</v>
      </c>
    </row>
    <row r="87" spans="1:13" s="13" customFormat="1" x14ac:dyDescent="0.25">
      <c r="A87" s="13">
        <v>472</v>
      </c>
      <c r="B87" s="13" t="str">
        <f>"IGHG3;IGHG2"</f>
        <v>IGHG3;IGHG2</v>
      </c>
      <c r="C87" s="13" t="str">
        <f>""</f>
        <v/>
      </c>
      <c r="D87" s="13">
        <v>41.286999999999999</v>
      </c>
      <c r="E87" s="13">
        <v>10.6</v>
      </c>
      <c r="F87" s="13">
        <v>3</v>
      </c>
      <c r="G87" s="13">
        <v>0</v>
      </c>
      <c r="H87" s="13">
        <v>0</v>
      </c>
      <c r="I87" s="7">
        <v>1.68249544018291</v>
      </c>
      <c r="J87" s="6">
        <v>0</v>
      </c>
      <c r="K87" s="6">
        <v>0</v>
      </c>
      <c r="L87" s="13">
        <v>-10000</v>
      </c>
      <c r="M87" s="13">
        <v>2.6086415634634999E-2</v>
      </c>
    </row>
    <row r="88" spans="1:13" s="13" customFormat="1" x14ac:dyDescent="0.25">
      <c r="A88" s="13">
        <v>3144</v>
      </c>
      <c r="B88" s="13" t="str">
        <f>"F11R"</f>
        <v>F11R</v>
      </c>
      <c r="C88" s="13" t="str">
        <f>""</f>
        <v/>
      </c>
      <c r="D88" s="13">
        <v>32.582999999999998</v>
      </c>
      <c r="E88" s="13">
        <v>11.7</v>
      </c>
      <c r="F88" s="13">
        <v>3</v>
      </c>
      <c r="G88" s="13">
        <v>0</v>
      </c>
      <c r="H88" s="13">
        <v>0</v>
      </c>
      <c r="I88" s="7">
        <v>1.68249544018291</v>
      </c>
      <c r="J88" s="6">
        <v>0</v>
      </c>
      <c r="K88" s="6">
        <v>0</v>
      </c>
      <c r="L88" s="13">
        <v>-10000</v>
      </c>
      <c r="M88" s="13">
        <v>2.6086415634634999E-2</v>
      </c>
    </row>
    <row r="89" spans="1:13" s="13" customFormat="1" x14ac:dyDescent="0.25">
      <c r="A89" s="13">
        <v>1461</v>
      </c>
      <c r="B89" s="13" t="str">
        <f>"ITIH3"</f>
        <v>ITIH3</v>
      </c>
      <c r="C89" s="13" t="str">
        <f>""</f>
        <v/>
      </c>
      <c r="D89" s="13">
        <v>99.325999999999993</v>
      </c>
      <c r="E89" s="13">
        <v>1.1000000000000001</v>
      </c>
      <c r="F89" s="13">
        <v>3</v>
      </c>
      <c r="G89" s="13">
        <v>0</v>
      </c>
      <c r="H89" s="13">
        <v>0</v>
      </c>
      <c r="I89" s="7">
        <v>1.68249544018291</v>
      </c>
      <c r="J89" s="6">
        <v>0</v>
      </c>
      <c r="K89" s="6">
        <v>0</v>
      </c>
      <c r="L89" s="13">
        <v>-10000</v>
      </c>
      <c r="M89" s="13">
        <v>2.6086415634634999E-2</v>
      </c>
    </row>
    <row r="90" spans="1:13" s="13" customFormat="1" x14ac:dyDescent="0.25">
      <c r="A90" s="13">
        <v>124</v>
      </c>
      <c r="B90" s="13" t="str">
        <f>"KPNA4"</f>
        <v>KPNA4</v>
      </c>
      <c r="C90" s="13" t="str">
        <f>""</f>
        <v/>
      </c>
      <c r="D90" s="13">
        <v>57.886000000000003</v>
      </c>
      <c r="E90" s="13">
        <v>4.4000000000000004</v>
      </c>
      <c r="F90" s="13">
        <v>3</v>
      </c>
      <c r="G90" s="13">
        <v>0</v>
      </c>
      <c r="H90" s="13">
        <v>0</v>
      </c>
      <c r="I90" s="7">
        <v>1.68249544018291</v>
      </c>
      <c r="J90" s="6">
        <v>0</v>
      </c>
      <c r="K90" s="6">
        <v>0</v>
      </c>
      <c r="L90" s="13">
        <v>-10000</v>
      </c>
      <c r="M90" s="13">
        <v>2.6086415634634999E-2</v>
      </c>
    </row>
    <row r="91" spans="1:13" s="13" customFormat="1" x14ac:dyDescent="0.25">
      <c r="A91" s="13">
        <v>229</v>
      </c>
      <c r="B91" s="13" t="str">
        <f>"ZNF207"</f>
        <v>ZNF207</v>
      </c>
      <c r="C91" s="13" t="str">
        <f>""</f>
        <v/>
      </c>
      <c r="D91" s="13">
        <v>49.692</v>
      </c>
      <c r="E91" s="13">
        <v>5.6</v>
      </c>
      <c r="F91" s="13">
        <v>3</v>
      </c>
      <c r="G91" s="13">
        <v>0</v>
      </c>
      <c r="H91" s="13">
        <v>0</v>
      </c>
      <c r="I91" s="7">
        <v>1.68249544018291</v>
      </c>
      <c r="J91" s="6">
        <v>0</v>
      </c>
      <c r="K91" s="6">
        <v>0</v>
      </c>
      <c r="L91" s="13">
        <v>-10000</v>
      </c>
      <c r="M91" s="13">
        <v>2.6086415634634999E-2</v>
      </c>
    </row>
    <row r="92" spans="1:13" s="13" customFormat="1" x14ac:dyDescent="0.25">
      <c r="A92" s="13">
        <v>458</v>
      </c>
      <c r="B92" s="13" t="str">
        <f>"AGT"</f>
        <v>AGT</v>
      </c>
      <c r="C92" s="13" t="str">
        <f>""</f>
        <v/>
      </c>
      <c r="D92" s="13">
        <v>53.154000000000003</v>
      </c>
      <c r="E92" s="13">
        <v>3.3</v>
      </c>
      <c r="F92" s="13">
        <v>3</v>
      </c>
      <c r="G92" s="13">
        <v>0</v>
      </c>
      <c r="H92" s="13">
        <v>0</v>
      </c>
      <c r="I92" s="7">
        <v>1.68249544018291</v>
      </c>
      <c r="J92" s="6">
        <v>0</v>
      </c>
      <c r="K92" s="6">
        <v>0</v>
      </c>
      <c r="L92" s="13">
        <v>-10000</v>
      </c>
      <c r="M92" s="13">
        <v>2.6086415634634999E-2</v>
      </c>
    </row>
    <row r="93" spans="1:13" s="13" customFormat="1" x14ac:dyDescent="0.25">
      <c r="A93" s="13">
        <v>485</v>
      </c>
      <c r="B93" s="13" t="str">
        <f>"APOC1"</f>
        <v>APOC1</v>
      </c>
      <c r="C93" s="13" t="str">
        <f>""</f>
        <v/>
      </c>
      <c r="D93" s="13">
        <v>9.3317999999999994</v>
      </c>
      <c r="E93" s="13">
        <v>10.8</v>
      </c>
      <c r="F93" s="13">
        <v>3</v>
      </c>
      <c r="G93" s="13">
        <v>0</v>
      </c>
      <c r="H93" s="13">
        <v>0</v>
      </c>
      <c r="I93" s="7">
        <v>1.68249544018291</v>
      </c>
      <c r="J93" s="6">
        <v>0</v>
      </c>
      <c r="K93" s="6">
        <v>0</v>
      </c>
      <c r="L93" s="13">
        <v>-10000</v>
      </c>
      <c r="M93" s="13">
        <v>2.6086415634634999E-2</v>
      </c>
    </row>
    <row r="94" spans="1:13" s="13" customFormat="1" x14ac:dyDescent="0.25">
      <c r="A94" s="13">
        <v>533</v>
      </c>
      <c r="B94" s="13" t="str">
        <f>"SERPING1"</f>
        <v>SERPING1</v>
      </c>
      <c r="C94" s="13" t="str">
        <f>""</f>
        <v/>
      </c>
      <c r="D94" s="13">
        <v>49.756999999999998</v>
      </c>
      <c r="E94" s="13">
        <v>8</v>
      </c>
      <c r="F94" s="13">
        <v>3</v>
      </c>
      <c r="G94" s="13">
        <v>0</v>
      </c>
      <c r="H94" s="13">
        <v>0</v>
      </c>
      <c r="I94" s="7">
        <v>1.68249544018291</v>
      </c>
      <c r="J94" s="6">
        <v>0</v>
      </c>
      <c r="K94" s="6">
        <v>0</v>
      </c>
      <c r="L94" s="13">
        <v>-10000</v>
      </c>
      <c r="M94" s="13">
        <v>2.6086415634634999E-2</v>
      </c>
    </row>
    <row r="95" spans="1:13" s="13" customFormat="1" x14ac:dyDescent="0.25">
      <c r="A95" s="13">
        <v>565</v>
      </c>
      <c r="B95" s="13" t="str">
        <f>"PROS1"</f>
        <v>PROS1</v>
      </c>
      <c r="C95" s="13" t="str">
        <f>""</f>
        <v/>
      </c>
      <c r="D95" s="13">
        <v>75.122</v>
      </c>
      <c r="E95" s="13">
        <v>2.8</v>
      </c>
      <c r="F95" s="13">
        <v>3</v>
      </c>
      <c r="G95" s="13">
        <v>0</v>
      </c>
      <c r="H95" s="13">
        <v>0</v>
      </c>
      <c r="I95" s="7">
        <v>1.68249544018291</v>
      </c>
      <c r="J95" s="6">
        <v>0</v>
      </c>
      <c r="K95" s="6">
        <v>0</v>
      </c>
      <c r="L95" s="13">
        <v>-10000</v>
      </c>
      <c r="M95" s="13">
        <v>2.6086415634634999E-2</v>
      </c>
    </row>
    <row r="96" spans="1:13" s="13" customFormat="1" x14ac:dyDescent="0.25">
      <c r="A96" s="13">
        <v>642</v>
      </c>
      <c r="B96" s="13" t="str">
        <f>"MBL2"</f>
        <v>MBL2</v>
      </c>
      <c r="C96" s="13" t="str">
        <f>""</f>
        <v/>
      </c>
      <c r="D96" s="13">
        <v>26.143000000000001</v>
      </c>
      <c r="E96" s="13">
        <v>8.9</v>
      </c>
      <c r="F96" s="13">
        <v>3</v>
      </c>
      <c r="G96" s="13">
        <v>0</v>
      </c>
      <c r="H96" s="13">
        <v>0</v>
      </c>
      <c r="I96" s="7">
        <v>1.68249544018291</v>
      </c>
      <c r="J96" s="6">
        <v>0</v>
      </c>
      <c r="K96" s="6">
        <v>0</v>
      </c>
      <c r="L96" s="13">
        <v>-10000</v>
      </c>
      <c r="M96" s="13">
        <v>2.6086415634634999E-2</v>
      </c>
    </row>
    <row r="97" spans="1:13" s="13" customFormat="1" x14ac:dyDescent="0.25">
      <c r="A97" s="13">
        <v>726</v>
      </c>
      <c r="B97" s="13" t="str">
        <f>"ITGA2"</f>
        <v>ITGA2</v>
      </c>
      <c r="C97" s="13" t="str">
        <f>""</f>
        <v/>
      </c>
      <c r="D97" s="13">
        <v>129.29</v>
      </c>
      <c r="E97" s="13">
        <v>3</v>
      </c>
      <c r="F97" s="13">
        <v>3</v>
      </c>
      <c r="G97" s="13">
        <v>0</v>
      </c>
      <c r="H97" s="13">
        <v>0</v>
      </c>
      <c r="I97" s="7">
        <v>1.68249544018291</v>
      </c>
      <c r="J97" s="6">
        <v>0</v>
      </c>
      <c r="K97" s="6">
        <v>0</v>
      </c>
      <c r="L97" s="13">
        <v>-10000</v>
      </c>
      <c r="M97" s="13">
        <v>2.6086415634634999E-2</v>
      </c>
    </row>
    <row r="98" spans="1:13" s="13" customFormat="1" x14ac:dyDescent="0.25">
      <c r="A98" s="13">
        <v>769</v>
      </c>
      <c r="B98" s="13" t="str">
        <f>"PZP"</f>
        <v>PZP</v>
      </c>
      <c r="C98" s="13" t="str">
        <f>""</f>
        <v/>
      </c>
      <c r="D98" s="13">
        <v>140.37</v>
      </c>
      <c r="E98" s="13">
        <v>2.8</v>
      </c>
      <c r="F98" s="13">
        <v>3</v>
      </c>
      <c r="G98" s="13">
        <v>0</v>
      </c>
      <c r="H98" s="13">
        <v>0</v>
      </c>
      <c r="I98" s="7">
        <v>1.68249544018291</v>
      </c>
      <c r="J98" s="6">
        <v>0</v>
      </c>
      <c r="K98" s="6">
        <v>0</v>
      </c>
      <c r="L98" s="13">
        <v>-10000</v>
      </c>
      <c r="M98" s="13">
        <v>2.6086415634634999E-2</v>
      </c>
    </row>
    <row r="99" spans="1:13" s="13" customFormat="1" x14ac:dyDescent="0.25">
      <c r="A99" s="13">
        <v>844</v>
      </c>
      <c r="B99" s="13" t="str">
        <f>"PON1"</f>
        <v>PON1</v>
      </c>
      <c r="C99" s="13" t="str">
        <f>""</f>
        <v/>
      </c>
      <c r="D99" s="13">
        <v>39.731000000000002</v>
      </c>
      <c r="E99" s="13">
        <v>8.5</v>
      </c>
      <c r="F99" s="13">
        <v>3</v>
      </c>
      <c r="G99" s="13">
        <v>0</v>
      </c>
      <c r="H99" s="13">
        <v>0</v>
      </c>
      <c r="I99" s="7">
        <v>1.68249544018291</v>
      </c>
      <c r="J99" s="6">
        <v>0</v>
      </c>
      <c r="K99" s="6">
        <v>0</v>
      </c>
      <c r="L99" s="13">
        <v>-10000</v>
      </c>
      <c r="M99" s="13">
        <v>2.6086415634634999E-2</v>
      </c>
    </row>
    <row r="100" spans="1:13" s="13" customFormat="1" x14ac:dyDescent="0.25">
      <c r="A100" s="13">
        <v>1651</v>
      </c>
      <c r="B100" s="13" t="str">
        <f>"ITIH4"</f>
        <v>ITIH4</v>
      </c>
      <c r="C100" s="13" t="str">
        <f>""</f>
        <v/>
      </c>
      <c r="D100" s="13">
        <v>93.850999999999999</v>
      </c>
      <c r="E100" s="13">
        <v>5.9</v>
      </c>
      <c r="F100" s="13">
        <v>3</v>
      </c>
      <c r="G100" s="13">
        <v>0</v>
      </c>
      <c r="H100" s="13">
        <v>0</v>
      </c>
      <c r="I100" s="7">
        <v>1.68249544018291</v>
      </c>
      <c r="J100" s="6">
        <v>0</v>
      </c>
      <c r="K100" s="6">
        <v>0</v>
      </c>
      <c r="L100" s="13">
        <v>-10000</v>
      </c>
      <c r="M100" s="13">
        <v>2.6086415634634999E-2</v>
      </c>
    </row>
    <row r="101" spans="1:13" s="13" customFormat="1" x14ac:dyDescent="0.25">
      <c r="A101" s="13">
        <v>1922</v>
      </c>
      <c r="B101" s="13" t="str">
        <f>"TYW1B"</f>
        <v>TYW1B</v>
      </c>
      <c r="C101" s="13" t="str">
        <f>""</f>
        <v/>
      </c>
      <c r="D101" s="13">
        <v>76.945999999999998</v>
      </c>
      <c r="E101" s="13">
        <v>1.3</v>
      </c>
      <c r="F101" s="13">
        <v>3</v>
      </c>
      <c r="G101" s="13">
        <v>0</v>
      </c>
      <c r="H101" s="13">
        <v>0</v>
      </c>
      <c r="I101" s="7">
        <v>1.68249544018291</v>
      </c>
      <c r="J101" s="6">
        <v>0</v>
      </c>
      <c r="K101" s="6">
        <v>0</v>
      </c>
      <c r="L101" s="13">
        <v>-10000</v>
      </c>
      <c r="M101" s="13">
        <v>2.6086415634634999E-2</v>
      </c>
    </row>
    <row r="102" spans="1:13" s="13" customFormat="1" x14ac:dyDescent="0.25">
      <c r="A102" s="13">
        <v>2097</v>
      </c>
      <c r="B102" s="13" t="str">
        <f>"UBR1"</f>
        <v>UBR1</v>
      </c>
      <c r="C102" s="13" t="str">
        <f>""</f>
        <v/>
      </c>
      <c r="D102" s="13">
        <v>200.21</v>
      </c>
      <c r="E102" s="13">
        <v>2.8</v>
      </c>
      <c r="F102" s="13">
        <v>3</v>
      </c>
      <c r="G102" s="13">
        <v>0</v>
      </c>
      <c r="H102" s="13">
        <v>0</v>
      </c>
      <c r="I102" s="7">
        <v>1.68249544018291</v>
      </c>
      <c r="J102" s="6">
        <v>0</v>
      </c>
      <c r="K102" s="6">
        <v>0</v>
      </c>
      <c r="L102" s="13">
        <v>-10000</v>
      </c>
      <c r="M102" s="13">
        <v>2.6086415634634999E-2</v>
      </c>
    </row>
    <row r="103" spans="1:13" s="13" customFormat="1" x14ac:dyDescent="0.25">
      <c r="A103" s="13">
        <v>2436</v>
      </c>
      <c r="B103" s="13" t="str">
        <f>"PGLYRP2"</f>
        <v>PGLYRP2</v>
      </c>
      <c r="C103" s="13" t="str">
        <f>""</f>
        <v/>
      </c>
      <c r="D103" s="13">
        <v>68</v>
      </c>
      <c r="E103" s="13">
        <v>4.9000000000000004</v>
      </c>
      <c r="F103" s="13">
        <v>3</v>
      </c>
      <c r="G103" s="13">
        <v>0</v>
      </c>
      <c r="H103" s="13">
        <v>0</v>
      </c>
      <c r="I103" s="7">
        <v>1.68249544018291</v>
      </c>
      <c r="J103" s="6">
        <v>0</v>
      </c>
      <c r="K103" s="6">
        <v>0</v>
      </c>
      <c r="L103" s="13">
        <v>-10000</v>
      </c>
      <c r="M103" s="13">
        <v>2.6086415634634999E-2</v>
      </c>
    </row>
    <row r="104" spans="1:13" s="13" customFormat="1" x14ac:dyDescent="0.25">
      <c r="A104" s="13">
        <v>2618</v>
      </c>
      <c r="B104" s="13" t="str">
        <f>"TRIM4"</f>
        <v>TRIM4</v>
      </c>
      <c r="C104" s="13" t="str">
        <f>""</f>
        <v/>
      </c>
      <c r="D104" s="13">
        <v>34.192999999999998</v>
      </c>
      <c r="E104" s="13">
        <v>8.8000000000000007</v>
      </c>
      <c r="F104" s="13">
        <v>3</v>
      </c>
      <c r="G104" s="13">
        <v>0</v>
      </c>
      <c r="H104" s="13">
        <v>0</v>
      </c>
      <c r="I104" s="7">
        <v>1.68249544018291</v>
      </c>
      <c r="J104" s="6">
        <v>0</v>
      </c>
      <c r="K104" s="6">
        <v>0</v>
      </c>
      <c r="L104" s="13">
        <v>-10000</v>
      </c>
      <c r="M104" s="13">
        <v>2.6086415634634999E-2</v>
      </c>
    </row>
    <row r="105" spans="1:13" s="13" customFormat="1" x14ac:dyDescent="0.25">
      <c r="A105" s="13">
        <v>2752</v>
      </c>
      <c r="B105" s="13" t="str">
        <f>"SARS2"</f>
        <v>SARS2</v>
      </c>
      <c r="C105" s="13" t="str">
        <f>""</f>
        <v/>
      </c>
      <c r="D105" s="13">
        <v>58.281999999999996</v>
      </c>
      <c r="E105" s="13">
        <v>4.4000000000000004</v>
      </c>
      <c r="F105" s="13">
        <v>3</v>
      </c>
      <c r="G105" s="13">
        <v>0</v>
      </c>
      <c r="H105" s="13">
        <v>0</v>
      </c>
      <c r="I105" s="7">
        <v>1.68249544018291</v>
      </c>
      <c r="J105" s="6">
        <v>0</v>
      </c>
      <c r="K105" s="6">
        <v>0</v>
      </c>
      <c r="L105" s="13">
        <v>-10000</v>
      </c>
      <c r="M105" s="13">
        <v>2.6086415634634999E-2</v>
      </c>
    </row>
    <row r="106" spans="1:13" s="13" customFormat="1" x14ac:dyDescent="0.25">
      <c r="A106" s="13">
        <v>3010</v>
      </c>
      <c r="B106" s="13" t="str">
        <f>"DUSP12"</f>
        <v>DUSP12</v>
      </c>
      <c r="C106" s="13" t="str">
        <f>""</f>
        <v/>
      </c>
      <c r="D106" s="13">
        <v>37.686999999999998</v>
      </c>
      <c r="E106" s="13">
        <v>2.4</v>
      </c>
      <c r="F106" s="13">
        <v>3</v>
      </c>
      <c r="G106" s="13">
        <v>0</v>
      </c>
      <c r="H106" s="13">
        <v>0</v>
      </c>
      <c r="I106" s="7">
        <v>1.68249544018291</v>
      </c>
      <c r="J106" s="6">
        <v>0</v>
      </c>
      <c r="K106" s="6">
        <v>0</v>
      </c>
      <c r="L106" s="13">
        <v>-10000</v>
      </c>
      <c r="M106" s="13">
        <v>2.6086415634634999E-2</v>
      </c>
    </row>
    <row r="107" spans="1:13" s="13" customFormat="1" x14ac:dyDescent="0.25">
      <c r="A107" s="13">
        <v>546</v>
      </c>
      <c r="B107" s="13" t="str">
        <f>"IGKV4-1"</f>
        <v>IGKV4-1</v>
      </c>
      <c r="C107" s="13" t="str">
        <f>""</f>
        <v/>
      </c>
      <c r="D107" s="13">
        <v>13.38</v>
      </c>
      <c r="E107" s="13">
        <v>12.4</v>
      </c>
      <c r="F107" s="13">
        <v>2</v>
      </c>
      <c r="G107" s="13">
        <v>0</v>
      </c>
      <c r="H107" s="13">
        <v>0</v>
      </c>
      <c r="I107" s="7">
        <v>1.1216636267886</v>
      </c>
      <c r="J107" s="6">
        <v>0</v>
      </c>
      <c r="K107" s="6">
        <v>0</v>
      </c>
      <c r="L107" s="13">
        <v>-10000</v>
      </c>
      <c r="M107" s="13">
        <v>4.50489233032631E-2</v>
      </c>
    </row>
    <row r="108" spans="1:13" s="13" customFormat="1" x14ac:dyDescent="0.25">
      <c r="A108" s="13">
        <v>453</v>
      </c>
      <c r="B108" s="13" t="str">
        <f>"CFB"</f>
        <v>CFB</v>
      </c>
      <c r="C108" s="13" t="str">
        <f>""</f>
        <v/>
      </c>
      <c r="D108" s="13">
        <v>85.531999999999996</v>
      </c>
      <c r="E108" s="13">
        <v>2.5</v>
      </c>
      <c r="F108" s="13">
        <v>2</v>
      </c>
      <c r="G108" s="13">
        <v>0</v>
      </c>
      <c r="H108" s="13">
        <v>0</v>
      </c>
      <c r="I108" s="7">
        <v>1.1216636267886</v>
      </c>
      <c r="J108" s="6">
        <v>0</v>
      </c>
      <c r="K108" s="6">
        <v>0</v>
      </c>
      <c r="L108" s="13">
        <v>-10000</v>
      </c>
      <c r="M108" s="13">
        <v>4.50489233032631E-2</v>
      </c>
    </row>
    <row r="109" spans="1:13" s="13" customFormat="1" x14ac:dyDescent="0.25">
      <c r="A109" s="13">
        <v>569</v>
      </c>
      <c r="B109" s="13" t="str">
        <f>"ANXA2;ANXA2P2"</f>
        <v>ANXA2;ANXA2P2</v>
      </c>
      <c r="C109" s="13" t="str">
        <f>""</f>
        <v/>
      </c>
      <c r="D109" s="13">
        <v>38.603999999999999</v>
      </c>
      <c r="E109" s="13">
        <v>16.8</v>
      </c>
      <c r="F109" s="13">
        <v>2</v>
      </c>
      <c r="G109" s="13">
        <v>0</v>
      </c>
      <c r="H109" s="13">
        <v>0</v>
      </c>
      <c r="I109" s="7">
        <v>1.1216636267886</v>
      </c>
      <c r="J109" s="6">
        <v>0</v>
      </c>
      <c r="K109" s="6">
        <v>0</v>
      </c>
      <c r="L109" s="13">
        <v>-10000</v>
      </c>
      <c r="M109" s="13">
        <v>4.50489233032631E-2</v>
      </c>
    </row>
    <row r="110" spans="1:13" s="13" customFormat="1" x14ac:dyDescent="0.25">
      <c r="A110" s="13">
        <v>2646</v>
      </c>
      <c r="B110" s="13" t="str">
        <f>"MAGT1"</f>
        <v>MAGT1</v>
      </c>
      <c r="C110" s="13" t="str">
        <f>""</f>
        <v/>
      </c>
      <c r="D110" s="13">
        <v>38.036000000000001</v>
      </c>
      <c r="E110" s="13">
        <v>2.7</v>
      </c>
      <c r="F110" s="13">
        <v>2</v>
      </c>
      <c r="G110" s="13">
        <v>0</v>
      </c>
      <c r="H110" s="13">
        <v>0</v>
      </c>
      <c r="I110" s="7">
        <v>1.1216636267886</v>
      </c>
      <c r="J110" s="6">
        <v>0</v>
      </c>
      <c r="K110" s="6">
        <v>0</v>
      </c>
      <c r="L110" s="13">
        <v>-10000</v>
      </c>
      <c r="M110" s="13">
        <v>4.50489233032631E-2</v>
      </c>
    </row>
    <row r="111" spans="1:13" s="13" customFormat="1" x14ac:dyDescent="0.25">
      <c r="A111" s="13">
        <v>486</v>
      </c>
      <c r="B111" s="13" t="str">
        <f>"FGA"</f>
        <v>FGA</v>
      </c>
      <c r="C111" s="13" t="str">
        <f>""</f>
        <v/>
      </c>
      <c r="D111" s="13">
        <v>94.971999999999994</v>
      </c>
      <c r="E111" s="13">
        <v>5.3</v>
      </c>
      <c r="F111" s="13">
        <v>2</v>
      </c>
      <c r="G111" s="13">
        <v>0</v>
      </c>
      <c r="H111" s="13">
        <v>0</v>
      </c>
      <c r="I111" s="7">
        <v>1.1216636267886</v>
      </c>
      <c r="J111" s="6">
        <v>0</v>
      </c>
      <c r="K111" s="6">
        <v>0</v>
      </c>
      <c r="L111" s="13">
        <v>-10000</v>
      </c>
      <c r="M111" s="13">
        <v>4.50489233032631E-2</v>
      </c>
    </row>
    <row r="112" spans="1:13" s="13" customFormat="1" x14ac:dyDescent="0.25">
      <c r="A112" s="13">
        <v>495</v>
      </c>
      <c r="B112" s="13" t="str">
        <f>"PPBP"</f>
        <v>PPBP</v>
      </c>
      <c r="C112" s="13" t="str">
        <f>""</f>
        <v/>
      </c>
      <c r="D112" s="13">
        <v>13.894</v>
      </c>
      <c r="E112" s="13">
        <v>7.8</v>
      </c>
      <c r="F112" s="13">
        <v>2</v>
      </c>
      <c r="G112" s="13">
        <v>0</v>
      </c>
      <c r="H112" s="13">
        <v>0</v>
      </c>
      <c r="I112" s="7">
        <v>1.1216636267886</v>
      </c>
      <c r="J112" s="6">
        <v>0</v>
      </c>
      <c r="K112" s="6">
        <v>0</v>
      </c>
      <c r="L112" s="13">
        <v>-10000</v>
      </c>
      <c r="M112" s="13">
        <v>4.50489233032631E-2</v>
      </c>
    </row>
    <row r="113" spans="1:13" s="13" customFormat="1" x14ac:dyDescent="0.25">
      <c r="A113" s="13">
        <v>764</v>
      </c>
      <c r="B113" s="13" t="str">
        <f>"RAB6A"</f>
        <v>RAB6A</v>
      </c>
      <c r="C113" s="13" t="str">
        <f>""</f>
        <v/>
      </c>
      <c r="D113" s="13">
        <v>23.547999999999998</v>
      </c>
      <c r="E113" s="13">
        <v>25</v>
      </c>
      <c r="F113" s="13">
        <v>2</v>
      </c>
      <c r="G113" s="13">
        <v>0</v>
      </c>
      <c r="H113" s="13">
        <v>0</v>
      </c>
      <c r="I113" s="7">
        <v>1.1216636267886</v>
      </c>
      <c r="J113" s="6">
        <v>0</v>
      </c>
      <c r="K113" s="6">
        <v>0</v>
      </c>
      <c r="L113" s="13">
        <v>-10000</v>
      </c>
      <c r="M113" s="13">
        <v>4.50489233032631E-2</v>
      </c>
    </row>
    <row r="114" spans="1:13" s="13" customFormat="1" x14ac:dyDescent="0.25">
      <c r="A114" s="13">
        <v>63</v>
      </c>
      <c r="B114" s="13" t="str">
        <f>"LUM"</f>
        <v>LUM</v>
      </c>
      <c r="C114" s="13" t="str">
        <f>""</f>
        <v/>
      </c>
      <c r="D114" s="13">
        <v>38.756</v>
      </c>
      <c r="E114" s="13">
        <v>2.6</v>
      </c>
      <c r="F114" s="13">
        <v>2</v>
      </c>
      <c r="G114" s="13">
        <v>0</v>
      </c>
      <c r="H114" s="13">
        <v>0</v>
      </c>
      <c r="I114" s="7">
        <v>1.1216636267886</v>
      </c>
      <c r="J114" s="6">
        <v>0</v>
      </c>
      <c r="K114" s="6">
        <v>0</v>
      </c>
      <c r="L114" s="13">
        <v>-10000</v>
      </c>
      <c r="M114" s="13">
        <v>4.50489233032631E-2</v>
      </c>
    </row>
    <row r="115" spans="1:13" s="13" customFormat="1" x14ac:dyDescent="0.25">
      <c r="A115" s="13">
        <v>77</v>
      </c>
      <c r="B115" s="13" t="str">
        <f>""</f>
        <v/>
      </c>
      <c r="C115" s="13" t="str">
        <f>""</f>
        <v/>
      </c>
      <c r="D115" s="13">
        <v>57.552</v>
      </c>
      <c r="E115" s="13">
        <v>8.1</v>
      </c>
      <c r="F115" s="13">
        <v>2</v>
      </c>
      <c r="G115" s="13">
        <v>0</v>
      </c>
      <c r="H115" s="13">
        <v>0</v>
      </c>
      <c r="I115" s="7">
        <v>1.1216636267886</v>
      </c>
      <c r="J115" s="6">
        <v>0</v>
      </c>
      <c r="K115" s="6">
        <v>0</v>
      </c>
      <c r="L115" s="13">
        <v>-10000</v>
      </c>
      <c r="M115" s="13">
        <v>4.50489233032631E-2</v>
      </c>
    </row>
    <row r="116" spans="1:13" s="13" customFormat="1" x14ac:dyDescent="0.25">
      <c r="A116" s="13">
        <v>217</v>
      </c>
      <c r="B116" s="13" t="str">
        <f>"TXNL1"</f>
        <v>TXNL1</v>
      </c>
      <c r="C116" s="13" t="str">
        <f>""</f>
        <v/>
      </c>
      <c r="D116" s="13">
        <v>32.250999999999998</v>
      </c>
      <c r="E116" s="13">
        <v>3.8</v>
      </c>
      <c r="F116" s="13">
        <v>2</v>
      </c>
      <c r="G116" s="13">
        <v>0</v>
      </c>
      <c r="H116" s="13">
        <v>0</v>
      </c>
      <c r="I116" s="7">
        <v>1.1216636267886</v>
      </c>
      <c r="J116" s="6">
        <v>0</v>
      </c>
      <c r="K116" s="6">
        <v>0</v>
      </c>
      <c r="L116" s="13">
        <v>-10000</v>
      </c>
      <c r="M116" s="13">
        <v>4.50489233032631E-2</v>
      </c>
    </row>
    <row r="117" spans="1:13" s="13" customFormat="1" x14ac:dyDescent="0.25">
      <c r="A117" s="13">
        <v>404</v>
      </c>
      <c r="B117" s="13" t="str">
        <f>"SLU7"</f>
        <v>SLU7</v>
      </c>
      <c r="C117" s="13" t="str">
        <f>""</f>
        <v/>
      </c>
      <c r="D117" s="13">
        <v>68.385999999999996</v>
      </c>
      <c r="E117" s="13">
        <v>2.4</v>
      </c>
      <c r="F117" s="13">
        <v>2</v>
      </c>
      <c r="G117" s="13">
        <v>0</v>
      </c>
      <c r="H117" s="13">
        <v>0</v>
      </c>
      <c r="I117" s="7">
        <v>1.1216636267886</v>
      </c>
      <c r="J117" s="6">
        <v>0</v>
      </c>
      <c r="K117" s="6">
        <v>0</v>
      </c>
      <c r="L117" s="13">
        <v>-10000</v>
      </c>
      <c r="M117" s="13">
        <v>4.50489233032631E-2</v>
      </c>
    </row>
    <row r="118" spans="1:13" s="13" customFormat="1" x14ac:dyDescent="0.25">
      <c r="A118" s="13">
        <v>414</v>
      </c>
      <c r="B118" s="13" t="str">
        <f>"YEATS4"</f>
        <v>YEATS4</v>
      </c>
      <c r="C118" s="13" t="str">
        <f>""</f>
        <v/>
      </c>
      <c r="D118" s="13">
        <v>26.498999999999999</v>
      </c>
      <c r="E118" s="13">
        <v>11.9</v>
      </c>
      <c r="F118" s="13">
        <v>2</v>
      </c>
      <c r="G118" s="13">
        <v>0</v>
      </c>
      <c r="H118" s="13">
        <v>0</v>
      </c>
      <c r="I118" s="7">
        <v>1.1216636267886</v>
      </c>
      <c r="J118" s="6">
        <v>0</v>
      </c>
      <c r="K118" s="6">
        <v>0</v>
      </c>
      <c r="L118" s="13">
        <v>-10000</v>
      </c>
      <c r="M118" s="13">
        <v>4.50489233032631E-2</v>
      </c>
    </row>
    <row r="119" spans="1:13" s="13" customFormat="1" x14ac:dyDescent="0.25">
      <c r="A119" s="13">
        <v>463</v>
      </c>
      <c r="B119" s="13" t="str">
        <f>"KNG1"</f>
        <v>KNG1</v>
      </c>
      <c r="C119" s="13" t="str">
        <f>""</f>
        <v/>
      </c>
      <c r="D119" s="13">
        <v>43.820999999999998</v>
      </c>
      <c r="E119" s="13">
        <v>2</v>
      </c>
      <c r="F119" s="13">
        <v>2</v>
      </c>
      <c r="G119" s="13">
        <v>0</v>
      </c>
      <c r="H119" s="13">
        <v>0</v>
      </c>
      <c r="I119" s="7">
        <v>1.1216636267886</v>
      </c>
      <c r="J119" s="6">
        <v>0</v>
      </c>
      <c r="K119" s="6">
        <v>0</v>
      </c>
      <c r="L119" s="13">
        <v>-10000</v>
      </c>
      <c r="M119" s="13">
        <v>4.50489233032631E-2</v>
      </c>
    </row>
    <row r="120" spans="1:13" s="13" customFormat="1" x14ac:dyDescent="0.25">
      <c r="A120" s="13">
        <v>501</v>
      </c>
      <c r="B120" s="13" t="str">
        <f>"C4BPA"</f>
        <v>C4BPA</v>
      </c>
      <c r="C120" s="13" t="str">
        <f>""</f>
        <v/>
      </c>
      <c r="D120" s="13">
        <v>67.033000000000001</v>
      </c>
      <c r="E120" s="13">
        <v>3.9</v>
      </c>
      <c r="F120" s="13">
        <v>2</v>
      </c>
      <c r="G120" s="13">
        <v>0</v>
      </c>
      <c r="H120" s="13">
        <v>0</v>
      </c>
      <c r="I120" s="7">
        <v>1.1216636267886</v>
      </c>
      <c r="J120" s="6">
        <v>0</v>
      </c>
      <c r="K120" s="6">
        <v>0</v>
      </c>
      <c r="L120" s="13">
        <v>-10000</v>
      </c>
      <c r="M120" s="13">
        <v>4.50489233032631E-2</v>
      </c>
    </row>
    <row r="121" spans="1:13" s="13" customFormat="1" x14ac:dyDescent="0.25">
      <c r="A121" s="13">
        <v>527</v>
      </c>
      <c r="B121" s="13" t="str">
        <f>"APOD"</f>
        <v>APOD</v>
      </c>
      <c r="C121" s="13" t="str">
        <f>""</f>
        <v/>
      </c>
      <c r="D121" s="13">
        <v>21.274999999999999</v>
      </c>
      <c r="E121" s="13">
        <v>4.8</v>
      </c>
      <c r="F121" s="13">
        <v>2</v>
      </c>
      <c r="G121" s="13">
        <v>0</v>
      </c>
      <c r="H121" s="13">
        <v>0</v>
      </c>
      <c r="I121" s="7">
        <v>1.1216636267886</v>
      </c>
      <c r="J121" s="6">
        <v>0</v>
      </c>
      <c r="K121" s="6">
        <v>0</v>
      </c>
      <c r="L121" s="13">
        <v>-10000</v>
      </c>
      <c r="M121" s="13">
        <v>4.50489233032631E-2</v>
      </c>
    </row>
    <row r="122" spans="1:13" s="13" customFormat="1" x14ac:dyDescent="0.25">
      <c r="A122" s="13">
        <v>573</v>
      </c>
      <c r="B122" s="13" t="str">
        <f>"PSAP"</f>
        <v>PSAP</v>
      </c>
      <c r="C122" s="13" t="str">
        <f>""</f>
        <v/>
      </c>
      <c r="D122" s="13">
        <v>58.112000000000002</v>
      </c>
      <c r="E122" s="13">
        <v>4.8</v>
      </c>
      <c r="F122" s="13">
        <v>2</v>
      </c>
      <c r="G122" s="13">
        <v>0</v>
      </c>
      <c r="H122" s="13">
        <v>0</v>
      </c>
      <c r="I122" s="7">
        <v>1.1216636267886</v>
      </c>
      <c r="J122" s="6">
        <v>0</v>
      </c>
      <c r="K122" s="6">
        <v>0</v>
      </c>
      <c r="L122" s="13">
        <v>-10000</v>
      </c>
      <c r="M122" s="13">
        <v>4.50489233032631E-2</v>
      </c>
    </row>
    <row r="123" spans="1:13" s="13" customFormat="1" x14ac:dyDescent="0.25">
      <c r="A123" s="13">
        <v>584</v>
      </c>
      <c r="B123" s="13" t="str">
        <f>"THBS1;THBS2"</f>
        <v>THBS1;THBS2</v>
      </c>
      <c r="C123" s="13" t="str">
        <f>""</f>
        <v/>
      </c>
      <c r="D123" s="13">
        <v>120.15</v>
      </c>
      <c r="E123" s="13">
        <v>1.3</v>
      </c>
      <c r="F123" s="13">
        <v>2</v>
      </c>
      <c r="G123" s="13">
        <v>0</v>
      </c>
      <c r="H123" s="13">
        <v>0</v>
      </c>
      <c r="I123" s="7">
        <v>1.1216636267886</v>
      </c>
      <c r="J123" s="6">
        <v>0</v>
      </c>
      <c r="K123" s="6">
        <v>0</v>
      </c>
      <c r="L123" s="13">
        <v>-10000</v>
      </c>
      <c r="M123" s="13">
        <v>4.50489233032631E-2</v>
      </c>
    </row>
    <row r="124" spans="1:13" s="13" customFormat="1" x14ac:dyDescent="0.25">
      <c r="A124" s="13">
        <v>587</v>
      </c>
      <c r="B124" s="13" t="str">
        <f>"SLC3A2"</f>
        <v>SLC3A2</v>
      </c>
      <c r="C124" s="13" t="str">
        <f>""</f>
        <v/>
      </c>
      <c r="D124" s="13">
        <v>57.944000000000003</v>
      </c>
      <c r="E124" s="13">
        <v>8.3000000000000007</v>
      </c>
      <c r="F124" s="13">
        <v>2</v>
      </c>
      <c r="G124" s="13">
        <v>0</v>
      </c>
      <c r="H124" s="13">
        <v>0</v>
      </c>
      <c r="I124" s="7">
        <v>1.1216636267886</v>
      </c>
      <c r="J124" s="6">
        <v>0</v>
      </c>
      <c r="K124" s="6">
        <v>0</v>
      </c>
      <c r="L124" s="13">
        <v>-10000</v>
      </c>
      <c r="M124" s="13">
        <v>4.50489233032631E-2</v>
      </c>
    </row>
    <row r="125" spans="1:13" s="13" customFormat="1" x14ac:dyDescent="0.25">
      <c r="A125" s="13">
        <v>594</v>
      </c>
      <c r="B125" s="13" t="str">
        <f>"CD14"</f>
        <v>CD14</v>
      </c>
      <c r="C125" s="13" t="str">
        <f>""</f>
        <v/>
      </c>
      <c r="D125" s="13">
        <v>40.076000000000001</v>
      </c>
      <c r="E125" s="13">
        <v>2.7</v>
      </c>
      <c r="F125" s="13">
        <v>2</v>
      </c>
      <c r="G125" s="13">
        <v>0</v>
      </c>
      <c r="H125" s="13">
        <v>0</v>
      </c>
      <c r="I125" s="7">
        <v>1.1216636267886</v>
      </c>
      <c r="J125" s="6">
        <v>0</v>
      </c>
      <c r="K125" s="6">
        <v>0</v>
      </c>
      <c r="L125" s="13">
        <v>-10000</v>
      </c>
      <c r="M125" s="13">
        <v>4.50489233032631E-2</v>
      </c>
    </row>
    <row r="126" spans="1:13" s="13" customFormat="1" x14ac:dyDescent="0.25">
      <c r="A126" s="13">
        <v>613</v>
      </c>
      <c r="B126" s="13" t="str">
        <f>"C1S"</f>
        <v>C1S</v>
      </c>
      <c r="C126" s="13" t="str">
        <f>""</f>
        <v/>
      </c>
      <c r="D126" s="13">
        <v>76.683999999999997</v>
      </c>
      <c r="E126" s="13">
        <v>2.2999999999999998</v>
      </c>
      <c r="F126" s="13">
        <v>2</v>
      </c>
      <c r="G126" s="13">
        <v>0</v>
      </c>
      <c r="H126" s="13">
        <v>0</v>
      </c>
      <c r="I126" s="7">
        <v>1.1216636267886</v>
      </c>
      <c r="J126" s="6">
        <v>0</v>
      </c>
      <c r="K126" s="6">
        <v>0</v>
      </c>
      <c r="L126" s="13">
        <v>-10000</v>
      </c>
      <c r="M126" s="13">
        <v>4.50489233032631E-2</v>
      </c>
    </row>
    <row r="127" spans="1:13" s="13" customFormat="1" x14ac:dyDescent="0.25">
      <c r="A127" s="13">
        <v>661</v>
      </c>
      <c r="B127" s="13" t="str">
        <f>"F5"</f>
        <v>F5</v>
      </c>
      <c r="C127" s="13" t="str">
        <f>""</f>
        <v/>
      </c>
      <c r="D127" s="13">
        <v>251.7</v>
      </c>
      <c r="E127" s="13">
        <v>1.2</v>
      </c>
      <c r="F127" s="13">
        <v>2</v>
      </c>
      <c r="G127" s="13">
        <v>0</v>
      </c>
      <c r="H127" s="13">
        <v>0</v>
      </c>
      <c r="I127" s="7">
        <v>1.1216636267886</v>
      </c>
      <c r="J127" s="6">
        <v>0</v>
      </c>
      <c r="K127" s="6">
        <v>0</v>
      </c>
      <c r="L127" s="13">
        <v>-10000</v>
      </c>
      <c r="M127" s="13">
        <v>4.50489233032631E-2</v>
      </c>
    </row>
    <row r="128" spans="1:13" s="13" customFormat="1" x14ac:dyDescent="0.25">
      <c r="A128" s="13">
        <v>1133</v>
      </c>
      <c r="B128" s="13" t="str">
        <f>"CPT1A"</f>
        <v>CPT1A</v>
      </c>
      <c r="C128" s="13" t="str">
        <f>""</f>
        <v/>
      </c>
      <c r="D128" s="13">
        <v>86.238</v>
      </c>
      <c r="E128" s="13">
        <v>4.5999999999999996</v>
      </c>
      <c r="F128" s="13">
        <v>2</v>
      </c>
      <c r="G128" s="13">
        <v>0</v>
      </c>
      <c r="H128" s="13">
        <v>0</v>
      </c>
      <c r="I128" s="7">
        <v>1.1216636267886</v>
      </c>
      <c r="J128" s="6">
        <v>0</v>
      </c>
      <c r="K128" s="6">
        <v>0</v>
      </c>
      <c r="L128" s="13">
        <v>-10000</v>
      </c>
      <c r="M128" s="13">
        <v>4.50489233032631E-2</v>
      </c>
    </row>
    <row r="129" spans="1:13" s="13" customFormat="1" x14ac:dyDescent="0.25">
      <c r="A129" s="13">
        <v>1173</v>
      </c>
      <c r="B129" s="13" t="str">
        <f>"HNRNPA3"</f>
        <v>HNRNPA3</v>
      </c>
      <c r="C129" s="13" t="str">
        <f>""</f>
        <v/>
      </c>
      <c r="D129" s="13">
        <v>37.029000000000003</v>
      </c>
      <c r="E129" s="13">
        <v>15.2</v>
      </c>
      <c r="F129" s="13">
        <v>2</v>
      </c>
      <c r="G129" s="13">
        <v>0</v>
      </c>
      <c r="H129" s="13">
        <v>0</v>
      </c>
      <c r="I129" s="7">
        <v>1.1216636267886</v>
      </c>
      <c r="J129" s="6">
        <v>0</v>
      </c>
      <c r="K129" s="6">
        <v>0</v>
      </c>
      <c r="L129" s="13">
        <v>-10000</v>
      </c>
      <c r="M129" s="13">
        <v>4.50489233032631E-2</v>
      </c>
    </row>
    <row r="130" spans="1:13" s="13" customFormat="1" x14ac:dyDescent="0.25">
      <c r="A130" s="13">
        <v>1383</v>
      </c>
      <c r="B130" s="13" t="str">
        <f>"GPLD1"</f>
        <v>GPLD1</v>
      </c>
      <c r="C130" s="13" t="str">
        <f>""</f>
        <v/>
      </c>
      <c r="D130" s="13">
        <v>92.334999999999994</v>
      </c>
      <c r="E130" s="13">
        <v>3.6</v>
      </c>
      <c r="F130" s="13">
        <v>2</v>
      </c>
      <c r="G130" s="13">
        <v>0</v>
      </c>
      <c r="H130" s="13">
        <v>0</v>
      </c>
      <c r="I130" s="7">
        <v>1.1216636267886</v>
      </c>
      <c r="J130" s="6">
        <v>0</v>
      </c>
      <c r="K130" s="6">
        <v>0</v>
      </c>
      <c r="L130" s="13">
        <v>-10000</v>
      </c>
      <c r="M130" s="13">
        <v>4.50489233032631E-2</v>
      </c>
    </row>
    <row r="131" spans="1:13" s="13" customFormat="1" x14ac:dyDescent="0.25">
      <c r="A131" s="13">
        <v>1428</v>
      </c>
      <c r="B131" s="13" t="str">
        <f>"OTUD4"</f>
        <v>OTUD4</v>
      </c>
      <c r="C131" s="13" t="str">
        <f>""</f>
        <v/>
      </c>
      <c r="D131" s="13">
        <v>116.95</v>
      </c>
      <c r="E131" s="13">
        <v>2.5</v>
      </c>
      <c r="F131" s="13">
        <v>2</v>
      </c>
      <c r="G131" s="13">
        <v>0</v>
      </c>
      <c r="H131" s="13">
        <v>0</v>
      </c>
      <c r="I131" s="7">
        <v>1.1216636267886</v>
      </c>
      <c r="J131" s="6">
        <v>0</v>
      </c>
      <c r="K131" s="6">
        <v>0</v>
      </c>
      <c r="L131" s="13">
        <v>-10000</v>
      </c>
      <c r="M131" s="13">
        <v>4.50489233032631E-2</v>
      </c>
    </row>
    <row r="132" spans="1:13" s="13" customFormat="1" x14ac:dyDescent="0.25">
      <c r="A132" s="13">
        <v>1454</v>
      </c>
      <c r="B132" s="13" t="str">
        <f>"CSTF1"</f>
        <v>CSTF1</v>
      </c>
      <c r="C132" s="13" t="str">
        <f>""</f>
        <v/>
      </c>
      <c r="D132" s="13">
        <v>48.356999999999999</v>
      </c>
      <c r="E132" s="13">
        <v>5.6</v>
      </c>
      <c r="F132" s="13">
        <v>2</v>
      </c>
      <c r="G132" s="13">
        <v>0</v>
      </c>
      <c r="H132" s="13">
        <v>0</v>
      </c>
      <c r="I132" s="7">
        <v>1.1216636267886</v>
      </c>
      <c r="J132" s="6">
        <v>0</v>
      </c>
      <c r="K132" s="6">
        <v>0</v>
      </c>
      <c r="L132" s="13">
        <v>-10000</v>
      </c>
      <c r="M132" s="13">
        <v>4.50489233032631E-2</v>
      </c>
    </row>
    <row r="133" spans="1:13" s="13" customFormat="1" x14ac:dyDescent="0.25">
      <c r="A133" s="13">
        <v>1487</v>
      </c>
      <c r="B133" s="13" t="str">
        <f>"MFGE8"</f>
        <v>MFGE8</v>
      </c>
      <c r="C133" s="13" t="str">
        <f>""</f>
        <v/>
      </c>
      <c r="D133" s="13">
        <v>37.503999999999998</v>
      </c>
      <c r="E133" s="13">
        <v>6.9</v>
      </c>
      <c r="F133" s="13">
        <v>2</v>
      </c>
      <c r="G133" s="13">
        <v>0</v>
      </c>
      <c r="H133" s="13">
        <v>0</v>
      </c>
      <c r="I133" s="7">
        <v>1.1216636267886</v>
      </c>
      <c r="J133" s="6">
        <v>0</v>
      </c>
      <c r="K133" s="6">
        <v>0</v>
      </c>
      <c r="L133" s="13">
        <v>-10000</v>
      </c>
      <c r="M133" s="13">
        <v>4.50489233032631E-2</v>
      </c>
    </row>
    <row r="134" spans="1:13" s="13" customFormat="1" x14ac:dyDescent="0.25">
      <c r="A134" s="13">
        <v>1537</v>
      </c>
      <c r="B134" s="13" t="str">
        <f>"CHAF1B"</f>
        <v>CHAF1B</v>
      </c>
      <c r="C134" s="13" t="str">
        <f>""</f>
        <v/>
      </c>
      <c r="D134" s="13">
        <v>61.491999999999997</v>
      </c>
      <c r="E134" s="13">
        <v>5.4</v>
      </c>
      <c r="F134" s="13">
        <v>2</v>
      </c>
      <c r="G134" s="13">
        <v>0</v>
      </c>
      <c r="H134" s="13">
        <v>0</v>
      </c>
      <c r="I134" s="7">
        <v>1.1216636267886</v>
      </c>
      <c r="J134" s="6">
        <v>0</v>
      </c>
      <c r="K134" s="6">
        <v>0</v>
      </c>
      <c r="L134" s="13">
        <v>-10000</v>
      </c>
      <c r="M134" s="13">
        <v>4.50489233032631E-2</v>
      </c>
    </row>
    <row r="135" spans="1:13" s="13" customFormat="1" x14ac:dyDescent="0.25">
      <c r="A135" s="13">
        <v>1576</v>
      </c>
      <c r="B135" s="13" t="str">
        <f>"TMED1"</f>
        <v>TMED1</v>
      </c>
      <c r="C135" s="13" t="str">
        <f>""</f>
        <v/>
      </c>
      <c r="D135" s="13">
        <v>25.206</v>
      </c>
      <c r="E135" s="13">
        <v>5.7</v>
      </c>
      <c r="F135" s="13">
        <v>2</v>
      </c>
      <c r="G135" s="13">
        <v>0</v>
      </c>
      <c r="H135" s="13">
        <v>0</v>
      </c>
      <c r="I135" s="7">
        <v>1.1216636267886</v>
      </c>
      <c r="J135" s="6">
        <v>0</v>
      </c>
      <c r="K135" s="6">
        <v>0</v>
      </c>
      <c r="L135" s="13">
        <v>-10000</v>
      </c>
      <c r="M135" s="13">
        <v>4.50489233032631E-2</v>
      </c>
    </row>
    <row r="136" spans="1:13" s="13" customFormat="1" x14ac:dyDescent="0.25">
      <c r="A136" s="13">
        <v>1603</v>
      </c>
      <c r="B136" s="13" t="str">
        <f>"APOF"</f>
        <v>APOF</v>
      </c>
      <c r="C136" s="13" t="str">
        <f>""</f>
        <v/>
      </c>
      <c r="D136" s="13">
        <v>35.399000000000001</v>
      </c>
      <c r="E136" s="13">
        <v>4.3</v>
      </c>
      <c r="F136" s="13">
        <v>2</v>
      </c>
      <c r="G136" s="13">
        <v>0</v>
      </c>
      <c r="H136" s="13">
        <v>0</v>
      </c>
      <c r="I136" s="7">
        <v>1.1216636267886</v>
      </c>
      <c r="J136" s="6">
        <v>0</v>
      </c>
      <c r="K136" s="6">
        <v>0</v>
      </c>
      <c r="L136" s="13">
        <v>-10000</v>
      </c>
      <c r="M136" s="13">
        <v>4.50489233032631E-2</v>
      </c>
    </row>
    <row r="137" spans="1:13" s="13" customFormat="1" x14ac:dyDescent="0.25">
      <c r="A137" s="13">
        <v>1607</v>
      </c>
      <c r="B137" s="13" t="str">
        <f>"BLMH"</f>
        <v>BLMH</v>
      </c>
      <c r="C137" s="13" t="str">
        <f>""</f>
        <v/>
      </c>
      <c r="D137" s="13">
        <v>52.561999999999998</v>
      </c>
      <c r="E137" s="13">
        <v>5.3</v>
      </c>
      <c r="F137" s="13">
        <v>2</v>
      </c>
      <c r="G137" s="13">
        <v>0</v>
      </c>
      <c r="H137" s="13">
        <v>0</v>
      </c>
      <c r="I137" s="7">
        <v>1.1216636267886</v>
      </c>
      <c r="J137" s="6">
        <v>0</v>
      </c>
      <c r="K137" s="6">
        <v>0</v>
      </c>
      <c r="L137" s="13">
        <v>-10000</v>
      </c>
      <c r="M137" s="13">
        <v>4.50489233032631E-2</v>
      </c>
    </row>
    <row r="138" spans="1:13" s="13" customFormat="1" x14ac:dyDescent="0.25">
      <c r="A138" s="13">
        <v>1778</v>
      </c>
      <c r="B138" s="13" t="str">
        <f>"NDUFA9"</f>
        <v>NDUFA9</v>
      </c>
      <c r="C138" s="13" t="str">
        <f>""</f>
        <v/>
      </c>
      <c r="D138" s="13">
        <v>42.509</v>
      </c>
      <c r="E138" s="13">
        <v>8.8000000000000007</v>
      </c>
      <c r="F138" s="13">
        <v>2</v>
      </c>
      <c r="G138" s="13">
        <v>0</v>
      </c>
      <c r="H138" s="13">
        <v>0</v>
      </c>
      <c r="I138" s="7">
        <v>1.1216636267886</v>
      </c>
      <c r="J138" s="6">
        <v>0</v>
      </c>
      <c r="K138" s="6">
        <v>0</v>
      </c>
      <c r="L138" s="13">
        <v>-10000</v>
      </c>
      <c r="M138" s="13">
        <v>4.50489233032631E-2</v>
      </c>
    </row>
    <row r="139" spans="1:13" s="13" customFormat="1" x14ac:dyDescent="0.25">
      <c r="A139" s="13">
        <v>1797</v>
      </c>
      <c r="B139" s="13" t="str">
        <f>"IAH1"</f>
        <v>IAH1</v>
      </c>
      <c r="C139" s="13" t="str">
        <f>""</f>
        <v/>
      </c>
      <c r="D139" s="13">
        <v>15.191000000000001</v>
      </c>
      <c r="E139" s="13">
        <v>12.6</v>
      </c>
      <c r="F139" s="13">
        <v>2</v>
      </c>
      <c r="G139" s="13">
        <v>0</v>
      </c>
      <c r="H139" s="13">
        <v>0</v>
      </c>
      <c r="I139" s="7">
        <v>1.1216636267886</v>
      </c>
      <c r="J139" s="6">
        <v>0</v>
      </c>
      <c r="K139" s="6">
        <v>0</v>
      </c>
      <c r="L139" s="13">
        <v>-10000</v>
      </c>
      <c r="M139" s="13">
        <v>4.50489233032631E-2</v>
      </c>
    </row>
    <row r="140" spans="1:13" s="13" customFormat="1" x14ac:dyDescent="0.25">
      <c r="A140" s="13">
        <v>1830</v>
      </c>
      <c r="B140" s="13" t="str">
        <f>"AGK"</f>
        <v>AGK</v>
      </c>
      <c r="C140" s="13" t="str">
        <f>""</f>
        <v/>
      </c>
      <c r="D140" s="13">
        <v>47.137</v>
      </c>
      <c r="E140" s="13">
        <v>2.8</v>
      </c>
      <c r="F140" s="13">
        <v>2</v>
      </c>
      <c r="G140" s="13">
        <v>0</v>
      </c>
      <c r="H140" s="13">
        <v>0</v>
      </c>
      <c r="I140" s="7">
        <v>1.1216636267886</v>
      </c>
      <c r="J140" s="6">
        <v>0</v>
      </c>
      <c r="K140" s="6">
        <v>0</v>
      </c>
      <c r="L140" s="13">
        <v>-10000</v>
      </c>
      <c r="M140" s="13">
        <v>4.50489233032631E-2</v>
      </c>
    </row>
    <row r="141" spans="1:13" s="13" customFormat="1" x14ac:dyDescent="0.25">
      <c r="A141" s="13">
        <v>1986</v>
      </c>
      <c r="B141" s="13" t="str">
        <f>"PHLPP2"</f>
        <v>PHLPP2</v>
      </c>
      <c r="C141" s="13" t="str">
        <f>""</f>
        <v/>
      </c>
      <c r="D141" s="13">
        <v>107.08</v>
      </c>
      <c r="E141" s="13">
        <v>1.4</v>
      </c>
      <c r="F141" s="13">
        <v>2</v>
      </c>
      <c r="G141" s="13">
        <v>0</v>
      </c>
      <c r="H141" s="13">
        <v>0</v>
      </c>
      <c r="I141" s="7">
        <v>1.1216636267886</v>
      </c>
      <c r="J141" s="6">
        <v>0</v>
      </c>
      <c r="K141" s="6">
        <v>0</v>
      </c>
      <c r="L141" s="13">
        <v>-10000</v>
      </c>
      <c r="M141" s="13">
        <v>4.50489233032631E-2</v>
      </c>
    </row>
    <row r="142" spans="1:13" s="13" customFormat="1" x14ac:dyDescent="0.25">
      <c r="A142" s="13">
        <v>2249</v>
      </c>
      <c r="B142" s="13" t="str">
        <f>"SLC44A1"</f>
        <v>SLC44A1</v>
      </c>
      <c r="C142" s="13" t="str">
        <f>""</f>
        <v/>
      </c>
      <c r="D142" s="13">
        <v>73.010999999999996</v>
      </c>
      <c r="E142" s="13">
        <v>2.1</v>
      </c>
      <c r="F142" s="13">
        <v>2</v>
      </c>
      <c r="G142" s="13">
        <v>0</v>
      </c>
      <c r="H142" s="13">
        <v>0</v>
      </c>
      <c r="I142" s="7">
        <v>1.1216636267886</v>
      </c>
      <c r="J142" s="6">
        <v>0</v>
      </c>
      <c r="K142" s="6">
        <v>0</v>
      </c>
      <c r="L142" s="13">
        <v>-10000</v>
      </c>
      <c r="M142" s="13">
        <v>4.50489233032631E-2</v>
      </c>
    </row>
    <row r="143" spans="1:13" s="13" customFormat="1" x14ac:dyDescent="0.25">
      <c r="A143" s="13">
        <v>2508</v>
      </c>
      <c r="B143" s="13" t="str">
        <f>"RBM4;RBM4B"</f>
        <v>RBM4;RBM4B</v>
      </c>
      <c r="C143" s="13" t="str">
        <f>""</f>
        <v/>
      </c>
      <c r="D143" s="13">
        <v>19.786999999999999</v>
      </c>
      <c r="E143" s="13">
        <v>11</v>
      </c>
      <c r="F143" s="13">
        <v>2</v>
      </c>
      <c r="G143" s="13">
        <v>0</v>
      </c>
      <c r="H143" s="13">
        <v>0</v>
      </c>
      <c r="I143" s="7">
        <v>1.1216636267886</v>
      </c>
      <c r="J143" s="6">
        <v>0</v>
      </c>
      <c r="K143" s="6">
        <v>0</v>
      </c>
      <c r="L143" s="13">
        <v>-10000</v>
      </c>
      <c r="M143" s="13">
        <v>4.50489233032631E-2</v>
      </c>
    </row>
    <row r="144" spans="1:13" s="13" customFormat="1" x14ac:dyDescent="0.25">
      <c r="A144" s="13">
        <v>2519</v>
      </c>
      <c r="B144" s="13" t="str">
        <f>"NUDT12"</f>
        <v>NUDT12</v>
      </c>
      <c r="C144" s="13" t="str">
        <f>""</f>
        <v/>
      </c>
      <c r="D144" s="13">
        <v>50.051000000000002</v>
      </c>
      <c r="E144" s="13">
        <v>5.6</v>
      </c>
      <c r="F144" s="13">
        <v>2</v>
      </c>
      <c r="G144" s="13">
        <v>0</v>
      </c>
      <c r="H144" s="13">
        <v>0</v>
      </c>
      <c r="I144" s="7">
        <v>1.1216636267886</v>
      </c>
      <c r="J144" s="6">
        <v>0</v>
      </c>
      <c r="K144" s="6">
        <v>0</v>
      </c>
      <c r="L144" s="13">
        <v>-10000</v>
      </c>
      <c r="M144" s="13">
        <v>4.50489233032631E-2</v>
      </c>
    </row>
    <row r="145" spans="1:13" s="13" customFormat="1" x14ac:dyDescent="0.25">
      <c r="A145" s="13">
        <v>2674</v>
      </c>
      <c r="B145" s="13" t="str">
        <f>"TOR3A"</f>
        <v>TOR3A</v>
      </c>
      <c r="C145" s="13" t="str">
        <f>""</f>
        <v/>
      </c>
      <c r="D145" s="13">
        <v>21.18</v>
      </c>
      <c r="E145" s="13">
        <v>6.1</v>
      </c>
      <c r="F145" s="13">
        <v>2</v>
      </c>
      <c r="G145" s="13">
        <v>0</v>
      </c>
      <c r="H145" s="13">
        <v>0</v>
      </c>
      <c r="I145" s="7">
        <v>1.1216636267886</v>
      </c>
      <c r="J145" s="6">
        <v>0</v>
      </c>
      <c r="K145" s="6">
        <v>0</v>
      </c>
      <c r="L145" s="13">
        <v>-10000</v>
      </c>
      <c r="M145" s="13">
        <v>4.50489233032631E-2</v>
      </c>
    </row>
    <row r="146" spans="1:13" s="13" customFormat="1" x14ac:dyDescent="0.25">
      <c r="A146" s="13">
        <v>2821</v>
      </c>
      <c r="B146" s="13" t="str">
        <f>"UQCC1"</f>
        <v>UQCC1</v>
      </c>
      <c r="C146" s="13" t="str">
        <f>""</f>
        <v/>
      </c>
      <c r="D146" s="13">
        <v>26.963000000000001</v>
      </c>
      <c r="E146" s="13">
        <v>11.7</v>
      </c>
      <c r="F146" s="13">
        <v>2</v>
      </c>
      <c r="G146" s="13">
        <v>0</v>
      </c>
      <c r="H146" s="13">
        <v>0</v>
      </c>
      <c r="I146" s="7">
        <v>1.1216636267886</v>
      </c>
      <c r="J146" s="6">
        <v>0</v>
      </c>
      <c r="K146" s="6">
        <v>0</v>
      </c>
      <c r="L146" s="13">
        <v>-10000</v>
      </c>
      <c r="M146" s="13">
        <v>4.50489233032631E-2</v>
      </c>
    </row>
    <row r="147" spans="1:13" s="13" customFormat="1" x14ac:dyDescent="0.25">
      <c r="A147" s="13">
        <v>2836</v>
      </c>
      <c r="B147" s="13" t="str">
        <f>"RBM22"</f>
        <v>RBM22</v>
      </c>
      <c r="C147" s="13" t="str">
        <f>""</f>
        <v/>
      </c>
      <c r="D147" s="13">
        <v>41.151000000000003</v>
      </c>
      <c r="E147" s="13">
        <v>9.6999999999999993</v>
      </c>
      <c r="F147" s="13">
        <v>2</v>
      </c>
      <c r="G147" s="13">
        <v>0</v>
      </c>
      <c r="H147" s="13">
        <v>0</v>
      </c>
      <c r="I147" s="7">
        <v>1.1216636267886</v>
      </c>
      <c r="J147" s="6">
        <v>0</v>
      </c>
      <c r="K147" s="6">
        <v>0</v>
      </c>
      <c r="L147" s="13">
        <v>-10000</v>
      </c>
      <c r="M147" s="13">
        <v>4.50489233032631E-2</v>
      </c>
    </row>
    <row r="148" spans="1:13" s="13" customFormat="1" x14ac:dyDescent="0.25">
      <c r="A148" s="13">
        <v>2882</v>
      </c>
      <c r="B148" s="13" t="str">
        <f>"HACD3"</f>
        <v>HACD3</v>
      </c>
      <c r="C148" s="13" t="str">
        <f>""</f>
        <v/>
      </c>
      <c r="D148" s="13">
        <v>36.43</v>
      </c>
      <c r="E148" s="13">
        <v>4.5999999999999996</v>
      </c>
      <c r="F148" s="13">
        <v>2</v>
      </c>
      <c r="G148" s="13">
        <v>0</v>
      </c>
      <c r="H148" s="13">
        <v>0</v>
      </c>
      <c r="I148" s="7">
        <v>1.1216636267886</v>
      </c>
      <c r="J148" s="6">
        <v>0</v>
      </c>
      <c r="K148" s="6">
        <v>0</v>
      </c>
      <c r="L148" s="13">
        <v>-10000</v>
      </c>
      <c r="M148" s="13">
        <v>4.50489233032631E-2</v>
      </c>
    </row>
    <row r="149" spans="1:13" s="13" customFormat="1" x14ac:dyDescent="0.25">
      <c r="A149" s="13">
        <v>2971</v>
      </c>
      <c r="B149" s="13" t="str">
        <f>"VPS28"</f>
        <v>VPS28</v>
      </c>
      <c r="C149" s="13" t="str">
        <f>""</f>
        <v/>
      </c>
      <c r="D149" s="13">
        <v>25.425000000000001</v>
      </c>
      <c r="E149" s="13">
        <v>9</v>
      </c>
      <c r="F149" s="13">
        <v>2</v>
      </c>
      <c r="G149" s="13">
        <v>0</v>
      </c>
      <c r="H149" s="13">
        <v>0</v>
      </c>
      <c r="I149" s="7">
        <v>1.1216636267886</v>
      </c>
      <c r="J149" s="6">
        <v>0</v>
      </c>
      <c r="K149" s="6">
        <v>0</v>
      </c>
      <c r="L149" s="13">
        <v>-10000</v>
      </c>
      <c r="M149" s="13">
        <v>4.50489233032631E-2</v>
      </c>
    </row>
    <row r="150" spans="1:13" s="3" customFormat="1" x14ac:dyDescent="0.25">
      <c r="A150" s="3">
        <v>1057</v>
      </c>
      <c r="B150" s="3" t="str">
        <f>"RPL27A"</f>
        <v>RPL27A</v>
      </c>
      <c r="C150" s="3" t="str">
        <f>""</f>
        <v/>
      </c>
      <c r="D150" s="3">
        <v>16.561</v>
      </c>
      <c r="E150" s="3">
        <v>17.600000000000001</v>
      </c>
      <c r="F150" s="3">
        <v>1</v>
      </c>
      <c r="G150" s="3">
        <v>6</v>
      </c>
      <c r="H150" s="3">
        <v>4</v>
      </c>
      <c r="I150" s="7">
        <v>0.56083181339430199</v>
      </c>
      <c r="J150" s="6">
        <v>3.4872743730365801</v>
      </c>
      <c r="K150" s="6">
        <v>2.4139208314904899</v>
      </c>
      <c r="L150" s="3">
        <v>5.2611095372884398</v>
      </c>
      <c r="M150" s="3">
        <v>5.1806323976448403E-2</v>
      </c>
    </row>
    <row r="151" spans="1:13" s="3" customFormat="1" x14ac:dyDescent="0.25">
      <c r="A151" s="3">
        <v>853</v>
      </c>
      <c r="B151" s="3" t="str">
        <f>"CAD"</f>
        <v>CAD</v>
      </c>
      <c r="C151" s="3" t="str">
        <f>""</f>
        <v/>
      </c>
      <c r="D151" s="3">
        <v>242.98</v>
      </c>
      <c r="E151" s="3">
        <v>3.7</v>
      </c>
      <c r="F151" s="3">
        <v>5</v>
      </c>
      <c r="G151" s="3">
        <v>11</v>
      </c>
      <c r="H151" s="3">
        <v>12</v>
      </c>
      <c r="I151" s="7">
        <v>2.80415906697151</v>
      </c>
      <c r="J151" s="6">
        <v>6.3933363505670604</v>
      </c>
      <c r="K151" s="6">
        <v>7.2417624944714696</v>
      </c>
      <c r="L151" s="3">
        <v>2.4312277797715001</v>
      </c>
      <c r="M151" s="3">
        <v>5.2626623341026198E-2</v>
      </c>
    </row>
    <row r="152" spans="1:13" s="3" customFormat="1" x14ac:dyDescent="0.25">
      <c r="A152" s="3">
        <v>278</v>
      </c>
      <c r="B152" s="3" t="str">
        <f>"CTNND1"</f>
        <v>CTNND1</v>
      </c>
      <c r="C152" s="3" t="str">
        <f>""</f>
        <v/>
      </c>
      <c r="D152" s="3">
        <v>108.17</v>
      </c>
      <c r="E152" s="3">
        <v>7.9</v>
      </c>
      <c r="F152" s="3">
        <v>4</v>
      </c>
      <c r="G152" s="3">
        <v>1</v>
      </c>
      <c r="H152" s="3">
        <v>0</v>
      </c>
      <c r="I152" s="7">
        <v>2.2433272535772102</v>
      </c>
      <c r="J152" s="6">
        <v>0.58121239550609605</v>
      </c>
      <c r="K152" s="6">
        <v>0</v>
      </c>
      <c r="L152" s="3">
        <v>-7.71947491458371</v>
      </c>
      <c r="M152" s="3">
        <v>5.2680427250235203E-2</v>
      </c>
    </row>
    <row r="153" spans="1:13" s="3" customFormat="1" x14ac:dyDescent="0.25">
      <c r="A153" s="3">
        <v>429</v>
      </c>
      <c r="B153" s="3" t="str">
        <f>"TXNDC12"</f>
        <v>TXNDC12</v>
      </c>
      <c r="C153" s="3" t="str">
        <f>""</f>
        <v/>
      </c>
      <c r="D153" s="3">
        <v>19.206</v>
      </c>
      <c r="E153" s="3">
        <v>17.399999999999999</v>
      </c>
      <c r="F153" s="3">
        <v>4</v>
      </c>
      <c r="G153" s="3">
        <v>1</v>
      </c>
      <c r="H153" s="3">
        <v>0</v>
      </c>
      <c r="I153" s="7">
        <v>2.2433272535772102</v>
      </c>
      <c r="J153" s="6">
        <v>0.58121239550609605</v>
      </c>
      <c r="K153" s="6">
        <v>0</v>
      </c>
      <c r="L153" s="3">
        <v>-7.71947491458371</v>
      </c>
      <c r="M153" s="3">
        <v>5.2680427250235203E-2</v>
      </c>
    </row>
    <row r="154" spans="1:13" s="3" customFormat="1" x14ac:dyDescent="0.25">
      <c r="A154" s="3">
        <v>163</v>
      </c>
      <c r="B154" s="3" t="str">
        <f>"SEC16A"</f>
        <v>SEC16A</v>
      </c>
      <c r="C154" s="3" t="str">
        <f>""</f>
        <v/>
      </c>
      <c r="D154" s="3">
        <v>247.24</v>
      </c>
      <c r="E154" s="3">
        <v>1.4</v>
      </c>
      <c r="F154" s="3">
        <v>1</v>
      </c>
      <c r="G154" s="3">
        <v>4</v>
      </c>
      <c r="H154" s="3">
        <v>6</v>
      </c>
      <c r="I154" s="7">
        <v>0.56083181339430199</v>
      </c>
      <c r="J154" s="6">
        <v>2.32484958202439</v>
      </c>
      <c r="K154" s="6">
        <v>3.6208812472357401</v>
      </c>
      <c r="L154" s="3">
        <v>5.3008145109270703</v>
      </c>
      <c r="M154" s="3">
        <v>5.2970466646902498E-2</v>
      </c>
    </row>
    <row r="155" spans="1:13" s="3" customFormat="1" x14ac:dyDescent="0.25">
      <c r="A155" s="3">
        <v>958</v>
      </c>
      <c r="B155" s="3" t="str">
        <f>"BSG"</f>
        <v>BSG</v>
      </c>
      <c r="C155" s="3" t="str">
        <f>""</f>
        <v/>
      </c>
      <c r="D155" s="3">
        <v>19.437999999999999</v>
      </c>
      <c r="E155" s="3">
        <v>17</v>
      </c>
      <c r="F155" s="3">
        <v>4</v>
      </c>
      <c r="G155" s="3">
        <v>0</v>
      </c>
      <c r="H155" s="3">
        <v>1</v>
      </c>
      <c r="I155" s="7">
        <v>2.2433272535772102</v>
      </c>
      <c r="J155" s="6">
        <v>0</v>
      </c>
      <c r="K155" s="6">
        <v>0.60348020787262302</v>
      </c>
      <c r="L155" s="3">
        <v>-7.4346340586225503</v>
      </c>
      <c r="M155" s="3">
        <v>5.3830791500604297E-2</v>
      </c>
    </row>
    <row r="156" spans="1:13" s="3" customFormat="1" x14ac:dyDescent="0.25">
      <c r="A156" s="3">
        <v>2637</v>
      </c>
      <c r="B156" s="3" t="str">
        <f>"NAT10"</f>
        <v>NAT10</v>
      </c>
      <c r="C156" s="3" t="str">
        <f>""</f>
        <v/>
      </c>
      <c r="D156" s="3">
        <v>107.3</v>
      </c>
      <c r="E156" s="3">
        <v>4.5</v>
      </c>
      <c r="F156" s="3">
        <v>4</v>
      </c>
      <c r="G156" s="3">
        <v>0</v>
      </c>
      <c r="H156" s="3">
        <v>1</v>
      </c>
      <c r="I156" s="7">
        <v>2.2433272535772102</v>
      </c>
      <c r="J156" s="6">
        <v>0</v>
      </c>
      <c r="K156" s="6">
        <v>0.60348020787262302</v>
      </c>
      <c r="L156" s="3">
        <v>-7.4346340586225503</v>
      </c>
      <c r="M156" s="3">
        <v>5.3830791500604297E-2</v>
      </c>
    </row>
    <row r="157" spans="1:13" s="3" customFormat="1" x14ac:dyDescent="0.25">
      <c r="A157" s="3">
        <v>524</v>
      </c>
      <c r="B157" s="3" t="str">
        <f>"ATP1A1"</f>
        <v>ATP1A1</v>
      </c>
      <c r="C157" s="3" t="str">
        <f>""</f>
        <v/>
      </c>
      <c r="D157" s="3">
        <v>74.138999999999996</v>
      </c>
      <c r="E157" s="3">
        <v>9</v>
      </c>
      <c r="F157" s="3">
        <v>5</v>
      </c>
      <c r="G157" s="3">
        <v>1</v>
      </c>
      <c r="H157" s="3">
        <v>1</v>
      </c>
      <c r="I157" s="7">
        <v>2.80415906697151</v>
      </c>
      <c r="J157" s="6">
        <v>0.58121239550609605</v>
      </c>
      <c r="K157" s="6">
        <v>0.60348020787262302</v>
      </c>
      <c r="L157" s="3">
        <v>-4.7339859453399198</v>
      </c>
      <c r="M157" s="3">
        <v>5.4295448575366403E-2</v>
      </c>
    </row>
    <row r="158" spans="1:13" s="3" customFormat="1" x14ac:dyDescent="0.25">
      <c r="A158" s="3">
        <v>756</v>
      </c>
      <c r="B158" s="3" t="str">
        <f>"ATP2B1"</f>
        <v>ATP2B1</v>
      </c>
      <c r="C158" s="3" t="str">
        <f>""</f>
        <v/>
      </c>
      <c r="D158" s="3">
        <v>138.75</v>
      </c>
      <c r="E158" s="3">
        <v>6.5</v>
      </c>
      <c r="F158" s="3">
        <v>8</v>
      </c>
      <c r="G158" s="3">
        <v>2</v>
      </c>
      <c r="H158" s="3">
        <v>3</v>
      </c>
      <c r="I158" s="7">
        <v>4.4866545071544204</v>
      </c>
      <c r="J158" s="6">
        <v>1.1624247910121901</v>
      </c>
      <c r="K158" s="6">
        <v>1.8104406236178701</v>
      </c>
      <c r="L158" s="3">
        <v>-3.0184040522485098</v>
      </c>
      <c r="M158" s="3">
        <v>5.6187980368575002E-2</v>
      </c>
    </row>
    <row r="159" spans="1:13" s="3" customFormat="1" x14ac:dyDescent="0.25">
      <c r="A159" s="3">
        <v>1303</v>
      </c>
      <c r="B159" s="3" t="str">
        <f>"RPS7"</f>
        <v>RPS7</v>
      </c>
      <c r="C159" s="3" t="str">
        <f>""</f>
        <v/>
      </c>
      <c r="D159" s="3">
        <v>22.126999999999999</v>
      </c>
      <c r="E159" s="3">
        <v>32</v>
      </c>
      <c r="F159" s="3">
        <v>5</v>
      </c>
      <c r="G159" s="3">
        <v>10</v>
      </c>
      <c r="H159" s="3">
        <v>13</v>
      </c>
      <c r="I159" s="7">
        <v>2.80415906697151</v>
      </c>
      <c r="J159" s="6">
        <v>5.8121239550609696</v>
      </c>
      <c r="K159" s="6">
        <v>7.8452427023441</v>
      </c>
      <c r="L159" s="3">
        <v>2.4351982771353602</v>
      </c>
      <c r="M159" s="3">
        <v>5.6487656140530002E-2</v>
      </c>
    </row>
    <row r="160" spans="1:13" s="3" customFormat="1" x14ac:dyDescent="0.25">
      <c r="A160" s="3">
        <v>1389</v>
      </c>
      <c r="B160" s="3" t="str">
        <f>"MRPS15"</f>
        <v>MRPS15</v>
      </c>
      <c r="C160" s="3" t="str">
        <f>""</f>
        <v/>
      </c>
      <c r="D160" s="3">
        <v>29.841999999999999</v>
      </c>
      <c r="E160" s="3">
        <v>4.7</v>
      </c>
      <c r="F160" s="3">
        <v>6</v>
      </c>
      <c r="G160" s="3">
        <v>1</v>
      </c>
      <c r="H160" s="3">
        <v>2</v>
      </c>
      <c r="I160" s="7">
        <v>3.3649908803658102</v>
      </c>
      <c r="J160" s="6">
        <v>0.58121239550609605</v>
      </c>
      <c r="K160" s="6">
        <v>1.20696041574525</v>
      </c>
      <c r="L160" s="3">
        <v>-3.7636081470347702</v>
      </c>
      <c r="M160" s="3">
        <v>5.9063887762426902E-2</v>
      </c>
    </row>
    <row r="161" spans="1:13" s="3" customFormat="1" x14ac:dyDescent="0.25">
      <c r="A161" s="3">
        <v>825</v>
      </c>
      <c r="B161" s="3" t="str">
        <f>"ATP5A1"</f>
        <v>ATP5A1</v>
      </c>
      <c r="C161" s="3" t="str">
        <f>""</f>
        <v/>
      </c>
      <c r="D161" s="3">
        <v>54.493000000000002</v>
      </c>
      <c r="E161" s="3">
        <v>19.5</v>
      </c>
      <c r="F161" s="3">
        <v>30</v>
      </c>
      <c r="G161" s="3">
        <v>19</v>
      </c>
      <c r="H161" s="3">
        <v>16</v>
      </c>
      <c r="I161" s="7">
        <v>16.8249544018291</v>
      </c>
      <c r="J161" s="6">
        <v>11.0430355146158</v>
      </c>
      <c r="K161" s="6">
        <v>9.6556833259619594</v>
      </c>
      <c r="L161" s="3">
        <v>-1.6257000765521199</v>
      </c>
      <c r="M161" s="3">
        <v>5.9596321193571097E-2</v>
      </c>
    </row>
    <row r="162" spans="1:13" s="3" customFormat="1" x14ac:dyDescent="0.25">
      <c r="A162" s="3">
        <v>1636</v>
      </c>
      <c r="B162" s="3" t="str">
        <f>"DYNC1H1"</f>
        <v>DYNC1H1</v>
      </c>
      <c r="C162" s="3" t="str">
        <f>""</f>
        <v/>
      </c>
      <c r="D162" s="3">
        <v>532.4</v>
      </c>
      <c r="E162" s="3">
        <v>8.5</v>
      </c>
      <c r="F162" s="3">
        <v>30</v>
      </c>
      <c r="G162" s="3">
        <v>44</v>
      </c>
      <c r="H162" s="3">
        <v>40</v>
      </c>
      <c r="I162" s="7">
        <v>16.8249544018291</v>
      </c>
      <c r="J162" s="6">
        <v>25.573345402268199</v>
      </c>
      <c r="K162" s="6">
        <v>24.139208314904899</v>
      </c>
      <c r="L162" s="3">
        <v>1.47734586762888</v>
      </c>
      <c r="M162" s="3">
        <v>6.1232514828324897E-2</v>
      </c>
    </row>
    <row r="163" spans="1:13" s="3" customFormat="1" x14ac:dyDescent="0.25">
      <c r="A163" s="3">
        <v>18</v>
      </c>
      <c r="B163" s="3" t="str">
        <f>"DDT;DDTL"</f>
        <v>DDT;DDTL</v>
      </c>
      <c r="C163" s="3" t="str">
        <f>""</f>
        <v/>
      </c>
      <c r="D163" s="3">
        <v>11.323</v>
      </c>
      <c r="E163" s="3">
        <v>11.2</v>
      </c>
      <c r="F163" s="3">
        <v>0</v>
      </c>
      <c r="G163" s="3">
        <v>4</v>
      </c>
      <c r="H163" s="3">
        <v>1</v>
      </c>
      <c r="I163" s="7">
        <v>0</v>
      </c>
      <c r="J163" s="6">
        <v>2.32484958202439</v>
      </c>
      <c r="K163" s="6">
        <v>0.60348020787262302</v>
      </c>
      <c r="L163" s="3">
        <v>10000</v>
      </c>
      <c r="M163" s="3">
        <v>6.2132162928354703E-2</v>
      </c>
    </row>
    <row r="164" spans="1:13" s="3" customFormat="1" x14ac:dyDescent="0.25">
      <c r="A164" s="3">
        <v>1703</v>
      </c>
      <c r="B164" s="3" t="str">
        <f>"PDIA6"</f>
        <v>PDIA6</v>
      </c>
      <c r="C164" s="3" t="str">
        <f>""</f>
        <v/>
      </c>
      <c r="D164" s="3">
        <v>47.837000000000003</v>
      </c>
      <c r="E164" s="3">
        <v>5.7</v>
      </c>
      <c r="F164" s="3">
        <v>10</v>
      </c>
      <c r="G164" s="3">
        <v>2</v>
      </c>
      <c r="H164" s="3">
        <v>5</v>
      </c>
      <c r="I164" s="7">
        <v>5.6083181339430199</v>
      </c>
      <c r="J164" s="6">
        <v>1.1624247910121901</v>
      </c>
      <c r="K164" s="6">
        <v>3.0174010393631101</v>
      </c>
      <c r="L164" s="3">
        <v>-2.6835176208475899</v>
      </c>
      <c r="M164" s="3">
        <v>6.3595495854220793E-2</v>
      </c>
    </row>
    <row r="165" spans="1:13" s="3" customFormat="1" x14ac:dyDescent="0.25">
      <c r="A165" s="3">
        <v>2034</v>
      </c>
      <c r="B165" s="3" t="str">
        <f>"HUWE1"</f>
        <v>HUWE1</v>
      </c>
      <c r="C165" s="3" t="str">
        <f>""</f>
        <v/>
      </c>
      <c r="D165" s="3">
        <v>480.19</v>
      </c>
      <c r="E165" s="3">
        <v>3.9</v>
      </c>
      <c r="F165" s="3">
        <v>9</v>
      </c>
      <c r="G165" s="3">
        <v>16</v>
      </c>
      <c r="H165" s="3">
        <v>17</v>
      </c>
      <c r="I165" s="7">
        <v>5.0474863205487202</v>
      </c>
      <c r="J165" s="6">
        <v>9.2993983280975403</v>
      </c>
      <c r="K165" s="6">
        <v>10.259163533834601</v>
      </c>
      <c r="L165" s="3">
        <v>1.93745565810725</v>
      </c>
      <c r="M165" s="3">
        <v>6.4634110154177304E-2</v>
      </c>
    </row>
    <row r="166" spans="1:13" s="3" customFormat="1" x14ac:dyDescent="0.25">
      <c r="A166" s="3">
        <v>1475</v>
      </c>
      <c r="B166" s="3" t="str">
        <f>"TJP1"</f>
        <v>TJP1</v>
      </c>
      <c r="C166" s="3" t="str">
        <f>""</f>
        <v/>
      </c>
      <c r="D166" s="3">
        <v>186.96</v>
      </c>
      <c r="E166" s="3">
        <v>2.2999999999999998</v>
      </c>
      <c r="F166" s="3">
        <v>0</v>
      </c>
      <c r="G166" s="3">
        <v>2</v>
      </c>
      <c r="H166" s="3">
        <v>2</v>
      </c>
      <c r="I166" s="7">
        <v>0</v>
      </c>
      <c r="J166" s="6">
        <v>1.1624247910121901</v>
      </c>
      <c r="K166" s="6">
        <v>1.20696041574525</v>
      </c>
      <c r="L166" s="3">
        <v>10000</v>
      </c>
      <c r="M166" s="3">
        <v>6.6006484047456696E-2</v>
      </c>
    </row>
    <row r="167" spans="1:13" s="3" customFormat="1" x14ac:dyDescent="0.25">
      <c r="A167" s="3">
        <v>2107</v>
      </c>
      <c r="B167" s="3" t="str">
        <f>"DIS3L2"</f>
        <v>DIS3L2</v>
      </c>
      <c r="C167" s="3" t="str">
        <f>""</f>
        <v/>
      </c>
      <c r="D167" s="3">
        <v>99.278000000000006</v>
      </c>
      <c r="E167" s="3">
        <v>3.2</v>
      </c>
      <c r="F167" s="3">
        <v>0</v>
      </c>
      <c r="G167" s="3">
        <v>2</v>
      </c>
      <c r="H167" s="3">
        <v>2</v>
      </c>
      <c r="I167" s="7">
        <v>0</v>
      </c>
      <c r="J167" s="6">
        <v>1.1624247910121901</v>
      </c>
      <c r="K167" s="6">
        <v>1.20696041574525</v>
      </c>
      <c r="L167" s="3">
        <v>10000</v>
      </c>
      <c r="M167" s="3">
        <v>6.6006484047456696E-2</v>
      </c>
    </row>
    <row r="168" spans="1:13" s="3" customFormat="1" x14ac:dyDescent="0.25">
      <c r="A168" s="3">
        <v>249</v>
      </c>
      <c r="B168" s="3" t="str">
        <f>"CALU"</f>
        <v>CALU</v>
      </c>
      <c r="C168" s="3" t="str">
        <f>""</f>
        <v/>
      </c>
      <c r="D168" s="3">
        <v>16.291</v>
      </c>
      <c r="E168" s="3">
        <v>5.8</v>
      </c>
      <c r="F168" s="3">
        <v>0</v>
      </c>
      <c r="G168" s="3">
        <v>2</v>
      </c>
      <c r="H168" s="3">
        <v>2</v>
      </c>
      <c r="I168" s="7">
        <v>0</v>
      </c>
      <c r="J168" s="6">
        <v>1.1624247910121901</v>
      </c>
      <c r="K168" s="6">
        <v>1.20696041574525</v>
      </c>
      <c r="L168" s="3">
        <v>10000</v>
      </c>
      <c r="M168" s="3">
        <v>6.6006484047456696E-2</v>
      </c>
    </row>
    <row r="169" spans="1:13" s="3" customFormat="1" x14ac:dyDescent="0.25">
      <c r="A169" s="3">
        <v>324</v>
      </c>
      <c r="B169" s="3" t="str">
        <f>"PRPF40A"</f>
        <v>PRPF40A</v>
      </c>
      <c r="C169" s="3" t="str">
        <f>""</f>
        <v/>
      </c>
      <c r="D169" s="3">
        <v>105.93</v>
      </c>
      <c r="E169" s="3">
        <v>2.2999999999999998</v>
      </c>
      <c r="F169" s="3">
        <v>0</v>
      </c>
      <c r="G169" s="3">
        <v>2</v>
      </c>
      <c r="H169" s="3">
        <v>2</v>
      </c>
      <c r="I169" s="7">
        <v>0</v>
      </c>
      <c r="J169" s="6">
        <v>1.1624247910121901</v>
      </c>
      <c r="K169" s="6">
        <v>1.20696041574525</v>
      </c>
      <c r="L169" s="3">
        <v>10000</v>
      </c>
      <c r="M169" s="3">
        <v>6.6006484047456696E-2</v>
      </c>
    </row>
    <row r="170" spans="1:13" s="3" customFormat="1" x14ac:dyDescent="0.25">
      <c r="A170" s="3">
        <v>383</v>
      </c>
      <c r="B170" s="3" t="str">
        <f>"SCAF4;SCAF8"</f>
        <v>SCAF4;SCAF8</v>
      </c>
      <c r="C170" s="3" t="str">
        <f>""</f>
        <v/>
      </c>
      <c r="D170" s="3">
        <v>123.64</v>
      </c>
      <c r="E170" s="3">
        <v>1.1000000000000001</v>
      </c>
      <c r="F170" s="3">
        <v>0</v>
      </c>
      <c r="G170" s="3">
        <v>2</v>
      </c>
      <c r="H170" s="3">
        <v>2</v>
      </c>
      <c r="I170" s="7">
        <v>0</v>
      </c>
      <c r="J170" s="6">
        <v>1.1624247910121901</v>
      </c>
      <c r="K170" s="6">
        <v>1.20696041574525</v>
      </c>
      <c r="L170" s="3">
        <v>10000</v>
      </c>
      <c r="M170" s="3">
        <v>6.6006484047456696E-2</v>
      </c>
    </row>
    <row r="171" spans="1:13" s="3" customFormat="1" x14ac:dyDescent="0.25">
      <c r="A171" s="3">
        <v>418</v>
      </c>
      <c r="B171" s="3" t="str">
        <f>"HERC2"</f>
        <v>HERC2</v>
      </c>
      <c r="C171" s="3" t="str">
        <f>""</f>
        <v/>
      </c>
      <c r="D171" s="3">
        <v>527.22</v>
      </c>
      <c r="E171" s="3">
        <v>0.8</v>
      </c>
      <c r="F171" s="3">
        <v>0</v>
      </c>
      <c r="G171" s="3">
        <v>2</v>
      </c>
      <c r="H171" s="3">
        <v>2</v>
      </c>
      <c r="I171" s="7">
        <v>0</v>
      </c>
      <c r="J171" s="6">
        <v>1.1624247910121901</v>
      </c>
      <c r="K171" s="6">
        <v>1.20696041574525</v>
      </c>
      <c r="L171" s="3">
        <v>10000</v>
      </c>
      <c r="M171" s="3">
        <v>6.6006484047456696E-2</v>
      </c>
    </row>
    <row r="172" spans="1:13" s="3" customFormat="1" x14ac:dyDescent="0.25">
      <c r="A172" s="3">
        <v>650</v>
      </c>
      <c r="B172" s="3" t="str">
        <f>"UBL4A"</f>
        <v>UBL4A</v>
      </c>
      <c r="C172" s="3" t="str">
        <f>""</f>
        <v/>
      </c>
      <c r="D172" s="3">
        <v>17.776</v>
      </c>
      <c r="E172" s="3">
        <v>7</v>
      </c>
      <c r="F172" s="3">
        <v>0</v>
      </c>
      <c r="G172" s="3">
        <v>2</v>
      </c>
      <c r="H172" s="3">
        <v>2</v>
      </c>
      <c r="I172" s="7">
        <v>0</v>
      </c>
      <c r="J172" s="6">
        <v>1.1624247910121901</v>
      </c>
      <c r="K172" s="6">
        <v>1.20696041574525</v>
      </c>
      <c r="L172" s="3">
        <v>10000</v>
      </c>
      <c r="M172" s="3">
        <v>6.6006484047456696E-2</v>
      </c>
    </row>
    <row r="173" spans="1:13" s="3" customFormat="1" x14ac:dyDescent="0.25">
      <c r="A173" s="3">
        <v>700</v>
      </c>
      <c r="B173" s="3" t="str">
        <f>"HNRNPL"</f>
        <v>HNRNPL</v>
      </c>
      <c r="C173" s="3" t="str">
        <f>""</f>
        <v/>
      </c>
      <c r="D173" s="3">
        <v>64.132000000000005</v>
      </c>
      <c r="E173" s="3">
        <v>9.1999999999999993</v>
      </c>
      <c r="F173" s="3">
        <v>0</v>
      </c>
      <c r="G173" s="3">
        <v>2</v>
      </c>
      <c r="H173" s="3">
        <v>2</v>
      </c>
      <c r="I173" s="7">
        <v>0</v>
      </c>
      <c r="J173" s="6">
        <v>1.1624247910121901</v>
      </c>
      <c r="K173" s="6">
        <v>1.20696041574525</v>
      </c>
      <c r="L173" s="3">
        <v>10000</v>
      </c>
      <c r="M173" s="3">
        <v>6.6006484047456696E-2</v>
      </c>
    </row>
    <row r="174" spans="1:13" s="3" customFormat="1" x14ac:dyDescent="0.25">
      <c r="A174" s="3">
        <v>768</v>
      </c>
      <c r="B174" s="3" t="str">
        <f>"HOXA5"</f>
        <v>HOXA5</v>
      </c>
      <c r="C174" s="3" t="str">
        <f>""</f>
        <v/>
      </c>
      <c r="D174" s="3">
        <v>29.344999999999999</v>
      </c>
      <c r="E174" s="3">
        <v>5.2</v>
      </c>
      <c r="F174" s="3">
        <v>0</v>
      </c>
      <c r="G174" s="3">
        <v>2</v>
      </c>
      <c r="H174" s="3">
        <v>2</v>
      </c>
      <c r="I174" s="7">
        <v>0</v>
      </c>
      <c r="J174" s="6">
        <v>1.1624247910121901</v>
      </c>
      <c r="K174" s="6">
        <v>1.20696041574525</v>
      </c>
      <c r="L174" s="3">
        <v>10000</v>
      </c>
      <c r="M174" s="3">
        <v>6.6006484047456696E-2</v>
      </c>
    </row>
    <row r="175" spans="1:13" s="3" customFormat="1" x14ac:dyDescent="0.25">
      <c r="A175" s="3">
        <v>783</v>
      </c>
      <c r="B175" s="3" t="str">
        <f>"COMT"</f>
        <v>COMT</v>
      </c>
      <c r="C175" s="3" t="str">
        <f>""</f>
        <v/>
      </c>
      <c r="D175" s="3">
        <v>24.449000000000002</v>
      </c>
      <c r="E175" s="3">
        <v>10</v>
      </c>
      <c r="F175" s="3">
        <v>0</v>
      </c>
      <c r="G175" s="3">
        <v>2</v>
      </c>
      <c r="H175" s="3">
        <v>2</v>
      </c>
      <c r="I175" s="7">
        <v>0</v>
      </c>
      <c r="J175" s="6">
        <v>1.1624247910121901</v>
      </c>
      <c r="K175" s="6">
        <v>1.20696041574525</v>
      </c>
      <c r="L175" s="3">
        <v>10000</v>
      </c>
      <c r="M175" s="3">
        <v>6.6006484047456696E-2</v>
      </c>
    </row>
    <row r="176" spans="1:13" s="3" customFormat="1" x14ac:dyDescent="0.25">
      <c r="A176" s="3">
        <v>1003</v>
      </c>
      <c r="B176" s="3" t="str">
        <f>"RFC5"</f>
        <v>RFC5</v>
      </c>
      <c r="C176" s="3" t="str">
        <f>""</f>
        <v/>
      </c>
      <c r="D176" s="3">
        <v>36.103999999999999</v>
      </c>
      <c r="E176" s="3">
        <v>3.1</v>
      </c>
      <c r="F176" s="3">
        <v>0</v>
      </c>
      <c r="G176" s="3">
        <v>2</v>
      </c>
      <c r="H176" s="3">
        <v>2</v>
      </c>
      <c r="I176" s="7">
        <v>0</v>
      </c>
      <c r="J176" s="6">
        <v>1.1624247910121901</v>
      </c>
      <c r="K176" s="6">
        <v>1.20696041574525</v>
      </c>
      <c r="L176" s="3">
        <v>10000</v>
      </c>
      <c r="M176" s="3">
        <v>6.6006484047456696E-2</v>
      </c>
    </row>
    <row r="177" spans="1:13" s="3" customFormat="1" x14ac:dyDescent="0.25">
      <c r="A177" s="3">
        <v>1019</v>
      </c>
      <c r="B177" s="3" t="str">
        <f>"PI4KA"</f>
        <v>PI4KA</v>
      </c>
      <c r="C177" s="3" t="str">
        <f>""</f>
        <v/>
      </c>
      <c r="D177" s="3">
        <v>236.83</v>
      </c>
      <c r="E177" s="3">
        <v>1.5</v>
      </c>
      <c r="F177" s="3">
        <v>0</v>
      </c>
      <c r="G177" s="3">
        <v>2</v>
      </c>
      <c r="H177" s="3">
        <v>2</v>
      </c>
      <c r="I177" s="7">
        <v>0</v>
      </c>
      <c r="J177" s="6">
        <v>1.1624247910121901</v>
      </c>
      <c r="K177" s="6">
        <v>1.20696041574525</v>
      </c>
      <c r="L177" s="3">
        <v>10000</v>
      </c>
      <c r="M177" s="3">
        <v>6.6006484047456696E-2</v>
      </c>
    </row>
    <row r="178" spans="1:13" s="3" customFormat="1" x14ac:dyDescent="0.25">
      <c r="A178" s="3">
        <v>1051</v>
      </c>
      <c r="B178" s="3" t="str">
        <f>"NOP2"</f>
        <v>NOP2</v>
      </c>
      <c r="C178" s="3" t="str">
        <f>""</f>
        <v/>
      </c>
      <c r="D178" s="3">
        <v>69.614000000000004</v>
      </c>
      <c r="E178" s="3">
        <v>3.7</v>
      </c>
      <c r="F178" s="3">
        <v>0</v>
      </c>
      <c r="G178" s="3">
        <v>2</v>
      </c>
      <c r="H178" s="3">
        <v>2</v>
      </c>
      <c r="I178" s="7">
        <v>0</v>
      </c>
      <c r="J178" s="6">
        <v>1.1624247910121901</v>
      </c>
      <c r="K178" s="6">
        <v>1.20696041574525</v>
      </c>
      <c r="L178" s="3">
        <v>10000</v>
      </c>
      <c r="M178" s="3">
        <v>6.6006484047456696E-2</v>
      </c>
    </row>
    <row r="179" spans="1:13" s="3" customFormat="1" x14ac:dyDescent="0.25">
      <c r="A179" s="3">
        <v>2136</v>
      </c>
      <c r="B179" s="3" t="str">
        <f>"TMEM256"</f>
        <v>TMEM256</v>
      </c>
      <c r="C179" s="3" t="str">
        <f>""</f>
        <v/>
      </c>
      <c r="D179" s="3">
        <v>11.741</v>
      </c>
      <c r="E179" s="3">
        <v>7.1</v>
      </c>
      <c r="F179" s="3">
        <v>0</v>
      </c>
      <c r="G179" s="3">
        <v>2</v>
      </c>
      <c r="H179" s="3">
        <v>2</v>
      </c>
      <c r="I179" s="7">
        <v>0</v>
      </c>
      <c r="J179" s="6">
        <v>1.1624247910121901</v>
      </c>
      <c r="K179" s="6">
        <v>1.20696041574525</v>
      </c>
      <c r="L179" s="3">
        <v>10000</v>
      </c>
      <c r="M179" s="3">
        <v>6.6006484047456696E-2</v>
      </c>
    </row>
    <row r="180" spans="1:13" s="3" customFormat="1" x14ac:dyDescent="0.25">
      <c r="A180" s="3">
        <v>2149</v>
      </c>
      <c r="B180" s="3" t="str">
        <f>"ATPAF2"</f>
        <v>ATPAF2</v>
      </c>
      <c r="C180" s="3" t="str">
        <f>""</f>
        <v/>
      </c>
      <c r="D180" s="3">
        <v>32.771999999999998</v>
      </c>
      <c r="E180" s="3">
        <v>6.6</v>
      </c>
      <c r="F180" s="3">
        <v>0</v>
      </c>
      <c r="G180" s="3">
        <v>2</v>
      </c>
      <c r="H180" s="3">
        <v>2</v>
      </c>
      <c r="I180" s="7">
        <v>0</v>
      </c>
      <c r="J180" s="6">
        <v>1.1624247910121901</v>
      </c>
      <c r="K180" s="6">
        <v>1.20696041574525</v>
      </c>
      <c r="L180" s="3">
        <v>10000</v>
      </c>
      <c r="M180" s="3">
        <v>6.6006484047456696E-2</v>
      </c>
    </row>
    <row r="181" spans="1:13" s="3" customFormat="1" x14ac:dyDescent="0.25">
      <c r="A181" s="3">
        <v>2335</v>
      </c>
      <c r="B181" s="3" t="str">
        <f>"FKBP10"</f>
        <v>FKBP10</v>
      </c>
      <c r="C181" s="3" t="str">
        <f>""</f>
        <v/>
      </c>
      <c r="D181" s="3">
        <v>64.244</v>
      </c>
      <c r="E181" s="3">
        <v>4</v>
      </c>
      <c r="F181" s="3">
        <v>0</v>
      </c>
      <c r="G181" s="3">
        <v>2</v>
      </c>
      <c r="H181" s="3">
        <v>2</v>
      </c>
      <c r="I181" s="7">
        <v>0</v>
      </c>
      <c r="J181" s="6">
        <v>1.1624247910121901</v>
      </c>
      <c r="K181" s="6">
        <v>1.20696041574525</v>
      </c>
      <c r="L181" s="3">
        <v>10000</v>
      </c>
      <c r="M181" s="3">
        <v>6.6006484047456696E-2</v>
      </c>
    </row>
    <row r="182" spans="1:13" s="3" customFormat="1" x14ac:dyDescent="0.25">
      <c r="A182" s="3">
        <v>2570</v>
      </c>
      <c r="B182" s="3" t="str">
        <f>"NUPL1"</f>
        <v>NUPL1</v>
      </c>
      <c r="C182" s="3" t="str">
        <f>""</f>
        <v/>
      </c>
      <c r="D182" s="3">
        <v>50.21</v>
      </c>
      <c r="E182" s="3">
        <v>4.0999999999999996</v>
      </c>
      <c r="F182" s="3">
        <v>0</v>
      </c>
      <c r="G182" s="3">
        <v>2</v>
      </c>
      <c r="H182" s="3">
        <v>2</v>
      </c>
      <c r="I182" s="7">
        <v>0</v>
      </c>
      <c r="J182" s="6">
        <v>1.1624247910121901</v>
      </c>
      <c r="K182" s="6">
        <v>1.20696041574525</v>
      </c>
      <c r="L182" s="3">
        <v>10000</v>
      </c>
      <c r="M182" s="3">
        <v>6.6006484047456696E-2</v>
      </c>
    </row>
    <row r="183" spans="1:13" s="3" customFormat="1" x14ac:dyDescent="0.25">
      <c r="A183" s="3">
        <v>2868</v>
      </c>
      <c r="B183" s="3" t="str">
        <f>"UBP1"</f>
        <v>UBP1</v>
      </c>
      <c r="C183" s="3" t="str">
        <f>""</f>
        <v/>
      </c>
      <c r="D183" s="3">
        <v>56.451999999999998</v>
      </c>
      <c r="E183" s="3">
        <v>2.4</v>
      </c>
      <c r="F183" s="3">
        <v>0</v>
      </c>
      <c r="G183" s="3">
        <v>2</v>
      </c>
      <c r="H183" s="3">
        <v>2</v>
      </c>
      <c r="I183" s="7">
        <v>0</v>
      </c>
      <c r="J183" s="6">
        <v>1.1624247910121901</v>
      </c>
      <c r="K183" s="6">
        <v>1.20696041574525</v>
      </c>
      <c r="L183" s="3">
        <v>10000</v>
      </c>
      <c r="M183" s="3">
        <v>6.6006484047456696E-2</v>
      </c>
    </row>
    <row r="184" spans="1:13" s="3" customFormat="1" x14ac:dyDescent="0.25">
      <c r="A184" s="3">
        <v>2970</v>
      </c>
      <c r="B184" s="3" t="str">
        <f>"GGA1"</f>
        <v>GGA1</v>
      </c>
      <c r="C184" s="3" t="str">
        <f>""</f>
        <v/>
      </c>
      <c r="D184" s="3">
        <v>61.378</v>
      </c>
      <c r="E184" s="3">
        <v>1.8</v>
      </c>
      <c r="F184" s="3">
        <v>0</v>
      </c>
      <c r="G184" s="3">
        <v>2</v>
      </c>
      <c r="H184" s="3">
        <v>2</v>
      </c>
      <c r="I184" s="7">
        <v>0</v>
      </c>
      <c r="J184" s="6">
        <v>1.1624247910121901</v>
      </c>
      <c r="K184" s="6">
        <v>1.20696041574525</v>
      </c>
      <c r="L184" s="3">
        <v>10000</v>
      </c>
      <c r="M184" s="3">
        <v>6.6006484047456696E-2</v>
      </c>
    </row>
    <row r="185" spans="1:13" s="3" customFormat="1" x14ac:dyDescent="0.25">
      <c r="A185" s="3">
        <v>3107</v>
      </c>
      <c r="B185" s="3" t="str">
        <f>"TRRAP"</f>
        <v>TRRAP</v>
      </c>
      <c r="C185" s="3" t="str">
        <f>"TRRAP"</f>
        <v>TRRAP</v>
      </c>
      <c r="D185" s="3">
        <v>434.41</v>
      </c>
      <c r="E185" s="3">
        <v>2.1</v>
      </c>
      <c r="F185" s="3">
        <v>0</v>
      </c>
      <c r="G185" s="3">
        <v>2</v>
      </c>
      <c r="H185" s="3">
        <v>2</v>
      </c>
      <c r="I185" s="7">
        <v>0</v>
      </c>
      <c r="J185" s="6">
        <v>1.1624247910121901</v>
      </c>
      <c r="K185" s="6">
        <v>1.20696041574525</v>
      </c>
      <c r="L185" s="3">
        <v>10000</v>
      </c>
      <c r="M185" s="3">
        <v>6.6006484047456696E-2</v>
      </c>
    </row>
    <row r="186" spans="1:13" s="3" customFormat="1" x14ac:dyDescent="0.25">
      <c r="A186" s="3">
        <v>42</v>
      </c>
      <c r="B186" s="3" t="str">
        <f>""</f>
        <v/>
      </c>
      <c r="C186" s="3" t="str">
        <f>""</f>
        <v/>
      </c>
      <c r="D186" s="3">
        <v>22.975000000000001</v>
      </c>
      <c r="E186" s="3">
        <v>14.6</v>
      </c>
      <c r="F186" s="3">
        <v>15</v>
      </c>
      <c r="G186" s="3">
        <v>26</v>
      </c>
      <c r="H186" s="3">
        <v>22</v>
      </c>
      <c r="I186" s="7">
        <v>8.4124772009145303</v>
      </c>
      <c r="J186" s="6">
        <v>15.1115222831585</v>
      </c>
      <c r="K186" s="6">
        <v>13.2765645731977</v>
      </c>
      <c r="L186" s="3">
        <v>1.6872608494719099</v>
      </c>
      <c r="M186" s="3">
        <v>6.7176904648633601E-2</v>
      </c>
    </row>
    <row r="187" spans="1:13" s="3" customFormat="1" x14ac:dyDescent="0.25">
      <c r="A187" s="3">
        <v>1049</v>
      </c>
      <c r="B187" s="3" t="str">
        <f>"RANGAP1"</f>
        <v>RANGAP1</v>
      </c>
      <c r="C187" s="3" t="str">
        <f>""</f>
        <v/>
      </c>
      <c r="D187" s="3">
        <v>63.540999999999997</v>
      </c>
      <c r="E187" s="3">
        <v>9.9</v>
      </c>
      <c r="F187" s="3">
        <v>22</v>
      </c>
      <c r="G187" s="3">
        <v>13</v>
      </c>
      <c r="H187" s="3">
        <v>11</v>
      </c>
      <c r="I187" s="7">
        <v>12.3382998946746</v>
      </c>
      <c r="J187" s="6">
        <v>7.5557611415792598</v>
      </c>
      <c r="K187" s="6">
        <v>6.6382822865988498</v>
      </c>
      <c r="L187" s="3">
        <v>-1.7385179856756801</v>
      </c>
      <c r="M187" s="3">
        <v>6.8034053616606097E-2</v>
      </c>
    </row>
    <row r="188" spans="1:13" s="3" customFormat="1" x14ac:dyDescent="0.25">
      <c r="A188" s="3">
        <v>1293</v>
      </c>
      <c r="B188" s="3" t="str">
        <f>"RHOA;RHOC;RHOB"</f>
        <v>RHOA;RHOC;RHOB</v>
      </c>
      <c r="C188" s="3" t="str">
        <f>""</f>
        <v/>
      </c>
      <c r="D188" s="3">
        <v>21.768000000000001</v>
      </c>
      <c r="E188" s="3">
        <v>15</v>
      </c>
      <c r="F188" s="3">
        <v>0</v>
      </c>
      <c r="G188" s="3">
        <v>5</v>
      </c>
      <c r="H188" s="3">
        <v>1</v>
      </c>
      <c r="I188" s="7">
        <v>0</v>
      </c>
      <c r="J188" s="6">
        <v>2.9060619775304799</v>
      </c>
      <c r="K188" s="6">
        <v>0.60348020787262302</v>
      </c>
      <c r="L188" s="3">
        <v>10000</v>
      </c>
      <c r="M188" s="3">
        <v>6.8702772353119099E-2</v>
      </c>
    </row>
    <row r="189" spans="1:13" s="3" customFormat="1" x14ac:dyDescent="0.25">
      <c r="A189" s="3">
        <v>76</v>
      </c>
      <c r="B189" s="3" t="str">
        <f>"HRNR"</f>
        <v>HRNR</v>
      </c>
      <c r="C189" s="3" t="str">
        <f>""</f>
        <v/>
      </c>
      <c r="D189" s="3">
        <v>282.39</v>
      </c>
      <c r="E189" s="3">
        <v>2.9</v>
      </c>
      <c r="F189" s="3">
        <v>0</v>
      </c>
      <c r="G189" s="3">
        <v>3</v>
      </c>
      <c r="H189" s="3">
        <v>1</v>
      </c>
      <c r="I189" s="7">
        <v>0</v>
      </c>
      <c r="J189" s="6">
        <v>1.74363718651829</v>
      </c>
      <c r="K189" s="6">
        <v>0.60348020787262302</v>
      </c>
      <c r="L189" s="3">
        <v>10000</v>
      </c>
      <c r="M189" s="3">
        <v>6.8904341022871601E-2</v>
      </c>
    </row>
    <row r="190" spans="1:13" s="3" customFormat="1" x14ac:dyDescent="0.25">
      <c r="A190" s="3">
        <v>1445</v>
      </c>
      <c r="B190" s="3" t="str">
        <f>"DST"</f>
        <v>DST</v>
      </c>
      <c r="C190" s="3" t="str">
        <f>""</f>
        <v/>
      </c>
      <c r="D190" s="3">
        <v>591.03</v>
      </c>
      <c r="E190" s="3">
        <v>0.9</v>
      </c>
      <c r="F190" s="3">
        <v>0</v>
      </c>
      <c r="G190" s="3">
        <v>3</v>
      </c>
      <c r="H190" s="3">
        <v>1</v>
      </c>
      <c r="I190" s="7">
        <v>0</v>
      </c>
      <c r="J190" s="6">
        <v>1.74363718651829</v>
      </c>
      <c r="K190" s="6">
        <v>0.60348020787262302</v>
      </c>
      <c r="L190" s="3">
        <v>10000</v>
      </c>
      <c r="M190" s="3">
        <v>6.8904341022871601E-2</v>
      </c>
    </row>
    <row r="191" spans="1:13" s="3" customFormat="1" x14ac:dyDescent="0.25">
      <c r="A191" s="3">
        <v>588</v>
      </c>
      <c r="B191" s="3" t="str">
        <f>"PFKM"</f>
        <v>PFKM</v>
      </c>
      <c r="C191" s="3" t="str">
        <f>""</f>
        <v/>
      </c>
      <c r="D191" s="3">
        <v>81.775000000000006</v>
      </c>
      <c r="E191" s="3">
        <v>4.5</v>
      </c>
      <c r="F191" s="3">
        <v>0</v>
      </c>
      <c r="G191" s="3">
        <v>1</v>
      </c>
      <c r="H191" s="3">
        <v>3</v>
      </c>
      <c r="I191" s="7">
        <v>0</v>
      </c>
      <c r="J191" s="6">
        <v>0.58121239550609605</v>
      </c>
      <c r="K191" s="6">
        <v>1.8104406236178701</v>
      </c>
      <c r="L191" s="3">
        <v>10000</v>
      </c>
      <c r="M191" s="3">
        <v>7.0407681637061806E-2</v>
      </c>
    </row>
    <row r="192" spans="1:13" s="3" customFormat="1" x14ac:dyDescent="0.25">
      <c r="A192" s="3">
        <v>2026</v>
      </c>
      <c r="B192" s="3" t="str">
        <f>"KDELC2"</f>
        <v>KDELC2</v>
      </c>
      <c r="C192" s="3" t="str">
        <f>""</f>
        <v/>
      </c>
      <c r="D192" s="3">
        <v>58.572000000000003</v>
      </c>
      <c r="E192" s="3">
        <v>6.3</v>
      </c>
      <c r="F192" s="3">
        <v>0</v>
      </c>
      <c r="G192" s="3">
        <v>1</v>
      </c>
      <c r="H192" s="3">
        <v>3</v>
      </c>
      <c r="I192" s="7">
        <v>0</v>
      </c>
      <c r="J192" s="6">
        <v>0.58121239550609605</v>
      </c>
      <c r="K192" s="6">
        <v>1.8104406236178701</v>
      </c>
      <c r="L192" s="3">
        <v>10000</v>
      </c>
      <c r="M192" s="3">
        <v>7.0407681637061806E-2</v>
      </c>
    </row>
    <row r="193" spans="1:13" s="3" customFormat="1" x14ac:dyDescent="0.25">
      <c r="A193" s="3">
        <v>1358</v>
      </c>
      <c r="B193" s="3" t="str">
        <f>"EIF5A;EIF5A2;EIF5AL1"</f>
        <v>EIF5A;EIF5A2;EIF5AL1</v>
      </c>
      <c r="C193" s="3" t="str">
        <f>""</f>
        <v/>
      </c>
      <c r="D193" s="3">
        <v>16.832000000000001</v>
      </c>
      <c r="E193" s="3">
        <v>22.7</v>
      </c>
      <c r="F193" s="3">
        <v>8</v>
      </c>
      <c r="G193" s="3">
        <v>17</v>
      </c>
      <c r="H193" s="3">
        <v>13</v>
      </c>
      <c r="I193" s="7">
        <v>4.4866545071544204</v>
      </c>
      <c r="J193" s="6">
        <v>9.88061072360364</v>
      </c>
      <c r="K193" s="6">
        <v>7.8452427023441</v>
      </c>
      <c r="L193" s="3">
        <v>1.9753976373355799</v>
      </c>
      <c r="M193" s="3">
        <v>7.18308959075388E-2</v>
      </c>
    </row>
    <row r="194" spans="1:13" s="3" customFormat="1" x14ac:dyDescent="0.25">
      <c r="A194" s="3">
        <v>367</v>
      </c>
      <c r="B194" s="3" t="str">
        <f>"ALDH1A2;ALDH1A3"</f>
        <v>ALDH1A2;ALDH1A3</v>
      </c>
      <c r="C194" s="3" t="str">
        <f>""</f>
        <v/>
      </c>
      <c r="D194" s="3">
        <v>46.136000000000003</v>
      </c>
      <c r="E194" s="3">
        <v>9</v>
      </c>
      <c r="F194" s="3">
        <v>1</v>
      </c>
      <c r="G194" s="3">
        <v>4</v>
      </c>
      <c r="H194" s="3">
        <v>5</v>
      </c>
      <c r="I194" s="7">
        <v>0.56083181339430199</v>
      </c>
      <c r="J194" s="6">
        <v>2.32484958202439</v>
      </c>
      <c r="K194" s="6">
        <v>3.0174010393631101</v>
      </c>
      <c r="L194" s="3">
        <v>4.7627920651066402</v>
      </c>
      <c r="M194" s="3">
        <v>7.2496490229387603E-2</v>
      </c>
    </row>
    <row r="195" spans="1:13" s="3" customFormat="1" x14ac:dyDescent="0.25">
      <c r="A195" s="3">
        <v>1267</v>
      </c>
      <c r="B195" s="3" t="str">
        <f>"PSMA6"</f>
        <v>PSMA6</v>
      </c>
      <c r="C195" s="3" t="str">
        <f>""</f>
        <v/>
      </c>
      <c r="D195" s="3">
        <v>27.399000000000001</v>
      </c>
      <c r="E195" s="3">
        <v>16.7</v>
      </c>
      <c r="F195" s="3">
        <v>1</v>
      </c>
      <c r="G195" s="3">
        <v>5</v>
      </c>
      <c r="H195" s="3">
        <v>4</v>
      </c>
      <c r="I195" s="7">
        <v>0.56083181339430199</v>
      </c>
      <c r="J195" s="6">
        <v>2.9060619775304799</v>
      </c>
      <c r="K195" s="6">
        <v>2.4139208314904899</v>
      </c>
      <c r="L195" s="3">
        <v>4.7429395782873298</v>
      </c>
      <c r="M195" s="3">
        <v>7.2496493693263303E-2</v>
      </c>
    </row>
    <row r="196" spans="1:13" s="3" customFormat="1" x14ac:dyDescent="0.25">
      <c r="A196" s="3">
        <v>399</v>
      </c>
      <c r="B196" s="3" t="str">
        <f>"PGLS"</f>
        <v>PGLS</v>
      </c>
      <c r="C196" s="3" t="str">
        <f>""</f>
        <v/>
      </c>
      <c r="D196" s="3">
        <v>27.547000000000001</v>
      </c>
      <c r="E196" s="3">
        <v>13.6</v>
      </c>
      <c r="F196" s="3">
        <v>10</v>
      </c>
      <c r="G196" s="3">
        <v>1</v>
      </c>
      <c r="H196" s="3">
        <v>5</v>
      </c>
      <c r="I196" s="7">
        <v>5.6083181339430199</v>
      </c>
      <c r="J196" s="6">
        <v>0.58121239550609605</v>
      </c>
      <c r="K196" s="6">
        <v>3.0174010393631101</v>
      </c>
      <c r="L196" s="3">
        <v>-3.1169328050634899</v>
      </c>
      <c r="M196" s="3">
        <v>7.4967810658191497E-2</v>
      </c>
    </row>
    <row r="197" spans="1:13" s="3" customFormat="1" x14ac:dyDescent="0.25">
      <c r="A197" s="3">
        <v>801</v>
      </c>
      <c r="B197" s="3" t="str">
        <f>"SFPQ"</f>
        <v>SFPQ</v>
      </c>
      <c r="C197" s="3" t="str">
        <f>""</f>
        <v/>
      </c>
      <c r="D197" s="3">
        <v>76.149000000000001</v>
      </c>
      <c r="E197" s="3">
        <v>13.3</v>
      </c>
      <c r="F197" s="3">
        <v>19</v>
      </c>
      <c r="G197" s="3">
        <v>6</v>
      </c>
      <c r="H197" s="3">
        <v>12</v>
      </c>
      <c r="I197" s="7">
        <v>10.655804454491699</v>
      </c>
      <c r="J197" s="6">
        <v>3.4872743730365801</v>
      </c>
      <c r="K197" s="6">
        <v>7.2417624944714696</v>
      </c>
      <c r="L197" s="3">
        <v>-1.9863487442683501</v>
      </c>
      <c r="M197" s="3">
        <v>7.5313809654595401E-2</v>
      </c>
    </row>
    <row r="198" spans="1:13" s="3" customFormat="1" x14ac:dyDescent="0.25">
      <c r="A198" s="3">
        <v>665</v>
      </c>
      <c r="B198" s="3" t="str">
        <f>"CKB"</f>
        <v>CKB</v>
      </c>
      <c r="C198" s="3" t="str">
        <f>""</f>
        <v/>
      </c>
      <c r="D198" s="3">
        <v>42.643999999999998</v>
      </c>
      <c r="E198" s="3">
        <v>25.2</v>
      </c>
      <c r="F198" s="3">
        <v>71</v>
      </c>
      <c r="G198" s="3">
        <v>52</v>
      </c>
      <c r="H198" s="3">
        <v>50</v>
      </c>
      <c r="I198" s="7">
        <v>39.819058750995502</v>
      </c>
      <c r="J198" s="6">
        <v>30.223044566317</v>
      </c>
      <c r="K198" s="6">
        <v>30.1740103936311</v>
      </c>
      <c r="L198" s="3">
        <v>-1.3185761715501201</v>
      </c>
      <c r="M198" s="3">
        <v>7.7706406233239697E-2</v>
      </c>
    </row>
    <row r="199" spans="1:13" s="3" customFormat="1" x14ac:dyDescent="0.25">
      <c r="A199" s="3">
        <v>194</v>
      </c>
      <c r="B199" s="3" t="str">
        <f>"IPO8"</f>
        <v>IPO8</v>
      </c>
      <c r="C199" s="3" t="str">
        <f>""</f>
        <v/>
      </c>
      <c r="D199" s="3">
        <v>96.034999999999997</v>
      </c>
      <c r="E199" s="3">
        <v>4</v>
      </c>
      <c r="F199" s="3">
        <v>5</v>
      </c>
      <c r="G199" s="3">
        <v>0</v>
      </c>
      <c r="H199" s="3">
        <v>2</v>
      </c>
      <c r="I199" s="7">
        <v>2.80415906697151</v>
      </c>
      <c r="J199" s="6">
        <v>0</v>
      </c>
      <c r="K199" s="6">
        <v>1.20696041574525</v>
      </c>
      <c r="L199" s="3">
        <v>-4.6466462866390899</v>
      </c>
      <c r="M199" s="3">
        <v>7.7950968323574496E-2</v>
      </c>
    </row>
    <row r="200" spans="1:13" s="3" customFormat="1" x14ac:dyDescent="0.25">
      <c r="A200" s="3">
        <v>1386</v>
      </c>
      <c r="B200" s="3" t="str">
        <f>"MRPS22"</f>
        <v>MRPS22</v>
      </c>
      <c r="C200" s="3" t="str">
        <f>""</f>
        <v/>
      </c>
      <c r="D200" s="3">
        <v>41.28</v>
      </c>
      <c r="E200" s="3">
        <v>16.399999999999999</v>
      </c>
      <c r="F200" s="3">
        <v>1</v>
      </c>
      <c r="G200" s="3">
        <v>6</v>
      </c>
      <c r="H200" s="3">
        <v>3</v>
      </c>
      <c r="I200" s="7">
        <v>0.56083181339430199</v>
      </c>
      <c r="J200" s="6">
        <v>3.4872743730365801</v>
      </c>
      <c r="K200" s="6">
        <v>1.8104406236178701</v>
      </c>
      <c r="L200" s="3">
        <v>4.7230870914680096</v>
      </c>
      <c r="M200" s="3">
        <v>7.8881662956002394E-2</v>
      </c>
    </row>
    <row r="201" spans="1:13" s="3" customFormat="1" x14ac:dyDescent="0.25">
      <c r="A201" s="3">
        <v>1144</v>
      </c>
      <c r="B201" s="3" t="str">
        <f>"RPL14"</f>
        <v>RPL14</v>
      </c>
      <c r="C201" s="3" t="str">
        <f>""</f>
        <v/>
      </c>
      <c r="D201" s="3">
        <v>23.431999999999999</v>
      </c>
      <c r="E201" s="3">
        <v>10.7</v>
      </c>
      <c r="F201" s="3">
        <v>9</v>
      </c>
      <c r="G201" s="3">
        <v>4</v>
      </c>
      <c r="H201" s="3">
        <v>3</v>
      </c>
      <c r="I201" s="7">
        <v>5.0474863205487202</v>
      </c>
      <c r="J201" s="6">
        <v>2.32484958202439</v>
      </c>
      <c r="K201" s="6">
        <v>1.8104406236178701</v>
      </c>
      <c r="L201" s="3">
        <v>-2.4411763477503201</v>
      </c>
      <c r="M201" s="3">
        <v>7.948590999282E-2</v>
      </c>
    </row>
    <row r="202" spans="1:13" s="3" customFormat="1" x14ac:dyDescent="0.25">
      <c r="A202" s="3">
        <v>886</v>
      </c>
      <c r="B202" s="3" t="str">
        <f>"ECHS1"</f>
        <v>ECHS1</v>
      </c>
      <c r="C202" s="3" t="str">
        <f>""</f>
        <v/>
      </c>
      <c r="D202" s="3">
        <v>31.387</v>
      </c>
      <c r="E202" s="3">
        <v>17.2</v>
      </c>
      <c r="F202" s="3">
        <v>6</v>
      </c>
      <c r="G202" s="3">
        <v>12</v>
      </c>
      <c r="H202" s="3">
        <v>12</v>
      </c>
      <c r="I202" s="7">
        <v>3.3649908803658102</v>
      </c>
      <c r="J202" s="6">
        <v>6.9745487460731601</v>
      </c>
      <c r="K202" s="6">
        <v>7.2417624944714696</v>
      </c>
      <c r="L202" s="3">
        <v>2.1123848096431002</v>
      </c>
      <c r="M202" s="3">
        <v>8.0832187151769194E-2</v>
      </c>
    </row>
    <row r="203" spans="1:13" s="3" customFormat="1" x14ac:dyDescent="0.25">
      <c r="A203" s="3">
        <v>1822</v>
      </c>
      <c r="B203" s="3" t="str">
        <f>"AMOT"</f>
        <v>AMOT</v>
      </c>
      <c r="C203" s="3" t="str">
        <f>""</f>
        <v/>
      </c>
      <c r="D203" s="3">
        <v>118.08</v>
      </c>
      <c r="E203" s="3">
        <v>6.3</v>
      </c>
      <c r="F203" s="3">
        <v>7</v>
      </c>
      <c r="G203" s="3">
        <v>11</v>
      </c>
      <c r="H203" s="3">
        <v>16</v>
      </c>
      <c r="I203" s="7">
        <v>3.9258226937601099</v>
      </c>
      <c r="J203" s="6">
        <v>6.3933363505670604</v>
      </c>
      <c r="K203" s="6">
        <v>9.6556833259619594</v>
      </c>
      <c r="L203" s="3">
        <v>2.0440326688770298</v>
      </c>
      <c r="M203" s="3">
        <v>8.5592173711915395E-2</v>
      </c>
    </row>
    <row r="204" spans="1:13" s="3" customFormat="1" x14ac:dyDescent="0.25">
      <c r="A204" s="3">
        <v>1474</v>
      </c>
      <c r="B204" s="3" t="str">
        <f>"CKAP4"</f>
        <v>CKAP4</v>
      </c>
      <c r="C204" s="3" t="str">
        <f>""</f>
        <v/>
      </c>
      <c r="D204" s="3">
        <v>66.022000000000006</v>
      </c>
      <c r="E204" s="3">
        <v>14.6</v>
      </c>
      <c r="F204" s="3">
        <v>6</v>
      </c>
      <c r="G204" s="3">
        <v>10</v>
      </c>
      <c r="H204" s="3">
        <v>14</v>
      </c>
      <c r="I204" s="7">
        <v>3.3649908803658102</v>
      </c>
      <c r="J204" s="6">
        <v>5.8121239550609696</v>
      </c>
      <c r="K204" s="6">
        <v>8.4487229102167198</v>
      </c>
      <c r="L204" s="3">
        <v>2.1190023052495399</v>
      </c>
      <c r="M204" s="3">
        <v>8.5611797211934001E-2</v>
      </c>
    </row>
    <row r="205" spans="1:13" s="3" customFormat="1" x14ac:dyDescent="0.25">
      <c r="A205" s="3">
        <v>1165</v>
      </c>
      <c r="B205" s="3" t="str">
        <f>"HSD17B4"</f>
        <v>HSD17B4</v>
      </c>
      <c r="C205" s="3" t="str">
        <f>""</f>
        <v/>
      </c>
      <c r="D205" s="3">
        <v>77.869</v>
      </c>
      <c r="E205" s="3">
        <v>6.4</v>
      </c>
      <c r="F205" s="3">
        <v>5</v>
      </c>
      <c r="G205" s="3">
        <v>10</v>
      </c>
      <c r="H205" s="3">
        <v>11</v>
      </c>
      <c r="I205" s="7">
        <v>2.80415906697151</v>
      </c>
      <c r="J205" s="6">
        <v>5.8121239550609696</v>
      </c>
      <c r="K205" s="6">
        <v>6.6382822865988498</v>
      </c>
      <c r="L205" s="3">
        <v>2.2199892988071901</v>
      </c>
      <c r="M205" s="3">
        <v>8.6020507820310496E-2</v>
      </c>
    </row>
    <row r="206" spans="1:13" s="3" customFormat="1" x14ac:dyDescent="0.25">
      <c r="A206" s="3">
        <v>926</v>
      </c>
      <c r="B206" s="3" t="str">
        <f>"RPL9"</f>
        <v>RPL9</v>
      </c>
      <c r="C206" s="3" t="str">
        <f>""</f>
        <v/>
      </c>
      <c r="D206" s="3">
        <v>21.863</v>
      </c>
      <c r="E206" s="3">
        <v>21.9</v>
      </c>
      <c r="F206" s="3">
        <v>2</v>
      </c>
      <c r="G206" s="3">
        <v>6</v>
      </c>
      <c r="H206" s="3">
        <v>6</v>
      </c>
      <c r="I206" s="7">
        <v>1.1216636267886</v>
      </c>
      <c r="J206" s="6">
        <v>3.4872743730365801</v>
      </c>
      <c r="K206" s="6">
        <v>3.6208812472357401</v>
      </c>
      <c r="L206" s="3">
        <v>3.16857721446465</v>
      </c>
      <c r="M206" s="3">
        <v>8.7765737369360802E-2</v>
      </c>
    </row>
    <row r="207" spans="1:13" s="3" customFormat="1" x14ac:dyDescent="0.25">
      <c r="A207" s="3">
        <v>2801</v>
      </c>
      <c r="B207" s="3" t="str">
        <f>"SMC4"</f>
        <v>SMC4</v>
      </c>
      <c r="C207" s="3" t="str">
        <f>""</f>
        <v/>
      </c>
      <c r="D207" s="3">
        <v>147.18</v>
      </c>
      <c r="E207" s="3">
        <v>6.6</v>
      </c>
      <c r="F207" s="3">
        <v>2</v>
      </c>
      <c r="G207" s="3">
        <v>7</v>
      </c>
      <c r="H207" s="3">
        <v>5</v>
      </c>
      <c r="I207" s="7">
        <v>1.1216636267886</v>
      </c>
      <c r="J207" s="6">
        <v>4.0684867685426802</v>
      </c>
      <c r="K207" s="6">
        <v>3.0174010393631101</v>
      </c>
      <c r="L207" s="3">
        <v>3.1586509710550001</v>
      </c>
      <c r="M207" s="3">
        <v>8.7823720783925405E-2</v>
      </c>
    </row>
    <row r="208" spans="1:13" s="3" customFormat="1" x14ac:dyDescent="0.25">
      <c r="A208" s="3">
        <v>905</v>
      </c>
      <c r="B208" s="3" t="str">
        <f>"POLR2B"</f>
        <v>POLR2B</v>
      </c>
      <c r="C208" s="3" t="str">
        <f>""</f>
        <v/>
      </c>
      <c r="D208" s="3">
        <v>133.9</v>
      </c>
      <c r="E208" s="3">
        <v>7.1</v>
      </c>
      <c r="F208" s="3">
        <v>2</v>
      </c>
      <c r="G208" s="3">
        <v>5</v>
      </c>
      <c r="H208" s="3">
        <v>7</v>
      </c>
      <c r="I208" s="7">
        <v>1.1216636267886</v>
      </c>
      <c r="J208" s="6">
        <v>2.9060619775304799</v>
      </c>
      <c r="K208" s="6">
        <v>4.2243614551083599</v>
      </c>
      <c r="L208" s="3">
        <v>3.1785034578743101</v>
      </c>
      <c r="M208" s="3">
        <v>8.7873115410163294E-2</v>
      </c>
    </row>
    <row r="209" spans="1:13" s="3" customFormat="1" x14ac:dyDescent="0.25">
      <c r="A209" s="3">
        <v>2369</v>
      </c>
      <c r="B209" s="3" t="str">
        <f>"KIAA1279"</f>
        <v>KIAA1279</v>
      </c>
      <c r="C209" s="3" t="str">
        <f>""</f>
        <v/>
      </c>
      <c r="D209" s="3">
        <v>71.813000000000002</v>
      </c>
      <c r="E209" s="3">
        <v>6</v>
      </c>
      <c r="F209" s="3">
        <v>4</v>
      </c>
      <c r="G209" s="3">
        <v>8</v>
      </c>
      <c r="H209" s="3">
        <v>10</v>
      </c>
      <c r="I209" s="7">
        <v>2.2433272535772102</v>
      </c>
      <c r="J209" s="6">
        <v>4.6496991640487702</v>
      </c>
      <c r="K209" s="6">
        <v>6.03480207872623</v>
      </c>
      <c r="L209" s="3">
        <v>2.3813960325533201</v>
      </c>
      <c r="M209" s="3">
        <v>9.0068298076425399E-2</v>
      </c>
    </row>
    <row r="210" spans="1:13" s="3" customFormat="1" x14ac:dyDescent="0.25">
      <c r="A210" s="3">
        <v>1281</v>
      </c>
      <c r="B210" s="3" t="str">
        <f>"COPS2"</f>
        <v>COPS2</v>
      </c>
      <c r="C210" s="3" t="str">
        <f>""</f>
        <v/>
      </c>
      <c r="D210" s="3">
        <v>51.595999999999997</v>
      </c>
      <c r="E210" s="3">
        <v>7.4</v>
      </c>
      <c r="F210" s="3">
        <v>3</v>
      </c>
      <c r="G210" s="3">
        <v>8</v>
      </c>
      <c r="H210" s="3">
        <v>7</v>
      </c>
      <c r="I210" s="7">
        <v>1.68249544018291</v>
      </c>
      <c r="J210" s="6">
        <v>4.6496991640487702</v>
      </c>
      <c r="K210" s="6">
        <v>4.2243614551083599</v>
      </c>
      <c r="L210" s="3">
        <v>2.6371722642506601</v>
      </c>
      <c r="M210" s="3">
        <v>9.1550425212919007E-2</v>
      </c>
    </row>
    <row r="211" spans="1:13" s="3" customFormat="1" x14ac:dyDescent="0.25">
      <c r="A211" s="3">
        <v>1710</v>
      </c>
      <c r="B211" s="3" t="str">
        <f>"STK38"</f>
        <v>STK38</v>
      </c>
      <c r="C211" s="3" t="str">
        <f>"STK38"</f>
        <v>STK38</v>
      </c>
      <c r="D211" s="3">
        <v>54.19</v>
      </c>
      <c r="E211" s="3">
        <v>10.1</v>
      </c>
      <c r="F211" s="3">
        <v>6</v>
      </c>
      <c r="G211" s="3">
        <v>15</v>
      </c>
      <c r="H211" s="3">
        <v>9</v>
      </c>
      <c r="I211" s="7">
        <v>3.3649908803658102</v>
      </c>
      <c r="J211" s="6">
        <v>8.7181859325914495</v>
      </c>
      <c r="K211" s="6">
        <v>5.4313218708536004</v>
      </c>
      <c r="L211" s="3">
        <v>2.1024585662334498</v>
      </c>
      <c r="M211" s="3">
        <v>9.4489322070266696E-2</v>
      </c>
    </row>
    <row r="212" spans="1:13" s="3" customFormat="1" x14ac:dyDescent="0.25">
      <c r="A212" s="3">
        <v>788</v>
      </c>
      <c r="B212" s="3" t="str">
        <f>"GART"</f>
        <v>GART</v>
      </c>
      <c r="C212" s="3" t="str">
        <f>""</f>
        <v/>
      </c>
      <c r="D212" s="3">
        <v>107.77</v>
      </c>
      <c r="E212" s="3">
        <v>7</v>
      </c>
      <c r="F212" s="3">
        <v>7</v>
      </c>
      <c r="G212" s="3">
        <v>12</v>
      </c>
      <c r="H212" s="3">
        <v>14</v>
      </c>
      <c r="I212" s="7">
        <v>3.9258226937601099</v>
      </c>
      <c r="J212" s="6">
        <v>6.9745487460731601</v>
      </c>
      <c r="K212" s="6">
        <v>8.4487229102167198</v>
      </c>
      <c r="L212" s="3">
        <v>1.9643362499285</v>
      </c>
      <c r="M212" s="3">
        <v>9.4879009019086205E-2</v>
      </c>
    </row>
    <row r="213" spans="1:13" s="3" customFormat="1" x14ac:dyDescent="0.25">
      <c r="A213" s="3">
        <v>682</v>
      </c>
      <c r="B213" s="3" t="str">
        <f>"ETFA"</f>
        <v>ETFA</v>
      </c>
      <c r="C213" s="3" t="str">
        <f>""</f>
        <v/>
      </c>
      <c r="D213" s="3">
        <v>30.024999999999999</v>
      </c>
      <c r="E213" s="3">
        <v>28.9</v>
      </c>
      <c r="F213" s="3">
        <v>7</v>
      </c>
      <c r="G213" s="3">
        <v>12</v>
      </c>
      <c r="H213" s="3">
        <v>14</v>
      </c>
      <c r="I213" s="7">
        <v>3.9258226937601099</v>
      </c>
      <c r="J213" s="6">
        <v>6.9745487460731601</v>
      </c>
      <c r="K213" s="6">
        <v>8.4487229102167198</v>
      </c>
      <c r="L213" s="3">
        <v>1.9643362499285</v>
      </c>
      <c r="M213" s="3">
        <v>9.4879009019086205E-2</v>
      </c>
    </row>
    <row r="214" spans="1:13" x14ac:dyDescent="0.25">
      <c r="A214">
        <v>355</v>
      </c>
      <c r="B214" t="str">
        <f>"BCAS2"</f>
        <v>BCAS2</v>
      </c>
      <c r="C214" t="str">
        <f>""</f>
        <v/>
      </c>
      <c r="D214">
        <v>26.131</v>
      </c>
      <c r="E214">
        <v>19.600000000000001</v>
      </c>
      <c r="F214">
        <v>3</v>
      </c>
      <c r="G214">
        <v>1</v>
      </c>
      <c r="H214">
        <v>0</v>
      </c>
      <c r="I214" s="7">
        <v>1.68249544018291</v>
      </c>
      <c r="J214" s="6">
        <v>0.58121239550609605</v>
      </c>
      <c r="K214" s="6">
        <v>0</v>
      </c>
      <c r="L214">
        <v>-5.7896061859377799</v>
      </c>
      <c r="M214">
        <v>0.101298790437765</v>
      </c>
    </row>
    <row r="215" spans="1:13" x14ac:dyDescent="0.25">
      <c r="A215">
        <v>284</v>
      </c>
      <c r="B215" t="str">
        <f>"PFKFB2"</f>
        <v>PFKFB2</v>
      </c>
      <c r="C215" t="str">
        <f>""</f>
        <v/>
      </c>
      <c r="D215">
        <v>54.405999999999999</v>
      </c>
      <c r="E215">
        <v>3.6</v>
      </c>
      <c r="F215">
        <v>3</v>
      </c>
      <c r="G215">
        <v>1</v>
      </c>
      <c r="H215">
        <v>0</v>
      </c>
      <c r="I215" s="7">
        <v>1.68249544018291</v>
      </c>
      <c r="J215" s="6">
        <v>0.58121239550609605</v>
      </c>
      <c r="K215" s="6">
        <v>0</v>
      </c>
      <c r="L215">
        <v>-5.7896061859377799</v>
      </c>
      <c r="M215">
        <v>0.101298790437765</v>
      </c>
    </row>
    <row r="216" spans="1:13" x14ac:dyDescent="0.25">
      <c r="A216">
        <v>911</v>
      </c>
      <c r="B216" t="str">
        <f>"DNAJA1"</f>
        <v>DNAJA1</v>
      </c>
      <c r="C216" t="str">
        <f>""</f>
        <v/>
      </c>
      <c r="D216">
        <v>37.043999999999997</v>
      </c>
      <c r="E216">
        <v>12.7</v>
      </c>
      <c r="F216">
        <v>3</v>
      </c>
      <c r="G216">
        <v>1</v>
      </c>
      <c r="H216">
        <v>0</v>
      </c>
      <c r="I216" s="7">
        <v>1.68249544018291</v>
      </c>
      <c r="J216" s="6">
        <v>0.58121239550609605</v>
      </c>
      <c r="K216" s="6">
        <v>0</v>
      </c>
      <c r="L216">
        <v>-5.7896061859377799</v>
      </c>
      <c r="M216">
        <v>0.101298790437765</v>
      </c>
    </row>
    <row r="217" spans="1:13" x14ac:dyDescent="0.25">
      <c r="A217">
        <v>1626</v>
      </c>
      <c r="B217" t="str">
        <f>"SCRIB"</f>
        <v>SCRIB</v>
      </c>
      <c r="C217" t="str">
        <f>""</f>
        <v/>
      </c>
      <c r="D217">
        <v>165.24</v>
      </c>
      <c r="E217">
        <v>2.5</v>
      </c>
      <c r="F217">
        <v>3</v>
      </c>
      <c r="G217">
        <v>1</v>
      </c>
      <c r="H217">
        <v>0</v>
      </c>
      <c r="I217" s="7">
        <v>1.68249544018291</v>
      </c>
      <c r="J217" s="6">
        <v>0.58121239550609605</v>
      </c>
      <c r="K217" s="6">
        <v>0</v>
      </c>
      <c r="L217">
        <v>-5.7896061859377799</v>
      </c>
      <c r="M217">
        <v>0.101298790437765</v>
      </c>
    </row>
    <row r="218" spans="1:13" x14ac:dyDescent="0.25">
      <c r="A218">
        <v>3</v>
      </c>
      <c r="B218" t="str">
        <f>"IGHV3-72"</f>
        <v>IGHV3-72</v>
      </c>
      <c r="C218" t="str">
        <f>""</f>
        <v/>
      </c>
      <c r="D218">
        <v>13.202999999999999</v>
      </c>
      <c r="E218">
        <v>9.1999999999999993</v>
      </c>
      <c r="F218">
        <v>3</v>
      </c>
      <c r="G218">
        <v>0</v>
      </c>
      <c r="H218">
        <v>1</v>
      </c>
      <c r="I218" s="7">
        <v>1.68249544018291</v>
      </c>
      <c r="J218" s="6">
        <v>0</v>
      </c>
      <c r="K218" s="6">
        <v>0.60348020787262302</v>
      </c>
      <c r="L218">
        <v>-5.5759755439669103</v>
      </c>
      <c r="M218">
        <v>0.101916419264175</v>
      </c>
    </row>
    <row r="219" spans="1:13" x14ac:dyDescent="0.25">
      <c r="A219">
        <v>728</v>
      </c>
      <c r="B219" t="str">
        <f>"PRKACA;PRKACB"</f>
        <v>PRKACA;PRKACB</v>
      </c>
      <c r="C219" t="str">
        <f>"PRKACA;PRKACB"</f>
        <v>PRKACA;PRKACB</v>
      </c>
      <c r="D219">
        <v>40.588999999999999</v>
      </c>
      <c r="E219">
        <v>6.6</v>
      </c>
      <c r="F219">
        <v>3</v>
      </c>
      <c r="G219">
        <v>0</v>
      </c>
      <c r="H219">
        <v>1</v>
      </c>
      <c r="I219" s="7">
        <v>1.68249544018291</v>
      </c>
      <c r="J219" s="6">
        <v>0</v>
      </c>
      <c r="K219" s="6">
        <v>0.60348020787262302</v>
      </c>
      <c r="L219">
        <v>-5.5759755439669103</v>
      </c>
      <c r="M219">
        <v>0.101916419264175</v>
      </c>
    </row>
    <row r="220" spans="1:13" x14ac:dyDescent="0.25">
      <c r="A220">
        <v>329</v>
      </c>
      <c r="B220" t="str">
        <f>"ERLIN2;ERLIN1"</f>
        <v>ERLIN2;ERLIN1</v>
      </c>
      <c r="C220" t="str">
        <f>""</f>
        <v/>
      </c>
      <c r="D220">
        <v>16.814</v>
      </c>
      <c r="E220">
        <v>7.9</v>
      </c>
      <c r="F220">
        <v>3</v>
      </c>
      <c r="G220">
        <v>0</v>
      </c>
      <c r="H220">
        <v>1</v>
      </c>
      <c r="I220" s="7">
        <v>1.68249544018291</v>
      </c>
      <c r="J220" s="6">
        <v>0</v>
      </c>
      <c r="K220" s="6">
        <v>0.60348020787262302</v>
      </c>
      <c r="L220">
        <v>-5.5759755439669103</v>
      </c>
      <c r="M220">
        <v>0.101916419264175</v>
      </c>
    </row>
    <row r="221" spans="1:13" x14ac:dyDescent="0.25">
      <c r="A221">
        <v>2952</v>
      </c>
      <c r="B221" t="str">
        <f>"CYB5R1"</f>
        <v>CYB5R1</v>
      </c>
      <c r="C221" t="str">
        <f>""</f>
        <v/>
      </c>
      <c r="D221">
        <v>34.094000000000001</v>
      </c>
      <c r="E221">
        <v>5.9</v>
      </c>
      <c r="F221">
        <v>3</v>
      </c>
      <c r="G221">
        <v>0</v>
      </c>
      <c r="H221">
        <v>1</v>
      </c>
      <c r="I221" s="7">
        <v>1.68249544018291</v>
      </c>
      <c r="J221" s="6">
        <v>0</v>
      </c>
      <c r="K221" s="6">
        <v>0.60348020787262302</v>
      </c>
      <c r="L221">
        <v>-5.5759755439669103</v>
      </c>
      <c r="M221">
        <v>0.101916419264175</v>
      </c>
    </row>
    <row r="222" spans="1:13" x14ac:dyDescent="0.25">
      <c r="A222">
        <v>331</v>
      </c>
      <c r="B222" t="str">
        <f>"SRSF10;SRSF12"</f>
        <v>SRSF10;SRSF12</v>
      </c>
      <c r="C222" t="str">
        <f>""</f>
        <v/>
      </c>
      <c r="D222">
        <v>20.117000000000001</v>
      </c>
      <c r="E222">
        <v>6.7</v>
      </c>
      <c r="F222">
        <v>3</v>
      </c>
      <c r="G222">
        <v>0</v>
      </c>
      <c r="H222">
        <v>1</v>
      </c>
      <c r="I222" s="7">
        <v>1.68249544018291</v>
      </c>
      <c r="J222" s="6">
        <v>0</v>
      </c>
      <c r="K222" s="6">
        <v>0.60348020787262302</v>
      </c>
      <c r="L222">
        <v>-5.5759755439669103</v>
      </c>
      <c r="M222">
        <v>0.101916419264175</v>
      </c>
    </row>
    <row r="223" spans="1:13" x14ac:dyDescent="0.25">
      <c r="A223">
        <v>1538</v>
      </c>
      <c r="B223" t="str">
        <f>"IK"</f>
        <v>IK</v>
      </c>
      <c r="C223" t="str">
        <f>""</f>
        <v/>
      </c>
      <c r="D223">
        <v>65.600999999999999</v>
      </c>
      <c r="E223">
        <v>8.4</v>
      </c>
      <c r="F223">
        <v>3</v>
      </c>
      <c r="G223">
        <v>0</v>
      </c>
      <c r="H223">
        <v>1</v>
      </c>
      <c r="I223" s="7">
        <v>1.68249544018291</v>
      </c>
      <c r="J223" s="6">
        <v>0</v>
      </c>
      <c r="K223" s="6">
        <v>0.60348020787262302</v>
      </c>
      <c r="L223">
        <v>-5.5759755439669103</v>
      </c>
      <c r="M223">
        <v>0.101916419264175</v>
      </c>
    </row>
    <row r="224" spans="1:13" x14ac:dyDescent="0.25">
      <c r="A224">
        <v>2073</v>
      </c>
      <c r="B224" t="str">
        <f>"NIT1"</f>
        <v>NIT1</v>
      </c>
      <c r="C224" t="str">
        <f>""</f>
        <v/>
      </c>
      <c r="D224">
        <v>31.858000000000001</v>
      </c>
      <c r="E224">
        <v>9.6</v>
      </c>
      <c r="F224">
        <v>3</v>
      </c>
      <c r="G224">
        <v>0</v>
      </c>
      <c r="H224">
        <v>1</v>
      </c>
      <c r="I224" s="7">
        <v>1.68249544018291</v>
      </c>
      <c r="J224" s="6">
        <v>0</v>
      </c>
      <c r="K224" s="6">
        <v>0.60348020787262302</v>
      </c>
      <c r="L224">
        <v>-5.5759755439669103</v>
      </c>
      <c r="M224">
        <v>0.101916419264175</v>
      </c>
    </row>
    <row r="225" spans="1:13" x14ac:dyDescent="0.25">
      <c r="A225">
        <v>2538</v>
      </c>
      <c r="B225" t="str">
        <f>"ERP44"</f>
        <v>ERP44</v>
      </c>
      <c r="C225" t="str">
        <f>""</f>
        <v/>
      </c>
      <c r="D225">
        <v>46.970999999999997</v>
      </c>
      <c r="E225">
        <v>7.6</v>
      </c>
      <c r="F225">
        <v>3</v>
      </c>
      <c r="G225">
        <v>0</v>
      </c>
      <c r="H225">
        <v>1</v>
      </c>
      <c r="I225" s="7">
        <v>1.68249544018291</v>
      </c>
      <c r="J225" s="6">
        <v>0</v>
      </c>
      <c r="K225" s="6">
        <v>0.60348020787262302</v>
      </c>
      <c r="L225">
        <v>-5.5759755439669103</v>
      </c>
      <c r="M225">
        <v>0.101916419264175</v>
      </c>
    </row>
    <row r="226" spans="1:13" x14ac:dyDescent="0.25">
      <c r="A226">
        <v>2850</v>
      </c>
      <c r="B226" t="str">
        <f>"THUMPD1"</f>
        <v>THUMPD1</v>
      </c>
      <c r="C226" t="str">
        <f>""</f>
        <v/>
      </c>
      <c r="D226">
        <v>39.314999999999998</v>
      </c>
      <c r="E226">
        <v>7.4</v>
      </c>
      <c r="F226">
        <v>3</v>
      </c>
      <c r="G226">
        <v>0</v>
      </c>
      <c r="H226">
        <v>1</v>
      </c>
      <c r="I226" s="7">
        <v>1.68249544018291</v>
      </c>
      <c r="J226" s="6">
        <v>0</v>
      </c>
      <c r="K226" s="6">
        <v>0.60348020787262302</v>
      </c>
      <c r="L226">
        <v>-5.5759755439669103</v>
      </c>
      <c r="M226">
        <v>0.101916419264175</v>
      </c>
    </row>
    <row r="227" spans="1:13" x14ac:dyDescent="0.25">
      <c r="A227">
        <v>2972</v>
      </c>
      <c r="B227" t="str">
        <f>"DBR1"</f>
        <v>DBR1</v>
      </c>
      <c r="C227" t="str">
        <f>""</f>
        <v/>
      </c>
      <c r="D227">
        <v>61.554000000000002</v>
      </c>
      <c r="E227">
        <v>4.5999999999999996</v>
      </c>
      <c r="F227">
        <v>3</v>
      </c>
      <c r="G227">
        <v>0</v>
      </c>
      <c r="H227">
        <v>1</v>
      </c>
      <c r="I227" s="7">
        <v>1.68249544018291</v>
      </c>
      <c r="J227" s="6">
        <v>0</v>
      </c>
      <c r="K227" s="6">
        <v>0.60348020787262302</v>
      </c>
      <c r="L227">
        <v>-5.5759755439669103</v>
      </c>
      <c r="M227">
        <v>0.101916419264175</v>
      </c>
    </row>
    <row r="228" spans="1:13" x14ac:dyDescent="0.25">
      <c r="A228">
        <v>2988</v>
      </c>
      <c r="B228" t="str">
        <f>"RAB21"</f>
        <v>RAB21</v>
      </c>
      <c r="C228" t="str">
        <f>""</f>
        <v/>
      </c>
      <c r="D228">
        <v>24.347000000000001</v>
      </c>
      <c r="E228">
        <v>12.4</v>
      </c>
      <c r="F228">
        <v>3</v>
      </c>
      <c r="G228">
        <v>0</v>
      </c>
      <c r="H228">
        <v>1</v>
      </c>
      <c r="I228" s="7">
        <v>1.68249544018291</v>
      </c>
      <c r="J228" s="6">
        <v>0</v>
      </c>
      <c r="K228" s="6">
        <v>0.60348020787262302</v>
      </c>
      <c r="L228">
        <v>-5.5759755439669103</v>
      </c>
      <c r="M228">
        <v>0.101916419264175</v>
      </c>
    </row>
    <row r="229" spans="1:13" x14ac:dyDescent="0.25">
      <c r="A229">
        <v>1653</v>
      </c>
      <c r="B229" t="str">
        <f>"IRF3"</f>
        <v>IRF3</v>
      </c>
      <c r="C229" t="str">
        <f>""</f>
        <v/>
      </c>
      <c r="D229">
        <v>16.73</v>
      </c>
      <c r="E229">
        <v>14.3</v>
      </c>
      <c r="F229">
        <v>1</v>
      </c>
      <c r="G229">
        <v>4</v>
      </c>
      <c r="H229">
        <v>4</v>
      </c>
      <c r="I229" s="7">
        <v>0.56083181339430199</v>
      </c>
      <c r="J229" s="6">
        <v>2.32484958202439</v>
      </c>
      <c r="K229" s="6">
        <v>2.4139208314904899</v>
      </c>
      <c r="L229">
        <v>4.2247696192862101</v>
      </c>
      <c r="M229">
        <v>0.106470058963767</v>
      </c>
    </row>
    <row r="230" spans="1:13" x14ac:dyDescent="0.25">
      <c r="A230">
        <v>1185</v>
      </c>
      <c r="B230" t="str">
        <f>"MSH6"</f>
        <v>MSH6</v>
      </c>
      <c r="C230" t="str">
        <f>""</f>
        <v/>
      </c>
      <c r="D230">
        <v>119.79</v>
      </c>
      <c r="E230">
        <v>4</v>
      </c>
      <c r="F230">
        <v>1</v>
      </c>
      <c r="G230">
        <v>4</v>
      </c>
      <c r="H230">
        <v>4</v>
      </c>
      <c r="I230" s="7">
        <v>0.56083181339430199</v>
      </c>
      <c r="J230" s="6">
        <v>2.32484958202439</v>
      </c>
      <c r="K230" s="6">
        <v>2.4139208314904899</v>
      </c>
      <c r="L230">
        <v>4.2247696192862101</v>
      </c>
      <c r="M230">
        <v>0.106470058963767</v>
      </c>
    </row>
    <row r="231" spans="1:13" x14ac:dyDescent="0.25">
      <c r="A231">
        <v>795</v>
      </c>
      <c r="B231" t="str">
        <f>"HNRNPA2B1"</f>
        <v>HNRNPA2B1</v>
      </c>
      <c r="C231" t="str">
        <f>""</f>
        <v/>
      </c>
      <c r="D231">
        <v>36.006</v>
      </c>
      <c r="E231">
        <v>18.8</v>
      </c>
      <c r="F231">
        <v>6</v>
      </c>
      <c r="G231">
        <v>14</v>
      </c>
      <c r="H231">
        <v>9</v>
      </c>
      <c r="I231" s="7">
        <v>3.3649908803658102</v>
      </c>
      <c r="J231" s="6">
        <v>8.1369735370853498</v>
      </c>
      <c r="K231" s="6">
        <v>5.4313218708536004</v>
      </c>
      <c r="L231">
        <v>2.0160969063999299</v>
      </c>
      <c r="M231">
        <v>0.10653768935256</v>
      </c>
    </row>
    <row r="232" spans="1:13" x14ac:dyDescent="0.25">
      <c r="A232">
        <v>2759</v>
      </c>
      <c r="B232" t="str">
        <f>"ACOT13"</f>
        <v>ACOT13</v>
      </c>
      <c r="C232" t="str">
        <f>""</f>
        <v/>
      </c>
      <c r="D232">
        <v>12.366</v>
      </c>
      <c r="E232">
        <v>18.8</v>
      </c>
      <c r="F232">
        <v>1</v>
      </c>
      <c r="G232">
        <v>3</v>
      </c>
      <c r="H232">
        <v>5</v>
      </c>
      <c r="I232" s="7">
        <v>0.56083181339430199</v>
      </c>
      <c r="J232" s="6">
        <v>1.74363718651829</v>
      </c>
      <c r="K232" s="6">
        <v>3.0174010393631101</v>
      </c>
      <c r="L232">
        <v>4.2446221061055196</v>
      </c>
      <c r="M232">
        <v>0.106594308838803</v>
      </c>
    </row>
    <row r="233" spans="1:13" x14ac:dyDescent="0.25">
      <c r="A233">
        <v>1539</v>
      </c>
      <c r="B233" t="str">
        <f>"MTAP"</f>
        <v>MTAP</v>
      </c>
      <c r="C233" t="str">
        <f>""</f>
        <v/>
      </c>
      <c r="D233">
        <v>26.277999999999999</v>
      </c>
      <c r="E233">
        <v>23</v>
      </c>
      <c r="F233">
        <v>5</v>
      </c>
      <c r="G233">
        <v>2</v>
      </c>
      <c r="H233">
        <v>1</v>
      </c>
      <c r="I233" s="7">
        <v>2.80415906697151</v>
      </c>
      <c r="J233" s="6">
        <v>1.1624247910121901</v>
      </c>
      <c r="K233" s="6">
        <v>0.60348020787262302</v>
      </c>
      <c r="L233">
        <v>-3.17588892804807</v>
      </c>
      <c r="M233">
        <v>0.10973670050934201</v>
      </c>
    </row>
    <row r="234" spans="1:13" x14ac:dyDescent="0.25">
      <c r="A234">
        <v>2702</v>
      </c>
      <c r="B234" t="str">
        <f>"UBE2Z"</f>
        <v>UBE2Z</v>
      </c>
      <c r="C234" t="str">
        <f>""</f>
        <v/>
      </c>
      <c r="D234">
        <v>38.21</v>
      </c>
      <c r="E234">
        <v>7.1</v>
      </c>
      <c r="F234">
        <v>5</v>
      </c>
      <c r="G234">
        <v>2</v>
      </c>
      <c r="H234">
        <v>1</v>
      </c>
      <c r="I234" s="7">
        <v>2.80415906697151</v>
      </c>
      <c r="J234" s="6">
        <v>1.1624247910121901</v>
      </c>
      <c r="K234" s="6">
        <v>0.60348020787262302</v>
      </c>
      <c r="L234">
        <v>-3.17588892804807</v>
      </c>
      <c r="M234">
        <v>0.10973670050934201</v>
      </c>
    </row>
    <row r="235" spans="1:13" x14ac:dyDescent="0.25">
      <c r="A235">
        <v>1115</v>
      </c>
      <c r="B235" t="str">
        <f>"ACADVL"</f>
        <v>ACADVL</v>
      </c>
      <c r="C235" t="str">
        <f>""</f>
        <v/>
      </c>
      <c r="D235">
        <v>68.058000000000007</v>
      </c>
      <c r="E235">
        <v>5.2</v>
      </c>
      <c r="F235">
        <v>0</v>
      </c>
      <c r="G235">
        <v>1</v>
      </c>
      <c r="H235">
        <v>2</v>
      </c>
      <c r="I235" s="7">
        <v>0</v>
      </c>
      <c r="J235" s="6">
        <v>0.58121239550609605</v>
      </c>
      <c r="K235" s="6">
        <v>1.20696041574525</v>
      </c>
      <c r="L235">
        <v>10000</v>
      </c>
      <c r="M235">
        <v>0.11130325661161899</v>
      </c>
    </row>
    <row r="236" spans="1:13" x14ac:dyDescent="0.25">
      <c r="A236">
        <v>15</v>
      </c>
      <c r="B236" t="str">
        <f>"WDR91"</f>
        <v>WDR91</v>
      </c>
      <c r="C236" t="str">
        <f>""</f>
        <v/>
      </c>
      <c r="D236">
        <v>83.343000000000004</v>
      </c>
      <c r="E236">
        <v>2.7</v>
      </c>
      <c r="F236">
        <v>0</v>
      </c>
      <c r="G236">
        <v>1</v>
      </c>
      <c r="H236">
        <v>2</v>
      </c>
      <c r="I236" s="7">
        <v>0</v>
      </c>
      <c r="J236" s="6">
        <v>0.58121239550609605</v>
      </c>
      <c r="K236" s="6">
        <v>1.20696041574525</v>
      </c>
      <c r="L236">
        <v>10000</v>
      </c>
      <c r="M236">
        <v>0.11130325661161899</v>
      </c>
    </row>
    <row r="237" spans="1:13" x14ac:dyDescent="0.25">
      <c r="A237">
        <v>169</v>
      </c>
      <c r="B237" t="str">
        <f>"KIAA0391"</f>
        <v>KIAA0391</v>
      </c>
      <c r="C237" t="str">
        <f>""</f>
        <v/>
      </c>
      <c r="D237">
        <v>56.485999999999997</v>
      </c>
      <c r="E237">
        <v>1.8</v>
      </c>
      <c r="F237">
        <v>0</v>
      </c>
      <c r="G237">
        <v>1</v>
      </c>
      <c r="H237">
        <v>2</v>
      </c>
      <c r="I237" s="7">
        <v>0</v>
      </c>
      <c r="J237" s="6">
        <v>0.58121239550609605</v>
      </c>
      <c r="K237" s="6">
        <v>1.20696041574525</v>
      </c>
      <c r="L237">
        <v>10000</v>
      </c>
      <c r="M237">
        <v>0.11130325661161899</v>
      </c>
    </row>
    <row r="238" spans="1:13" x14ac:dyDescent="0.25">
      <c r="A238">
        <v>1047</v>
      </c>
      <c r="B238" t="str">
        <f>"MAPK9;MAPK8;MAPK10"</f>
        <v>MAPK9;MAPK8;MAPK10</v>
      </c>
      <c r="C238" t="str">
        <f>"MAPK9;MAPK8;MAPK10"</f>
        <v>MAPK9;MAPK8;MAPK10</v>
      </c>
      <c r="D238">
        <v>44.222999999999999</v>
      </c>
      <c r="E238">
        <v>5.2</v>
      </c>
      <c r="F238">
        <v>0</v>
      </c>
      <c r="G238">
        <v>1</v>
      </c>
      <c r="H238">
        <v>2</v>
      </c>
      <c r="I238" s="7">
        <v>0</v>
      </c>
      <c r="J238" s="6">
        <v>0.58121239550609605</v>
      </c>
      <c r="K238" s="6">
        <v>1.20696041574525</v>
      </c>
      <c r="L238">
        <v>10000</v>
      </c>
      <c r="M238">
        <v>0.11130325661161899</v>
      </c>
    </row>
    <row r="239" spans="1:13" x14ac:dyDescent="0.25">
      <c r="A239">
        <v>1064</v>
      </c>
      <c r="B239" t="str">
        <f>"GNPDA1;GNPDA2"</f>
        <v>GNPDA1;GNPDA2</v>
      </c>
      <c r="C239" t="str">
        <f>""</f>
        <v/>
      </c>
      <c r="D239">
        <v>24.047000000000001</v>
      </c>
      <c r="E239">
        <v>13.2</v>
      </c>
      <c r="F239">
        <v>0</v>
      </c>
      <c r="G239">
        <v>1</v>
      </c>
      <c r="H239">
        <v>2</v>
      </c>
      <c r="I239" s="7">
        <v>0</v>
      </c>
      <c r="J239" s="6">
        <v>0.58121239550609605</v>
      </c>
      <c r="K239" s="6">
        <v>1.20696041574525</v>
      </c>
      <c r="L239">
        <v>10000</v>
      </c>
      <c r="M239">
        <v>0.11130325661161899</v>
      </c>
    </row>
    <row r="240" spans="1:13" x14ac:dyDescent="0.25">
      <c r="A240">
        <v>1097</v>
      </c>
      <c r="B240" t="str">
        <f>"DHPS"</f>
        <v>DHPS</v>
      </c>
      <c r="C240" t="str">
        <f>""</f>
        <v/>
      </c>
      <c r="D240">
        <v>35.914999999999999</v>
      </c>
      <c r="E240">
        <v>7.8</v>
      </c>
      <c r="F240">
        <v>0</v>
      </c>
      <c r="G240">
        <v>1</v>
      </c>
      <c r="H240">
        <v>2</v>
      </c>
      <c r="I240" s="7">
        <v>0</v>
      </c>
      <c r="J240" s="6">
        <v>0.58121239550609605</v>
      </c>
      <c r="K240" s="6">
        <v>1.20696041574525</v>
      </c>
      <c r="L240">
        <v>10000</v>
      </c>
      <c r="M240">
        <v>0.11130325661161899</v>
      </c>
    </row>
    <row r="241" spans="1:13" x14ac:dyDescent="0.25">
      <c r="A241">
        <v>1158</v>
      </c>
      <c r="B241" t="str">
        <f>"SMARCA4"</f>
        <v>SMARCA4</v>
      </c>
      <c r="C241" t="str">
        <f>""</f>
        <v/>
      </c>
      <c r="D241">
        <v>181.26</v>
      </c>
      <c r="E241">
        <v>1.9</v>
      </c>
      <c r="F241">
        <v>0</v>
      </c>
      <c r="G241">
        <v>1</v>
      </c>
      <c r="H241">
        <v>2</v>
      </c>
      <c r="I241" s="7">
        <v>0</v>
      </c>
      <c r="J241" s="6">
        <v>0.58121239550609605</v>
      </c>
      <c r="K241" s="6">
        <v>1.20696041574525</v>
      </c>
      <c r="L241">
        <v>10000</v>
      </c>
      <c r="M241">
        <v>0.11130325661161899</v>
      </c>
    </row>
    <row r="242" spans="1:13" x14ac:dyDescent="0.25">
      <c r="A242">
        <v>1205</v>
      </c>
      <c r="B242" t="str">
        <f>"CTSC"</f>
        <v>CTSC</v>
      </c>
      <c r="C242" t="str">
        <f>""</f>
        <v/>
      </c>
      <c r="D242">
        <v>51.853000000000002</v>
      </c>
      <c r="E242">
        <v>2.4</v>
      </c>
      <c r="F242">
        <v>0</v>
      </c>
      <c r="G242">
        <v>1</v>
      </c>
      <c r="H242">
        <v>2</v>
      </c>
      <c r="I242" s="7">
        <v>0</v>
      </c>
      <c r="J242" s="6">
        <v>0.58121239550609605</v>
      </c>
      <c r="K242" s="6">
        <v>1.20696041574525</v>
      </c>
      <c r="L242">
        <v>10000</v>
      </c>
      <c r="M242">
        <v>0.11130325661161899</v>
      </c>
    </row>
    <row r="243" spans="1:13" x14ac:dyDescent="0.25">
      <c r="A243">
        <v>1262</v>
      </c>
      <c r="B243" t="str">
        <f>"SEC61B"</f>
        <v>SEC61B</v>
      </c>
      <c r="C243" t="str">
        <f>""</f>
        <v/>
      </c>
      <c r="D243">
        <v>9.9742999999999995</v>
      </c>
      <c r="E243">
        <v>11.5</v>
      </c>
      <c r="F243">
        <v>0</v>
      </c>
      <c r="G243">
        <v>1</v>
      </c>
      <c r="H243">
        <v>2</v>
      </c>
      <c r="I243" s="7">
        <v>0</v>
      </c>
      <c r="J243" s="6">
        <v>0.58121239550609605</v>
      </c>
      <c r="K243" s="6">
        <v>1.20696041574525</v>
      </c>
      <c r="L243">
        <v>10000</v>
      </c>
      <c r="M243">
        <v>0.11130325661161899</v>
      </c>
    </row>
    <row r="244" spans="1:13" x14ac:dyDescent="0.25">
      <c r="A244">
        <v>1519</v>
      </c>
      <c r="B244" t="str">
        <f>"PTPN13"</f>
        <v>PTPN13</v>
      </c>
      <c r="C244" t="str">
        <f>""</f>
        <v/>
      </c>
      <c r="D244">
        <v>255.92</v>
      </c>
      <c r="E244">
        <v>0.6</v>
      </c>
      <c r="F244">
        <v>0</v>
      </c>
      <c r="G244">
        <v>1</v>
      </c>
      <c r="H244">
        <v>2</v>
      </c>
      <c r="I244" s="7">
        <v>0</v>
      </c>
      <c r="J244" s="6">
        <v>0.58121239550609605</v>
      </c>
      <c r="K244" s="6">
        <v>1.20696041574525</v>
      </c>
      <c r="L244">
        <v>10000</v>
      </c>
      <c r="M244">
        <v>0.11130325661161899</v>
      </c>
    </row>
    <row r="245" spans="1:13" x14ac:dyDescent="0.25">
      <c r="A245">
        <v>1592</v>
      </c>
      <c r="B245" t="str">
        <f>"MTMR1"</f>
        <v>MTMR1</v>
      </c>
      <c r="C245" t="str">
        <f>""</f>
        <v/>
      </c>
      <c r="D245">
        <v>63.329000000000001</v>
      </c>
      <c r="E245">
        <v>4.5999999999999996</v>
      </c>
      <c r="F245">
        <v>0</v>
      </c>
      <c r="G245">
        <v>1</v>
      </c>
      <c r="H245">
        <v>2</v>
      </c>
      <c r="I245" s="7">
        <v>0</v>
      </c>
      <c r="J245" s="6">
        <v>0.58121239550609605</v>
      </c>
      <c r="K245" s="6">
        <v>1.20696041574525</v>
      </c>
      <c r="L245">
        <v>10000</v>
      </c>
      <c r="M245">
        <v>0.11130325661161899</v>
      </c>
    </row>
    <row r="246" spans="1:13" x14ac:dyDescent="0.25">
      <c r="A246">
        <v>1668</v>
      </c>
      <c r="B246" t="str">
        <f>"NAA30"</f>
        <v>NAA30</v>
      </c>
      <c r="C246" t="str">
        <f>""</f>
        <v/>
      </c>
      <c r="D246">
        <v>35.579000000000001</v>
      </c>
      <c r="E246">
        <v>11.7</v>
      </c>
      <c r="F246">
        <v>0</v>
      </c>
      <c r="G246">
        <v>1</v>
      </c>
      <c r="H246">
        <v>2</v>
      </c>
      <c r="I246" s="7">
        <v>0</v>
      </c>
      <c r="J246" s="6">
        <v>0.58121239550609605</v>
      </c>
      <c r="K246" s="6">
        <v>1.20696041574525</v>
      </c>
      <c r="L246">
        <v>10000</v>
      </c>
      <c r="M246">
        <v>0.11130325661161899</v>
      </c>
    </row>
    <row r="247" spans="1:13" x14ac:dyDescent="0.25">
      <c r="A247">
        <v>1717</v>
      </c>
      <c r="B247" t="str">
        <f>"PCBP1"</f>
        <v>PCBP1</v>
      </c>
      <c r="C247" t="str">
        <f>""</f>
        <v/>
      </c>
      <c r="D247">
        <v>37.497</v>
      </c>
      <c r="E247">
        <v>14</v>
      </c>
      <c r="F247">
        <v>0</v>
      </c>
      <c r="G247">
        <v>1</v>
      </c>
      <c r="H247">
        <v>2</v>
      </c>
      <c r="I247" s="7">
        <v>0</v>
      </c>
      <c r="J247" s="6">
        <v>0.58121239550609605</v>
      </c>
      <c r="K247" s="6">
        <v>1.20696041574525</v>
      </c>
      <c r="L247">
        <v>10000</v>
      </c>
      <c r="M247">
        <v>0.11130325661161899</v>
      </c>
    </row>
    <row r="248" spans="1:13" x14ac:dyDescent="0.25">
      <c r="A248">
        <v>1744</v>
      </c>
      <c r="B248" t="str">
        <f>"ELAVL1"</f>
        <v>ELAVL1</v>
      </c>
      <c r="C248" t="str">
        <f>""</f>
        <v/>
      </c>
      <c r="D248">
        <v>36.091000000000001</v>
      </c>
      <c r="E248">
        <v>4</v>
      </c>
      <c r="F248">
        <v>0</v>
      </c>
      <c r="G248">
        <v>1</v>
      </c>
      <c r="H248">
        <v>2</v>
      </c>
      <c r="I248" s="7">
        <v>0</v>
      </c>
      <c r="J248" s="6">
        <v>0.58121239550609605</v>
      </c>
      <c r="K248" s="6">
        <v>1.20696041574525</v>
      </c>
      <c r="L248">
        <v>10000</v>
      </c>
      <c r="M248">
        <v>0.11130325661161899</v>
      </c>
    </row>
    <row r="249" spans="1:13" x14ac:dyDescent="0.25">
      <c r="A249">
        <v>1824</v>
      </c>
      <c r="B249" t="str">
        <f>"PDCD4"</f>
        <v>PDCD4</v>
      </c>
      <c r="C249" t="str">
        <f>""</f>
        <v/>
      </c>
      <c r="D249">
        <v>50.576000000000001</v>
      </c>
      <c r="E249">
        <v>4.5999999999999996</v>
      </c>
      <c r="F249">
        <v>0</v>
      </c>
      <c r="G249">
        <v>1</v>
      </c>
      <c r="H249">
        <v>2</v>
      </c>
      <c r="I249" s="7">
        <v>0</v>
      </c>
      <c r="J249" s="6">
        <v>0.58121239550609605</v>
      </c>
      <c r="K249" s="6">
        <v>1.20696041574525</v>
      </c>
      <c r="L249">
        <v>10000</v>
      </c>
      <c r="M249">
        <v>0.11130325661161899</v>
      </c>
    </row>
    <row r="250" spans="1:13" x14ac:dyDescent="0.25">
      <c r="A250">
        <v>1872</v>
      </c>
      <c r="B250" t="str">
        <f>"FRY"</f>
        <v>FRY</v>
      </c>
      <c r="C250" t="str">
        <f>""</f>
        <v/>
      </c>
      <c r="D250">
        <v>338.87</v>
      </c>
      <c r="E250">
        <v>0.2</v>
      </c>
      <c r="F250">
        <v>0</v>
      </c>
      <c r="G250">
        <v>1</v>
      </c>
      <c r="H250">
        <v>2</v>
      </c>
      <c r="I250" s="7">
        <v>0</v>
      </c>
      <c r="J250" s="6">
        <v>0.58121239550609605</v>
      </c>
      <c r="K250" s="6">
        <v>1.20696041574525</v>
      </c>
      <c r="L250">
        <v>10000</v>
      </c>
      <c r="M250">
        <v>0.11130325661161899</v>
      </c>
    </row>
    <row r="251" spans="1:13" x14ac:dyDescent="0.25">
      <c r="A251">
        <v>2002</v>
      </c>
      <c r="B251" t="str">
        <f>"ASRGL1"</f>
        <v>ASRGL1</v>
      </c>
      <c r="C251" t="str">
        <f>""</f>
        <v/>
      </c>
      <c r="D251">
        <v>18.98</v>
      </c>
      <c r="E251">
        <v>7.2</v>
      </c>
      <c r="F251">
        <v>0</v>
      </c>
      <c r="G251">
        <v>1</v>
      </c>
      <c r="H251">
        <v>2</v>
      </c>
      <c r="I251" s="7">
        <v>0</v>
      </c>
      <c r="J251" s="6">
        <v>0.58121239550609605</v>
      </c>
      <c r="K251" s="6">
        <v>1.20696041574525</v>
      </c>
      <c r="L251">
        <v>10000</v>
      </c>
      <c r="M251">
        <v>0.11130325661161899</v>
      </c>
    </row>
    <row r="252" spans="1:13" x14ac:dyDescent="0.25">
      <c r="A252">
        <v>2062</v>
      </c>
      <c r="B252" t="str">
        <f>"ZC3H18"</f>
        <v>ZC3H18</v>
      </c>
      <c r="C252" t="str">
        <f>""</f>
        <v/>
      </c>
      <c r="D252">
        <v>84.099000000000004</v>
      </c>
      <c r="E252">
        <v>3.7</v>
      </c>
      <c r="F252">
        <v>0</v>
      </c>
      <c r="G252">
        <v>1</v>
      </c>
      <c r="H252">
        <v>2</v>
      </c>
      <c r="I252" s="7">
        <v>0</v>
      </c>
      <c r="J252" s="6">
        <v>0.58121239550609605</v>
      </c>
      <c r="K252" s="6">
        <v>1.20696041574525</v>
      </c>
      <c r="L252">
        <v>10000</v>
      </c>
      <c r="M252">
        <v>0.11130325661161899</v>
      </c>
    </row>
    <row r="253" spans="1:13" x14ac:dyDescent="0.25">
      <c r="A253">
        <v>2277</v>
      </c>
      <c r="B253" t="str">
        <f>"NDRG1"</f>
        <v>NDRG1</v>
      </c>
      <c r="C253" t="str">
        <f>""</f>
        <v/>
      </c>
      <c r="D253">
        <v>33.65</v>
      </c>
      <c r="E253">
        <v>13.1</v>
      </c>
      <c r="F253">
        <v>0</v>
      </c>
      <c r="G253">
        <v>1</v>
      </c>
      <c r="H253">
        <v>2</v>
      </c>
      <c r="I253" s="7">
        <v>0</v>
      </c>
      <c r="J253" s="6">
        <v>0.58121239550609605</v>
      </c>
      <c r="K253" s="6">
        <v>1.20696041574525</v>
      </c>
      <c r="L253">
        <v>10000</v>
      </c>
      <c r="M253">
        <v>0.11130325661161899</v>
      </c>
    </row>
    <row r="254" spans="1:13" x14ac:dyDescent="0.25">
      <c r="A254">
        <v>2285</v>
      </c>
      <c r="B254" t="str">
        <f>"ANKS1A"</f>
        <v>ANKS1A</v>
      </c>
      <c r="C254" t="str">
        <f>""</f>
        <v/>
      </c>
      <c r="D254">
        <v>123.11</v>
      </c>
      <c r="E254">
        <v>1.1000000000000001</v>
      </c>
      <c r="F254">
        <v>0</v>
      </c>
      <c r="G254">
        <v>1</v>
      </c>
      <c r="H254">
        <v>2</v>
      </c>
      <c r="I254" s="7">
        <v>0</v>
      </c>
      <c r="J254" s="6">
        <v>0.58121239550609605</v>
      </c>
      <c r="K254" s="6">
        <v>1.20696041574525</v>
      </c>
      <c r="L254">
        <v>10000</v>
      </c>
      <c r="M254">
        <v>0.11130325661161899</v>
      </c>
    </row>
    <row r="255" spans="1:13" x14ac:dyDescent="0.25">
      <c r="A255">
        <v>2428</v>
      </c>
      <c r="B255" t="str">
        <f>"FBXL18"</f>
        <v>FBXL18</v>
      </c>
      <c r="C255" t="str">
        <f>""</f>
        <v/>
      </c>
      <c r="D255">
        <v>73.158000000000001</v>
      </c>
      <c r="E255">
        <v>5.7</v>
      </c>
      <c r="F255">
        <v>0</v>
      </c>
      <c r="G255">
        <v>1</v>
      </c>
      <c r="H255">
        <v>2</v>
      </c>
      <c r="I255" s="7">
        <v>0</v>
      </c>
      <c r="J255" s="6">
        <v>0.58121239550609605</v>
      </c>
      <c r="K255" s="6">
        <v>1.20696041574525</v>
      </c>
      <c r="L255">
        <v>10000</v>
      </c>
      <c r="M255">
        <v>0.11130325661161899</v>
      </c>
    </row>
    <row r="256" spans="1:13" x14ac:dyDescent="0.25">
      <c r="A256">
        <v>2552</v>
      </c>
      <c r="B256" t="str">
        <f>"FUCA2"</f>
        <v>FUCA2</v>
      </c>
      <c r="C256" t="str">
        <f>""</f>
        <v/>
      </c>
      <c r="D256">
        <v>54.066000000000003</v>
      </c>
      <c r="E256">
        <v>10.5</v>
      </c>
      <c r="F256">
        <v>0</v>
      </c>
      <c r="G256">
        <v>1</v>
      </c>
      <c r="H256">
        <v>2</v>
      </c>
      <c r="I256" s="7">
        <v>0</v>
      </c>
      <c r="J256" s="6">
        <v>0.58121239550609605</v>
      </c>
      <c r="K256" s="6">
        <v>1.20696041574525</v>
      </c>
      <c r="L256">
        <v>10000</v>
      </c>
      <c r="M256">
        <v>0.11130325661161899</v>
      </c>
    </row>
    <row r="257" spans="1:13" x14ac:dyDescent="0.25">
      <c r="A257">
        <v>2784</v>
      </c>
      <c r="B257" t="str">
        <f>"AAAS"</f>
        <v>AAAS</v>
      </c>
      <c r="C257" t="str">
        <f>""</f>
        <v/>
      </c>
      <c r="D257">
        <v>55.813000000000002</v>
      </c>
      <c r="E257">
        <v>4.5</v>
      </c>
      <c r="F257">
        <v>0</v>
      </c>
      <c r="G257">
        <v>1</v>
      </c>
      <c r="H257">
        <v>2</v>
      </c>
      <c r="I257" s="7">
        <v>0</v>
      </c>
      <c r="J257" s="6">
        <v>0.58121239550609605</v>
      </c>
      <c r="K257" s="6">
        <v>1.20696041574525</v>
      </c>
      <c r="L257">
        <v>10000</v>
      </c>
      <c r="M257">
        <v>0.11130325661161899</v>
      </c>
    </row>
    <row r="258" spans="1:13" x14ac:dyDescent="0.25">
      <c r="A258">
        <v>2786</v>
      </c>
      <c r="B258" t="str">
        <f>"STRN4"</f>
        <v>STRN4</v>
      </c>
      <c r="C258" t="str">
        <f>""</f>
        <v/>
      </c>
      <c r="D258">
        <v>80.594999999999999</v>
      </c>
      <c r="E258">
        <v>7.4</v>
      </c>
      <c r="F258">
        <v>0</v>
      </c>
      <c r="G258">
        <v>1</v>
      </c>
      <c r="H258">
        <v>2</v>
      </c>
      <c r="I258" s="7">
        <v>0</v>
      </c>
      <c r="J258" s="6">
        <v>0.58121239550609605</v>
      </c>
      <c r="K258" s="6">
        <v>1.20696041574525</v>
      </c>
      <c r="L258">
        <v>10000</v>
      </c>
      <c r="M258">
        <v>0.11130325661161899</v>
      </c>
    </row>
    <row r="259" spans="1:13" x14ac:dyDescent="0.25">
      <c r="A259">
        <v>2827</v>
      </c>
      <c r="B259" t="str">
        <f>"ARL8B"</f>
        <v>ARL8B</v>
      </c>
      <c r="C259" t="str">
        <f>""</f>
        <v/>
      </c>
      <c r="D259">
        <v>21.539000000000001</v>
      </c>
      <c r="E259">
        <v>26.9</v>
      </c>
      <c r="F259">
        <v>0</v>
      </c>
      <c r="G259">
        <v>1</v>
      </c>
      <c r="H259">
        <v>2</v>
      </c>
      <c r="I259" s="7">
        <v>0</v>
      </c>
      <c r="J259" s="6">
        <v>0.58121239550609605</v>
      </c>
      <c r="K259" s="6">
        <v>1.20696041574525</v>
      </c>
      <c r="L259">
        <v>10000</v>
      </c>
      <c r="M259">
        <v>0.11130325661161899</v>
      </c>
    </row>
    <row r="260" spans="1:13" x14ac:dyDescent="0.25">
      <c r="A260">
        <v>2828</v>
      </c>
      <c r="B260" t="str">
        <f>"FAIM"</f>
        <v>FAIM</v>
      </c>
      <c r="C260" t="str">
        <f>""</f>
        <v/>
      </c>
      <c r="D260">
        <v>20.215</v>
      </c>
      <c r="E260">
        <v>8.4</v>
      </c>
      <c r="F260">
        <v>0</v>
      </c>
      <c r="G260">
        <v>1</v>
      </c>
      <c r="H260">
        <v>2</v>
      </c>
      <c r="I260" s="7">
        <v>0</v>
      </c>
      <c r="J260" s="6">
        <v>0.58121239550609605</v>
      </c>
      <c r="K260" s="6">
        <v>1.20696041574525</v>
      </c>
      <c r="L260">
        <v>10000</v>
      </c>
      <c r="M260">
        <v>0.11130325661161899</v>
      </c>
    </row>
    <row r="261" spans="1:13" x14ac:dyDescent="0.25">
      <c r="A261">
        <v>3088</v>
      </c>
      <c r="B261" t="str">
        <f>"TMED5"</f>
        <v>TMED5</v>
      </c>
      <c r="C261" t="str">
        <f>""</f>
        <v/>
      </c>
      <c r="D261">
        <v>21.727</v>
      </c>
      <c r="E261">
        <v>5.2</v>
      </c>
      <c r="F261">
        <v>0</v>
      </c>
      <c r="G261">
        <v>1</v>
      </c>
      <c r="H261">
        <v>2</v>
      </c>
      <c r="I261" s="7">
        <v>0</v>
      </c>
      <c r="J261" s="6">
        <v>0.58121239550609605</v>
      </c>
      <c r="K261" s="6">
        <v>1.20696041574525</v>
      </c>
      <c r="L261">
        <v>10000</v>
      </c>
      <c r="M261">
        <v>0.11130325661161899</v>
      </c>
    </row>
    <row r="262" spans="1:13" x14ac:dyDescent="0.25">
      <c r="A262">
        <v>2927</v>
      </c>
      <c r="B262" t="str">
        <f>"SEL1L"</f>
        <v>SEL1L</v>
      </c>
      <c r="C262" t="str">
        <f>""</f>
        <v/>
      </c>
      <c r="D262">
        <v>33.53</v>
      </c>
      <c r="E262">
        <v>5.6</v>
      </c>
      <c r="F262">
        <v>0</v>
      </c>
      <c r="G262">
        <v>2</v>
      </c>
      <c r="H262">
        <v>1</v>
      </c>
      <c r="I262" s="7">
        <v>0</v>
      </c>
      <c r="J262" s="6">
        <v>1.1624247910121901</v>
      </c>
      <c r="K262" s="6">
        <v>0.60348020787262302</v>
      </c>
      <c r="L262">
        <v>10000</v>
      </c>
      <c r="M262">
        <v>0.11130325950108901</v>
      </c>
    </row>
    <row r="263" spans="1:13" x14ac:dyDescent="0.25">
      <c r="A263">
        <v>518</v>
      </c>
      <c r="B263" t="str">
        <f>"CAPNS1"</f>
        <v>CAPNS1</v>
      </c>
      <c r="C263" t="str">
        <f>""</f>
        <v/>
      </c>
      <c r="D263">
        <v>28.315000000000001</v>
      </c>
      <c r="E263">
        <v>23.1</v>
      </c>
      <c r="F263">
        <v>0</v>
      </c>
      <c r="G263">
        <v>2</v>
      </c>
      <c r="H263">
        <v>1</v>
      </c>
      <c r="I263" s="7">
        <v>0</v>
      </c>
      <c r="J263" s="6">
        <v>1.1624247910121901</v>
      </c>
      <c r="K263" s="6">
        <v>0.60348020787262302</v>
      </c>
      <c r="L263">
        <v>10000</v>
      </c>
      <c r="M263">
        <v>0.11130325950108901</v>
      </c>
    </row>
    <row r="264" spans="1:13" x14ac:dyDescent="0.25">
      <c r="A264">
        <v>83</v>
      </c>
      <c r="B264" t="str">
        <f>"SLC35A4"</f>
        <v>SLC35A4</v>
      </c>
      <c r="C264" t="str">
        <f>""</f>
        <v/>
      </c>
      <c r="D264">
        <v>11.132999999999999</v>
      </c>
      <c r="E264">
        <v>30.1</v>
      </c>
      <c r="F264">
        <v>0</v>
      </c>
      <c r="G264">
        <v>2</v>
      </c>
      <c r="H264">
        <v>1</v>
      </c>
      <c r="I264" s="7">
        <v>0</v>
      </c>
      <c r="J264" s="6">
        <v>1.1624247910121901</v>
      </c>
      <c r="K264" s="6">
        <v>0.60348020787262302</v>
      </c>
      <c r="L264">
        <v>10000</v>
      </c>
      <c r="M264">
        <v>0.11130325950108901</v>
      </c>
    </row>
    <row r="265" spans="1:13" x14ac:dyDescent="0.25">
      <c r="A265">
        <v>159</v>
      </c>
      <c r="B265" t="str">
        <f>"GAK"</f>
        <v>GAK</v>
      </c>
      <c r="C265" t="str">
        <f>"GAK"</f>
        <v>GAK</v>
      </c>
      <c r="D265">
        <v>134.46</v>
      </c>
      <c r="E265">
        <v>1</v>
      </c>
      <c r="F265">
        <v>0</v>
      </c>
      <c r="G265">
        <v>2</v>
      </c>
      <c r="H265">
        <v>1</v>
      </c>
      <c r="I265" s="7">
        <v>0</v>
      </c>
      <c r="J265" s="6">
        <v>1.1624247910121901</v>
      </c>
      <c r="K265" s="6">
        <v>0.60348020787262302</v>
      </c>
      <c r="L265">
        <v>10000</v>
      </c>
      <c r="M265">
        <v>0.11130325950108901</v>
      </c>
    </row>
    <row r="266" spans="1:13" x14ac:dyDescent="0.25">
      <c r="A266">
        <v>205</v>
      </c>
      <c r="B266" t="str">
        <f>"DYNC1LI2"</f>
        <v>DYNC1LI2</v>
      </c>
      <c r="C266" t="str">
        <f>""</f>
        <v/>
      </c>
      <c r="D266">
        <v>45.003999999999998</v>
      </c>
      <c r="E266">
        <v>3.6</v>
      </c>
      <c r="F266">
        <v>0</v>
      </c>
      <c r="G266">
        <v>2</v>
      </c>
      <c r="H266">
        <v>1</v>
      </c>
      <c r="I266" s="7">
        <v>0</v>
      </c>
      <c r="J266" s="6">
        <v>1.1624247910121901</v>
      </c>
      <c r="K266" s="6">
        <v>0.60348020787262302</v>
      </c>
      <c r="L266">
        <v>10000</v>
      </c>
      <c r="M266">
        <v>0.11130325950108901</v>
      </c>
    </row>
    <row r="267" spans="1:13" x14ac:dyDescent="0.25">
      <c r="A267">
        <v>285</v>
      </c>
      <c r="B267" t="str">
        <f>"CCDC22"</f>
        <v>CCDC22</v>
      </c>
      <c r="C267" t="str">
        <f>""</f>
        <v/>
      </c>
      <c r="D267">
        <v>70.754999999999995</v>
      </c>
      <c r="E267">
        <v>2.2000000000000002</v>
      </c>
      <c r="F267">
        <v>0</v>
      </c>
      <c r="G267">
        <v>2</v>
      </c>
      <c r="H267">
        <v>1</v>
      </c>
      <c r="I267" s="7">
        <v>0</v>
      </c>
      <c r="J267" s="6">
        <v>1.1624247910121901</v>
      </c>
      <c r="K267" s="6">
        <v>0.60348020787262302</v>
      </c>
      <c r="L267">
        <v>10000</v>
      </c>
      <c r="M267">
        <v>0.11130325950108901</v>
      </c>
    </row>
    <row r="268" spans="1:13" x14ac:dyDescent="0.25">
      <c r="A268">
        <v>288</v>
      </c>
      <c r="B268" t="str">
        <f>"EDF1"</f>
        <v>EDF1</v>
      </c>
      <c r="C268" t="str">
        <f>""</f>
        <v/>
      </c>
      <c r="D268">
        <v>15.48</v>
      </c>
      <c r="E268">
        <v>8.6</v>
      </c>
      <c r="F268">
        <v>0</v>
      </c>
      <c r="G268">
        <v>2</v>
      </c>
      <c r="H268">
        <v>1</v>
      </c>
      <c r="I268" s="7">
        <v>0</v>
      </c>
      <c r="J268" s="6">
        <v>1.1624247910121901</v>
      </c>
      <c r="K268" s="6">
        <v>0.60348020787262302</v>
      </c>
      <c r="L268">
        <v>10000</v>
      </c>
      <c r="M268">
        <v>0.11130325950108901</v>
      </c>
    </row>
    <row r="269" spans="1:13" x14ac:dyDescent="0.25">
      <c r="A269">
        <v>368</v>
      </c>
      <c r="B269" t="str">
        <f>"GFPT2"</f>
        <v>GFPT2</v>
      </c>
      <c r="C269" t="str">
        <f>""</f>
        <v/>
      </c>
      <c r="D269">
        <v>76.930000000000007</v>
      </c>
      <c r="E269">
        <v>2.8</v>
      </c>
      <c r="F269">
        <v>0</v>
      </c>
      <c r="G269">
        <v>2</v>
      </c>
      <c r="H269">
        <v>1</v>
      </c>
      <c r="I269" s="7">
        <v>0</v>
      </c>
      <c r="J269" s="6">
        <v>1.1624247910121901</v>
      </c>
      <c r="K269" s="6">
        <v>0.60348020787262302</v>
      </c>
      <c r="L269">
        <v>10000</v>
      </c>
      <c r="M269">
        <v>0.11130325950108901</v>
      </c>
    </row>
    <row r="270" spans="1:13" x14ac:dyDescent="0.25">
      <c r="A270">
        <v>386</v>
      </c>
      <c r="B270" t="str">
        <f>"GABARAP"</f>
        <v>GABARAP</v>
      </c>
      <c r="C270" t="str">
        <f>""</f>
        <v/>
      </c>
      <c r="D270">
        <v>13.917999999999999</v>
      </c>
      <c r="E270">
        <v>9.4</v>
      </c>
      <c r="F270">
        <v>0</v>
      </c>
      <c r="G270">
        <v>2</v>
      </c>
      <c r="H270">
        <v>1</v>
      </c>
      <c r="I270" s="7">
        <v>0</v>
      </c>
      <c r="J270" s="6">
        <v>1.1624247910121901</v>
      </c>
      <c r="K270" s="6">
        <v>0.60348020787262302</v>
      </c>
      <c r="L270">
        <v>10000</v>
      </c>
      <c r="M270">
        <v>0.11130325950108901</v>
      </c>
    </row>
    <row r="271" spans="1:13" x14ac:dyDescent="0.25">
      <c r="A271">
        <v>419</v>
      </c>
      <c r="B271" t="str">
        <f>"OXSR1"</f>
        <v>OXSR1</v>
      </c>
      <c r="C271" t="str">
        <f>"OXSR1"</f>
        <v>OXSR1</v>
      </c>
      <c r="D271">
        <v>58.021999999999998</v>
      </c>
      <c r="E271">
        <v>4.4000000000000004</v>
      </c>
      <c r="F271">
        <v>0</v>
      </c>
      <c r="G271">
        <v>2</v>
      </c>
      <c r="H271">
        <v>1</v>
      </c>
      <c r="I271" s="7">
        <v>0</v>
      </c>
      <c r="J271" s="6">
        <v>1.1624247910121901</v>
      </c>
      <c r="K271" s="6">
        <v>0.60348020787262302</v>
      </c>
      <c r="L271">
        <v>10000</v>
      </c>
      <c r="M271">
        <v>0.11130325950108901</v>
      </c>
    </row>
    <row r="272" spans="1:13" x14ac:dyDescent="0.25">
      <c r="A272">
        <v>574</v>
      </c>
      <c r="B272" t="str">
        <f>"HEXB"</f>
        <v>HEXB</v>
      </c>
      <c r="C272" t="str">
        <f>""</f>
        <v/>
      </c>
      <c r="D272">
        <v>63.110999999999997</v>
      </c>
      <c r="E272">
        <v>3.8</v>
      </c>
      <c r="F272">
        <v>0</v>
      </c>
      <c r="G272">
        <v>2</v>
      </c>
      <c r="H272">
        <v>1</v>
      </c>
      <c r="I272" s="7">
        <v>0</v>
      </c>
      <c r="J272" s="6">
        <v>1.1624247910121901</v>
      </c>
      <c r="K272" s="6">
        <v>0.60348020787262302</v>
      </c>
      <c r="L272">
        <v>10000</v>
      </c>
      <c r="M272">
        <v>0.11130325950108901</v>
      </c>
    </row>
    <row r="273" spans="1:13" x14ac:dyDescent="0.25">
      <c r="A273">
        <v>763</v>
      </c>
      <c r="B273" t="str">
        <f>"RAB5A"</f>
        <v>RAB5A</v>
      </c>
      <c r="C273" t="str">
        <f>""</f>
        <v/>
      </c>
      <c r="D273">
        <v>22.178000000000001</v>
      </c>
      <c r="E273">
        <v>11.4</v>
      </c>
      <c r="F273">
        <v>0</v>
      </c>
      <c r="G273">
        <v>2</v>
      </c>
      <c r="H273">
        <v>1</v>
      </c>
      <c r="I273" s="7">
        <v>0</v>
      </c>
      <c r="J273" s="6">
        <v>1.1624247910121901</v>
      </c>
      <c r="K273" s="6">
        <v>0.60348020787262302</v>
      </c>
      <c r="L273">
        <v>10000</v>
      </c>
      <c r="M273">
        <v>0.11130325950108901</v>
      </c>
    </row>
    <row r="274" spans="1:13" x14ac:dyDescent="0.25">
      <c r="A274">
        <v>862</v>
      </c>
      <c r="B274" t="str">
        <f>"ABCD3"</f>
        <v>ABCD3</v>
      </c>
      <c r="C274" t="str">
        <f>""</f>
        <v/>
      </c>
      <c r="D274">
        <v>75.474999999999994</v>
      </c>
      <c r="E274">
        <v>13.1</v>
      </c>
      <c r="F274">
        <v>0</v>
      </c>
      <c r="G274">
        <v>2</v>
      </c>
      <c r="H274">
        <v>1</v>
      </c>
      <c r="I274" s="7">
        <v>0</v>
      </c>
      <c r="J274" s="6">
        <v>1.1624247910121901</v>
      </c>
      <c r="K274" s="6">
        <v>0.60348020787262302</v>
      </c>
      <c r="L274">
        <v>10000</v>
      </c>
      <c r="M274">
        <v>0.11130325950108901</v>
      </c>
    </row>
    <row r="275" spans="1:13" x14ac:dyDescent="0.25">
      <c r="A275">
        <v>1326</v>
      </c>
      <c r="B275" t="str">
        <f>"CNBP"</f>
        <v>CNBP</v>
      </c>
      <c r="C275" t="str">
        <f>""</f>
        <v/>
      </c>
      <c r="D275">
        <v>18.742000000000001</v>
      </c>
      <c r="E275">
        <v>14.1</v>
      </c>
      <c r="F275">
        <v>0</v>
      </c>
      <c r="G275">
        <v>2</v>
      </c>
      <c r="H275">
        <v>1</v>
      </c>
      <c r="I275" s="7">
        <v>0</v>
      </c>
      <c r="J275" s="6">
        <v>1.1624247910121901</v>
      </c>
      <c r="K275" s="6">
        <v>0.60348020787262302</v>
      </c>
      <c r="L275">
        <v>10000</v>
      </c>
      <c r="M275">
        <v>0.11130325950108901</v>
      </c>
    </row>
    <row r="276" spans="1:13" x14ac:dyDescent="0.25">
      <c r="A276">
        <v>1357</v>
      </c>
      <c r="B276" t="str">
        <f>"RPS21"</f>
        <v>RPS21</v>
      </c>
      <c r="C276" t="str">
        <f>""</f>
        <v/>
      </c>
      <c r="D276">
        <v>9.1113</v>
      </c>
      <c r="E276">
        <v>12</v>
      </c>
      <c r="F276">
        <v>0</v>
      </c>
      <c r="G276">
        <v>2</v>
      </c>
      <c r="H276">
        <v>1</v>
      </c>
      <c r="I276" s="7">
        <v>0</v>
      </c>
      <c r="J276" s="6">
        <v>1.1624247910121901</v>
      </c>
      <c r="K276" s="6">
        <v>0.60348020787262302</v>
      </c>
      <c r="L276">
        <v>10000</v>
      </c>
      <c r="M276">
        <v>0.11130325950108901</v>
      </c>
    </row>
    <row r="277" spans="1:13" x14ac:dyDescent="0.25">
      <c r="A277">
        <v>1493</v>
      </c>
      <c r="B277" t="str">
        <f>"NCBP1"</f>
        <v>NCBP1</v>
      </c>
      <c r="C277" t="str">
        <f>""</f>
        <v/>
      </c>
      <c r="D277">
        <v>91.837999999999994</v>
      </c>
      <c r="E277">
        <v>5.6</v>
      </c>
      <c r="F277">
        <v>0</v>
      </c>
      <c r="G277">
        <v>2</v>
      </c>
      <c r="H277">
        <v>1</v>
      </c>
      <c r="I277" s="7">
        <v>0</v>
      </c>
      <c r="J277" s="6">
        <v>1.1624247910121901</v>
      </c>
      <c r="K277" s="6">
        <v>0.60348020787262302</v>
      </c>
      <c r="L277">
        <v>10000</v>
      </c>
      <c r="M277">
        <v>0.11130325950108901</v>
      </c>
    </row>
    <row r="278" spans="1:13" x14ac:dyDescent="0.25">
      <c r="A278">
        <v>1502</v>
      </c>
      <c r="B278" t="str">
        <f>"KIF1A"</f>
        <v>KIF1A</v>
      </c>
      <c r="C278" t="str">
        <f>""</f>
        <v/>
      </c>
      <c r="D278">
        <v>191.06</v>
      </c>
      <c r="E278">
        <v>1.9</v>
      </c>
      <c r="F278">
        <v>0</v>
      </c>
      <c r="G278">
        <v>2</v>
      </c>
      <c r="H278">
        <v>1</v>
      </c>
      <c r="I278" s="7">
        <v>0</v>
      </c>
      <c r="J278" s="6">
        <v>1.1624247910121901</v>
      </c>
      <c r="K278" s="6">
        <v>0.60348020787262302</v>
      </c>
      <c r="L278">
        <v>10000</v>
      </c>
      <c r="M278">
        <v>0.11130325950108901</v>
      </c>
    </row>
    <row r="279" spans="1:13" x14ac:dyDescent="0.25">
      <c r="A279">
        <v>1655</v>
      </c>
      <c r="B279" t="str">
        <f>"PUM1"</f>
        <v>PUM1</v>
      </c>
      <c r="C279" t="str">
        <f>""</f>
        <v/>
      </c>
      <c r="D279">
        <v>119.56</v>
      </c>
      <c r="E279">
        <v>2.1</v>
      </c>
      <c r="F279">
        <v>0</v>
      </c>
      <c r="G279">
        <v>2</v>
      </c>
      <c r="H279">
        <v>1</v>
      </c>
      <c r="I279" s="7">
        <v>0</v>
      </c>
      <c r="J279" s="6">
        <v>1.1624247910121901</v>
      </c>
      <c r="K279" s="6">
        <v>0.60348020787262302</v>
      </c>
      <c r="L279">
        <v>10000</v>
      </c>
      <c r="M279">
        <v>0.11130325950108901</v>
      </c>
    </row>
    <row r="280" spans="1:13" x14ac:dyDescent="0.25">
      <c r="A280">
        <v>1884</v>
      </c>
      <c r="B280" t="str">
        <f>"CACHD1"</f>
        <v>CACHD1</v>
      </c>
      <c r="C280" t="str">
        <f>""</f>
        <v/>
      </c>
      <c r="D280">
        <v>142.29</v>
      </c>
      <c r="E280">
        <v>0.9</v>
      </c>
      <c r="F280">
        <v>0</v>
      </c>
      <c r="G280">
        <v>2</v>
      </c>
      <c r="H280">
        <v>1</v>
      </c>
      <c r="I280" s="7">
        <v>0</v>
      </c>
      <c r="J280" s="6">
        <v>1.1624247910121901</v>
      </c>
      <c r="K280" s="6">
        <v>0.60348020787262302</v>
      </c>
      <c r="L280">
        <v>10000</v>
      </c>
      <c r="M280">
        <v>0.11130325950108901</v>
      </c>
    </row>
    <row r="281" spans="1:13" x14ac:dyDescent="0.25">
      <c r="A281">
        <v>1937</v>
      </c>
      <c r="B281" t="str">
        <f>"TTC27"</f>
        <v>TTC27</v>
      </c>
      <c r="C281" t="str">
        <f>""</f>
        <v/>
      </c>
      <c r="D281">
        <v>96.631</v>
      </c>
      <c r="E281">
        <v>3.1</v>
      </c>
      <c r="F281">
        <v>0</v>
      </c>
      <c r="G281">
        <v>2</v>
      </c>
      <c r="H281">
        <v>1</v>
      </c>
      <c r="I281" s="7">
        <v>0</v>
      </c>
      <c r="J281" s="6">
        <v>1.1624247910121901</v>
      </c>
      <c r="K281" s="6">
        <v>0.60348020787262302</v>
      </c>
      <c r="L281">
        <v>10000</v>
      </c>
      <c r="M281">
        <v>0.11130325950108901</v>
      </c>
    </row>
    <row r="282" spans="1:13" x14ac:dyDescent="0.25">
      <c r="A282">
        <v>2003</v>
      </c>
      <c r="B282" t="str">
        <f>"DHX30"</f>
        <v>DHX30</v>
      </c>
      <c r="C282" t="str">
        <f>""</f>
        <v/>
      </c>
      <c r="D282">
        <v>129.44</v>
      </c>
      <c r="E282">
        <v>4.8</v>
      </c>
      <c r="F282">
        <v>0</v>
      </c>
      <c r="G282">
        <v>2</v>
      </c>
      <c r="H282">
        <v>1</v>
      </c>
      <c r="I282" s="7">
        <v>0</v>
      </c>
      <c r="J282" s="6">
        <v>1.1624247910121901</v>
      </c>
      <c r="K282" s="6">
        <v>0.60348020787262302</v>
      </c>
      <c r="L282">
        <v>10000</v>
      </c>
      <c r="M282">
        <v>0.11130325950108901</v>
      </c>
    </row>
    <row r="283" spans="1:13" x14ac:dyDescent="0.25">
      <c r="A283">
        <v>2055</v>
      </c>
      <c r="B283" t="str">
        <f>"ABCA13"</f>
        <v>ABCA13</v>
      </c>
      <c r="C283" t="str">
        <f>""</f>
        <v/>
      </c>
      <c r="D283">
        <v>576.15</v>
      </c>
      <c r="E283">
        <v>0.6</v>
      </c>
      <c r="F283">
        <v>0</v>
      </c>
      <c r="G283">
        <v>2</v>
      </c>
      <c r="H283">
        <v>1</v>
      </c>
      <c r="I283" s="7">
        <v>0</v>
      </c>
      <c r="J283" s="6">
        <v>1.1624247910121901</v>
      </c>
      <c r="K283" s="6">
        <v>0.60348020787262302</v>
      </c>
      <c r="L283">
        <v>10000</v>
      </c>
      <c r="M283">
        <v>0.11130325950108901</v>
      </c>
    </row>
    <row r="284" spans="1:13" x14ac:dyDescent="0.25">
      <c r="A284">
        <v>2092</v>
      </c>
      <c r="B284" t="str">
        <f>"FOXRED2"</f>
        <v>FOXRED2</v>
      </c>
      <c r="C284" t="str">
        <f>""</f>
        <v/>
      </c>
      <c r="D284">
        <v>77.790000000000006</v>
      </c>
      <c r="E284">
        <v>1.8</v>
      </c>
      <c r="F284">
        <v>0</v>
      </c>
      <c r="G284">
        <v>2</v>
      </c>
      <c r="H284">
        <v>1</v>
      </c>
      <c r="I284" s="7">
        <v>0</v>
      </c>
      <c r="J284" s="6">
        <v>1.1624247910121901</v>
      </c>
      <c r="K284" s="6">
        <v>0.60348020787262302</v>
      </c>
      <c r="L284">
        <v>10000</v>
      </c>
      <c r="M284">
        <v>0.11130325950108901</v>
      </c>
    </row>
    <row r="285" spans="1:13" x14ac:dyDescent="0.25">
      <c r="A285">
        <v>2200</v>
      </c>
      <c r="B285" t="str">
        <f>"CASC5"</f>
        <v>CASC5</v>
      </c>
      <c r="C285" t="str">
        <f>""</f>
        <v/>
      </c>
      <c r="D285">
        <v>262.63</v>
      </c>
      <c r="E285">
        <v>0.9</v>
      </c>
      <c r="F285">
        <v>0</v>
      </c>
      <c r="G285">
        <v>2</v>
      </c>
      <c r="H285">
        <v>1</v>
      </c>
      <c r="I285" s="7">
        <v>0</v>
      </c>
      <c r="J285" s="6">
        <v>1.1624247910121901</v>
      </c>
      <c r="K285" s="6">
        <v>0.60348020787262302</v>
      </c>
      <c r="L285">
        <v>10000</v>
      </c>
      <c r="M285">
        <v>0.11130325950108901</v>
      </c>
    </row>
    <row r="286" spans="1:13" x14ac:dyDescent="0.25">
      <c r="A286">
        <v>2407</v>
      </c>
      <c r="B286" t="str">
        <f>"SCLY"</f>
        <v>SCLY</v>
      </c>
      <c r="C286" t="str">
        <f>""</f>
        <v/>
      </c>
      <c r="D286">
        <v>48.148000000000003</v>
      </c>
      <c r="E286">
        <v>11.9</v>
      </c>
      <c r="F286">
        <v>0</v>
      </c>
      <c r="G286">
        <v>2</v>
      </c>
      <c r="H286">
        <v>1</v>
      </c>
      <c r="I286" s="7">
        <v>0</v>
      </c>
      <c r="J286" s="6">
        <v>1.1624247910121901</v>
      </c>
      <c r="K286" s="6">
        <v>0.60348020787262302</v>
      </c>
      <c r="L286">
        <v>10000</v>
      </c>
      <c r="M286">
        <v>0.11130325950108901</v>
      </c>
    </row>
    <row r="287" spans="1:13" x14ac:dyDescent="0.25">
      <c r="A287">
        <v>2442</v>
      </c>
      <c r="B287" t="str">
        <f>"SMG1"</f>
        <v>SMG1</v>
      </c>
      <c r="C287" t="str">
        <f>"SMG1"</f>
        <v>SMG1</v>
      </c>
      <c r="D287">
        <v>340.67</v>
      </c>
      <c r="E287">
        <v>0.5</v>
      </c>
      <c r="F287">
        <v>0</v>
      </c>
      <c r="G287">
        <v>2</v>
      </c>
      <c r="H287">
        <v>1</v>
      </c>
      <c r="I287" s="7">
        <v>0</v>
      </c>
      <c r="J287" s="6">
        <v>1.1624247910121901</v>
      </c>
      <c r="K287" s="6">
        <v>0.60348020787262302</v>
      </c>
      <c r="L287">
        <v>10000</v>
      </c>
      <c r="M287">
        <v>0.11130325950108901</v>
      </c>
    </row>
    <row r="288" spans="1:13" x14ac:dyDescent="0.25">
      <c r="A288">
        <v>2930</v>
      </c>
      <c r="B288" t="str">
        <f>"TJP2"</f>
        <v>TJP2</v>
      </c>
      <c r="C288" t="str">
        <f>""</f>
        <v/>
      </c>
      <c r="D288">
        <v>130.44</v>
      </c>
      <c r="E288">
        <v>4.9000000000000004</v>
      </c>
      <c r="F288">
        <v>0</v>
      </c>
      <c r="G288">
        <v>2</v>
      </c>
      <c r="H288">
        <v>1</v>
      </c>
      <c r="I288" s="7">
        <v>0</v>
      </c>
      <c r="J288" s="6">
        <v>1.1624247910121901</v>
      </c>
      <c r="K288" s="6">
        <v>0.60348020787262302</v>
      </c>
      <c r="L288">
        <v>10000</v>
      </c>
      <c r="M288">
        <v>0.11130325950108901</v>
      </c>
    </row>
    <row r="289" spans="1:13" x14ac:dyDescent="0.25">
      <c r="A289">
        <v>3062</v>
      </c>
      <c r="B289" t="str">
        <f>"MRPS28"</f>
        <v>MRPS28</v>
      </c>
      <c r="C289" t="str">
        <f>""</f>
        <v/>
      </c>
      <c r="D289">
        <v>20.843</v>
      </c>
      <c r="E289">
        <v>5.3</v>
      </c>
      <c r="F289">
        <v>0</v>
      </c>
      <c r="G289">
        <v>2</v>
      </c>
      <c r="H289">
        <v>1</v>
      </c>
      <c r="I289" s="7">
        <v>0</v>
      </c>
      <c r="J289" s="6">
        <v>1.1624247910121901</v>
      </c>
      <c r="K289" s="6">
        <v>0.60348020787262302</v>
      </c>
      <c r="L289">
        <v>10000</v>
      </c>
      <c r="M289">
        <v>0.11130325950108901</v>
      </c>
    </row>
    <row r="290" spans="1:13" x14ac:dyDescent="0.25">
      <c r="A290">
        <v>1016</v>
      </c>
      <c r="B290" t="str">
        <f>"STAT1"</f>
        <v>STAT1</v>
      </c>
      <c r="C290" t="str">
        <f>""</f>
        <v/>
      </c>
      <c r="D290">
        <v>87.334000000000003</v>
      </c>
      <c r="E290">
        <v>10.1</v>
      </c>
      <c r="F290">
        <v>4</v>
      </c>
      <c r="G290">
        <v>1</v>
      </c>
      <c r="H290">
        <v>1</v>
      </c>
      <c r="I290" s="7">
        <v>2.2433272535772102</v>
      </c>
      <c r="J290" s="6">
        <v>0.58121239550609605</v>
      </c>
      <c r="K290" s="6">
        <v>0.60348020787262302</v>
      </c>
      <c r="L290">
        <v>-3.7871887562719402</v>
      </c>
      <c r="M290">
        <v>0.111683754883085</v>
      </c>
    </row>
    <row r="291" spans="1:13" x14ac:dyDescent="0.25">
      <c r="A291">
        <v>1485</v>
      </c>
      <c r="B291" t="str">
        <f>"LGALS3BP"</f>
        <v>LGALS3BP</v>
      </c>
      <c r="C291" t="str">
        <f>""</f>
        <v/>
      </c>
      <c r="D291">
        <v>65.33</v>
      </c>
      <c r="E291">
        <v>6.3</v>
      </c>
      <c r="F291">
        <v>4</v>
      </c>
      <c r="G291">
        <v>1</v>
      </c>
      <c r="H291">
        <v>1</v>
      </c>
      <c r="I291" s="7">
        <v>2.2433272535772102</v>
      </c>
      <c r="J291" s="6">
        <v>0.58121239550609605</v>
      </c>
      <c r="K291" s="6">
        <v>0.60348020787262302</v>
      </c>
      <c r="L291">
        <v>-3.7871887562719402</v>
      </c>
      <c r="M291">
        <v>0.111683754883085</v>
      </c>
    </row>
    <row r="292" spans="1:13" x14ac:dyDescent="0.25">
      <c r="A292">
        <v>295</v>
      </c>
      <c r="B292" t="str">
        <f>"ABCB7"</f>
        <v>ABCB7</v>
      </c>
      <c r="C292" t="str">
        <f>""</f>
        <v/>
      </c>
      <c r="D292">
        <v>82.768000000000001</v>
      </c>
      <c r="E292">
        <v>3.3</v>
      </c>
      <c r="F292">
        <v>4</v>
      </c>
      <c r="G292">
        <v>1</v>
      </c>
      <c r="H292">
        <v>1</v>
      </c>
      <c r="I292" s="7">
        <v>2.2433272535772102</v>
      </c>
      <c r="J292" s="6">
        <v>0.58121239550609605</v>
      </c>
      <c r="K292" s="6">
        <v>0.60348020787262302</v>
      </c>
      <c r="L292">
        <v>-3.7871887562719402</v>
      </c>
      <c r="M292">
        <v>0.111683754883085</v>
      </c>
    </row>
    <row r="293" spans="1:13" x14ac:dyDescent="0.25">
      <c r="A293">
        <v>379</v>
      </c>
      <c r="B293" t="str">
        <f>"USP19"</f>
        <v>USP19</v>
      </c>
      <c r="C293" t="str">
        <f>""</f>
        <v/>
      </c>
      <c r="D293">
        <v>140.02000000000001</v>
      </c>
      <c r="E293">
        <v>1.6</v>
      </c>
      <c r="F293">
        <v>4</v>
      </c>
      <c r="G293">
        <v>1</v>
      </c>
      <c r="H293">
        <v>1</v>
      </c>
      <c r="I293" s="7">
        <v>2.2433272535772102</v>
      </c>
      <c r="J293" s="6">
        <v>0.58121239550609605</v>
      </c>
      <c r="K293" s="6">
        <v>0.60348020787262302</v>
      </c>
      <c r="L293">
        <v>-3.7871887562719402</v>
      </c>
      <c r="M293">
        <v>0.111683754883085</v>
      </c>
    </row>
    <row r="294" spans="1:13" x14ac:dyDescent="0.25">
      <c r="A294">
        <v>567</v>
      </c>
      <c r="B294" t="str">
        <f>"ACYP1"</f>
        <v>ACYP1</v>
      </c>
      <c r="C294" t="str">
        <f>""</f>
        <v/>
      </c>
      <c r="D294">
        <v>11.260999999999999</v>
      </c>
      <c r="E294">
        <v>13.1</v>
      </c>
      <c r="F294">
        <v>4</v>
      </c>
      <c r="G294">
        <v>1</v>
      </c>
      <c r="H294">
        <v>1</v>
      </c>
      <c r="I294" s="7">
        <v>2.2433272535772102</v>
      </c>
      <c r="J294" s="6">
        <v>0.58121239550609605</v>
      </c>
      <c r="K294" s="6">
        <v>0.60348020787262302</v>
      </c>
      <c r="L294">
        <v>-3.7871887562719402</v>
      </c>
      <c r="M294">
        <v>0.111683754883085</v>
      </c>
    </row>
    <row r="295" spans="1:13" x14ac:dyDescent="0.25">
      <c r="A295">
        <v>811</v>
      </c>
      <c r="B295" t="str">
        <f>"ATP2B4"</f>
        <v>ATP2B4</v>
      </c>
      <c r="C295" t="str">
        <f>""</f>
        <v/>
      </c>
      <c r="D295">
        <v>124.01</v>
      </c>
      <c r="E295">
        <v>8.6</v>
      </c>
      <c r="F295">
        <v>4</v>
      </c>
      <c r="G295">
        <v>1</v>
      </c>
      <c r="H295">
        <v>1</v>
      </c>
      <c r="I295" s="7">
        <v>2.2433272535772102</v>
      </c>
      <c r="J295" s="6">
        <v>0.58121239550609605</v>
      </c>
      <c r="K295" s="6">
        <v>0.60348020787262302</v>
      </c>
      <c r="L295">
        <v>-3.7871887562719402</v>
      </c>
      <c r="M295">
        <v>0.111683754883085</v>
      </c>
    </row>
    <row r="296" spans="1:13" x14ac:dyDescent="0.25">
      <c r="A296">
        <v>1862</v>
      </c>
      <c r="B296" t="str">
        <f>"UBR4"</f>
        <v>UBR4</v>
      </c>
      <c r="C296" t="str">
        <f>""</f>
        <v/>
      </c>
      <c r="D296">
        <v>571.85</v>
      </c>
      <c r="E296">
        <v>2.9</v>
      </c>
      <c r="F296">
        <v>6</v>
      </c>
      <c r="G296">
        <v>9</v>
      </c>
      <c r="H296">
        <v>14</v>
      </c>
      <c r="I296" s="7">
        <v>3.3649908803658102</v>
      </c>
      <c r="J296" s="6">
        <v>5.2309115595548699</v>
      </c>
      <c r="K296" s="6">
        <v>8.4487229102167198</v>
      </c>
      <c r="L296">
        <v>2.03264064541602</v>
      </c>
      <c r="M296">
        <v>0.111737157120507</v>
      </c>
    </row>
    <row r="297" spans="1:13" x14ac:dyDescent="0.25">
      <c r="A297">
        <v>1381</v>
      </c>
      <c r="B297" t="str">
        <f>"PRKDC"</f>
        <v>PRKDC</v>
      </c>
      <c r="C297" t="str">
        <f>"PRKDC"</f>
        <v>PRKDC</v>
      </c>
      <c r="D297">
        <v>469.08</v>
      </c>
      <c r="E297">
        <v>6.9</v>
      </c>
      <c r="F297">
        <v>40</v>
      </c>
      <c r="G297">
        <v>51</v>
      </c>
      <c r="H297">
        <v>50</v>
      </c>
      <c r="I297" s="7">
        <v>22.433272535772101</v>
      </c>
      <c r="J297" s="6">
        <v>29.6418321708109</v>
      </c>
      <c r="K297" s="6">
        <v>30.1740103936311</v>
      </c>
      <c r="L297">
        <v>1.33319475500197</v>
      </c>
      <c r="M297">
        <v>0.117868172007043</v>
      </c>
    </row>
    <row r="298" spans="1:13" x14ac:dyDescent="0.25">
      <c r="A298">
        <v>2617</v>
      </c>
      <c r="B298" t="str">
        <f>"API5"</f>
        <v>API5</v>
      </c>
      <c r="C298" t="str">
        <f>""</f>
        <v/>
      </c>
      <c r="D298">
        <v>57.908999999999999</v>
      </c>
      <c r="E298">
        <v>10.7</v>
      </c>
      <c r="F298">
        <v>4</v>
      </c>
      <c r="G298">
        <v>2</v>
      </c>
      <c r="H298">
        <v>0</v>
      </c>
      <c r="I298" s="7">
        <v>2.2433272535772102</v>
      </c>
      <c r="J298" s="6">
        <v>1.1624247910121901</v>
      </c>
      <c r="K298" s="6">
        <v>0</v>
      </c>
      <c r="L298">
        <v>-3.8597374572918501</v>
      </c>
      <c r="M298">
        <v>0.120014730161602</v>
      </c>
    </row>
    <row r="299" spans="1:13" x14ac:dyDescent="0.25">
      <c r="A299">
        <v>1192</v>
      </c>
      <c r="B299" t="str">
        <f>"THOP1"</f>
        <v>THOP1</v>
      </c>
      <c r="C299" t="str">
        <f>""</f>
        <v/>
      </c>
      <c r="D299">
        <v>78.838999999999999</v>
      </c>
      <c r="E299">
        <v>10.4</v>
      </c>
      <c r="F299">
        <v>12</v>
      </c>
      <c r="G299">
        <v>6</v>
      </c>
      <c r="H299">
        <v>6</v>
      </c>
      <c r="I299" s="7">
        <v>6.7299817607316301</v>
      </c>
      <c r="J299" s="6">
        <v>3.4872743730365801</v>
      </c>
      <c r="K299" s="6">
        <v>3.6208812472357401</v>
      </c>
      <c r="L299">
        <v>-1.8935943781359701</v>
      </c>
      <c r="M299">
        <v>0.122693576014606</v>
      </c>
    </row>
    <row r="300" spans="1:13" x14ac:dyDescent="0.25">
      <c r="A300">
        <v>888</v>
      </c>
      <c r="B300" t="str">
        <f>"PEBP1"</f>
        <v>PEBP1</v>
      </c>
      <c r="C300" t="str">
        <f>""</f>
        <v/>
      </c>
      <c r="D300">
        <v>21.056999999999999</v>
      </c>
      <c r="E300">
        <v>19.8</v>
      </c>
      <c r="F300">
        <v>3</v>
      </c>
      <c r="G300">
        <v>7</v>
      </c>
      <c r="H300">
        <v>7</v>
      </c>
      <c r="I300" s="7">
        <v>1.68249544018291</v>
      </c>
      <c r="J300" s="6">
        <v>4.0684867685426802</v>
      </c>
      <c r="K300" s="6">
        <v>4.2243614551083599</v>
      </c>
      <c r="L300">
        <v>2.4644489445836202</v>
      </c>
      <c r="M300">
        <v>0.122934489359402</v>
      </c>
    </row>
    <row r="301" spans="1:13" x14ac:dyDescent="0.25">
      <c r="A301">
        <v>1332</v>
      </c>
      <c r="B301" t="str">
        <f>"HIST1H4A"</f>
        <v>HIST1H4A</v>
      </c>
      <c r="C301" t="str">
        <f>""</f>
        <v/>
      </c>
      <c r="D301">
        <v>11.367000000000001</v>
      </c>
      <c r="E301">
        <v>23.3</v>
      </c>
      <c r="F301">
        <v>3</v>
      </c>
      <c r="G301">
        <v>6</v>
      </c>
      <c r="H301">
        <v>8</v>
      </c>
      <c r="I301" s="7">
        <v>1.68249544018291</v>
      </c>
      <c r="J301" s="6">
        <v>3.4872743730365801</v>
      </c>
      <c r="K301" s="6">
        <v>4.8278416629809797</v>
      </c>
      <c r="L301">
        <v>2.4710664401900599</v>
      </c>
      <c r="M301">
        <v>0.122994416128336</v>
      </c>
    </row>
    <row r="302" spans="1:13" x14ac:dyDescent="0.25">
      <c r="A302">
        <v>2006</v>
      </c>
      <c r="B302" t="str">
        <f>"GET4"</f>
        <v>GET4</v>
      </c>
      <c r="C302" t="str">
        <f>""</f>
        <v/>
      </c>
      <c r="D302">
        <v>36.503999999999998</v>
      </c>
      <c r="E302">
        <v>10.4</v>
      </c>
      <c r="F302">
        <v>9</v>
      </c>
      <c r="G302">
        <v>4</v>
      </c>
      <c r="H302">
        <v>4</v>
      </c>
      <c r="I302" s="7">
        <v>5.0474863205487202</v>
      </c>
      <c r="J302" s="6">
        <v>2.32484958202439</v>
      </c>
      <c r="K302" s="6">
        <v>2.4139208314904899</v>
      </c>
      <c r="L302">
        <v>-2.13029367540297</v>
      </c>
      <c r="M302">
        <v>0.123111319228075</v>
      </c>
    </row>
    <row r="303" spans="1:13" x14ac:dyDescent="0.25">
      <c r="A303">
        <v>8</v>
      </c>
      <c r="B303" t="str">
        <f>"TTC26"</f>
        <v>TTC26</v>
      </c>
      <c r="C303" t="str">
        <f>""</f>
        <v/>
      </c>
      <c r="D303">
        <v>56.351999999999997</v>
      </c>
      <c r="E303">
        <v>9.1999999999999993</v>
      </c>
      <c r="F303">
        <v>4</v>
      </c>
      <c r="G303">
        <v>0</v>
      </c>
      <c r="H303">
        <v>2</v>
      </c>
      <c r="I303" s="7">
        <v>2.2433272535772102</v>
      </c>
      <c r="J303" s="6">
        <v>0</v>
      </c>
      <c r="K303" s="6">
        <v>1.20696041574525</v>
      </c>
      <c r="L303">
        <v>-3.7173170293112698</v>
      </c>
      <c r="M303">
        <v>0.12385093717233001</v>
      </c>
    </row>
    <row r="304" spans="1:13" x14ac:dyDescent="0.25">
      <c r="A304">
        <v>1776</v>
      </c>
      <c r="B304" t="str">
        <f>"UBE2S"</f>
        <v>UBE2S</v>
      </c>
      <c r="C304" t="str">
        <f>""</f>
        <v/>
      </c>
      <c r="D304">
        <v>23.844999999999999</v>
      </c>
      <c r="E304">
        <v>14.9</v>
      </c>
      <c r="F304">
        <v>4</v>
      </c>
      <c r="G304">
        <v>0</v>
      </c>
      <c r="H304">
        <v>2</v>
      </c>
      <c r="I304" s="7">
        <v>2.2433272535772102</v>
      </c>
      <c r="J304" s="6">
        <v>0</v>
      </c>
      <c r="K304" s="6">
        <v>1.20696041574525</v>
      </c>
      <c r="L304">
        <v>-3.7173170293112698</v>
      </c>
      <c r="M304">
        <v>0.12385093717233001</v>
      </c>
    </row>
    <row r="305" spans="1:13" x14ac:dyDescent="0.25">
      <c r="A305">
        <v>2546</v>
      </c>
      <c r="B305" t="str">
        <f>"COPS4"</f>
        <v>COPS4</v>
      </c>
      <c r="C305" t="str">
        <f>""</f>
        <v/>
      </c>
      <c r="D305">
        <v>46.268000000000001</v>
      </c>
      <c r="E305">
        <v>12.1</v>
      </c>
      <c r="F305">
        <v>4</v>
      </c>
      <c r="G305">
        <v>0</v>
      </c>
      <c r="H305">
        <v>2</v>
      </c>
      <c r="I305" s="7">
        <v>2.2433272535772102</v>
      </c>
      <c r="J305" s="6">
        <v>0</v>
      </c>
      <c r="K305" s="6">
        <v>1.20696041574525</v>
      </c>
      <c r="L305">
        <v>-3.7173170293112698</v>
      </c>
      <c r="M305">
        <v>0.12385093717233001</v>
      </c>
    </row>
    <row r="306" spans="1:13" x14ac:dyDescent="0.25">
      <c r="A306">
        <v>575</v>
      </c>
      <c r="B306" t="str">
        <f>"PFN1"</f>
        <v>PFN1</v>
      </c>
      <c r="C306" t="str">
        <f>""</f>
        <v/>
      </c>
      <c r="D306">
        <v>15.054</v>
      </c>
      <c r="E306">
        <v>25</v>
      </c>
      <c r="F306">
        <v>5</v>
      </c>
      <c r="G306">
        <v>13</v>
      </c>
      <c r="H306">
        <v>7</v>
      </c>
      <c r="I306" s="7">
        <v>2.80415906697151</v>
      </c>
      <c r="J306" s="6">
        <v>7.5557611415792598</v>
      </c>
      <c r="K306" s="6">
        <v>4.2243614551083599</v>
      </c>
      <c r="L306">
        <v>2.10047331755151</v>
      </c>
      <c r="M306">
        <v>0.12695258832060999</v>
      </c>
    </row>
    <row r="307" spans="1:13" x14ac:dyDescent="0.25">
      <c r="A307">
        <v>2808</v>
      </c>
      <c r="B307" t="str">
        <f>"MDN1"</f>
        <v>MDN1</v>
      </c>
      <c r="C307" t="str">
        <f>""</f>
        <v/>
      </c>
      <c r="D307">
        <v>632.80999999999995</v>
      </c>
      <c r="E307">
        <v>2.6</v>
      </c>
      <c r="F307">
        <v>6</v>
      </c>
      <c r="G307">
        <v>11</v>
      </c>
      <c r="H307">
        <v>11</v>
      </c>
      <c r="I307" s="7">
        <v>3.3649908803658102</v>
      </c>
      <c r="J307" s="6">
        <v>6.3933363505670604</v>
      </c>
      <c r="K307" s="6">
        <v>6.6382822865988498</v>
      </c>
      <c r="L307">
        <v>1.9363527421728399</v>
      </c>
      <c r="M307">
        <v>0.130485198775385</v>
      </c>
    </row>
    <row r="308" spans="1:13" x14ac:dyDescent="0.25">
      <c r="A308">
        <v>199</v>
      </c>
      <c r="B308" t="str">
        <f>"DHX15"</f>
        <v>DHX15</v>
      </c>
      <c r="C308" t="str">
        <f>""</f>
        <v/>
      </c>
      <c r="D308">
        <v>90.932000000000002</v>
      </c>
      <c r="E308">
        <v>7.4</v>
      </c>
      <c r="F308">
        <v>8</v>
      </c>
      <c r="G308">
        <v>4</v>
      </c>
      <c r="H308">
        <v>3</v>
      </c>
      <c r="I308" s="7">
        <v>4.4866545071544204</v>
      </c>
      <c r="J308" s="6">
        <v>2.32484958202439</v>
      </c>
      <c r="K308" s="6">
        <v>1.8104406236178701</v>
      </c>
      <c r="L308">
        <v>-2.1699345313336198</v>
      </c>
      <c r="M308">
        <v>0.13919551803607899</v>
      </c>
    </row>
    <row r="309" spans="1:13" x14ac:dyDescent="0.25">
      <c r="A309">
        <v>2748</v>
      </c>
      <c r="B309" t="str">
        <f>"APMAP"</f>
        <v>APMAP</v>
      </c>
      <c r="C309" t="str">
        <f>""</f>
        <v/>
      </c>
      <c r="D309">
        <v>32.161000000000001</v>
      </c>
      <c r="E309">
        <v>3.1</v>
      </c>
      <c r="F309">
        <v>8</v>
      </c>
      <c r="G309">
        <v>4</v>
      </c>
      <c r="H309">
        <v>3</v>
      </c>
      <c r="I309" s="7">
        <v>4.4866545071544204</v>
      </c>
      <c r="J309" s="6">
        <v>2.32484958202439</v>
      </c>
      <c r="K309" s="6">
        <v>1.8104406236178701</v>
      </c>
      <c r="L309">
        <v>-2.1699345313336198</v>
      </c>
      <c r="M309">
        <v>0.13919551803607899</v>
      </c>
    </row>
    <row r="310" spans="1:13" x14ac:dyDescent="0.25">
      <c r="A310">
        <v>1698</v>
      </c>
      <c r="B310" t="str">
        <f>"KARS"</f>
        <v>KARS</v>
      </c>
      <c r="C310" t="str">
        <f>""</f>
        <v/>
      </c>
      <c r="D310">
        <v>68.046999999999997</v>
      </c>
      <c r="E310">
        <v>13.7</v>
      </c>
      <c r="F310">
        <v>8</v>
      </c>
      <c r="G310">
        <v>3</v>
      </c>
      <c r="H310">
        <v>4</v>
      </c>
      <c r="I310" s="7">
        <v>4.4866545071544204</v>
      </c>
      <c r="J310" s="6">
        <v>1.74363718651829</v>
      </c>
      <c r="K310" s="6">
        <v>2.4139208314904899</v>
      </c>
      <c r="L310">
        <v>-2.15831239767197</v>
      </c>
      <c r="M310">
        <v>0.13919552645465399</v>
      </c>
    </row>
    <row r="311" spans="1:13" x14ac:dyDescent="0.25">
      <c r="A311">
        <v>1780</v>
      </c>
      <c r="B311" t="str">
        <f>"PCK2"</f>
        <v>PCK2</v>
      </c>
      <c r="C311" t="str">
        <f>""</f>
        <v/>
      </c>
      <c r="D311">
        <v>70.697999999999993</v>
      </c>
      <c r="E311">
        <v>8.4</v>
      </c>
      <c r="F311">
        <v>1</v>
      </c>
      <c r="G311">
        <v>2</v>
      </c>
      <c r="H311">
        <v>6</v>
      </c>
      <c r="I311" s="7">
        <v>0.56083181339430199</v>
      </c>
      <c r="J311" s="6">
        <v>1.1624247910121901</v>
      </c>
      <c r="K311" s="6">
        <v>3.6208812472357401</v>
      </c>
      <c r="L311">
        <v>4.2644745929248398</v>
      </c>
      <c r="M311">
        <v>0.14449834030890901</v>
      </c>
    </row>
    <row r="312" spans="1:13" x14ac:dyDescent="0.25">
      <c r="A312">
        <v>2823</v>
      </c>
      <c r="B312" t="str">
        <f>"SLC38A7"</f>
        <v>SLC38A7</v>
      </c>
      <c r="C312" t="str">
        <f>""</f>
        <v/>
      </c>
      <c r="D312">
        <v>49.965000000000003</v>
      </c>
      <c r="E312">
        <v>1.9</v>
      </c>
      <c r="F312">
        <v>1</v>
      </c>
      <c r="G312">
        <v>0</v>
      </c>
      <c r="H312">
        <v>0</v>
      </c>
      <c r="I312" s="7">
        <v>0.56083181339430199</v>
      </c>
      <c r="J312" s="6">
        <v>0</v>
      </c>
      <c r="K312" s="6">
        <v>0</v>
      </c>
      <c r="L312">
        <v>-10000</v>
      </c>
      <c r="M312">
        <v>0.14482781773853801</v>
      </c>
    </row>
    <row r="313" spans="1:13" x14ac:dyDescent="0.25">
      <c r="A313">
        <v>2094</v>
      </c>
      <c r="B313" t="str">
        <f>"GCC2"</f>
        <v>GCC2</v>
      </c>
      <c r="C313" t="str">
        <f>""</f>
        <v/>
      </c>
      <c r="D313">
        <v>195.91</v>
      </c>
      <c r="E313">
        <v>6.7</v>
      </c>
      <c r="F313">
        <v>1</v>
      </c>
      <c r="G313">
        <v>0</v>
      </c>
      <c r="H313">
        <v>0</v>
      </c>
      <c r="I313" s="7">
        <v>0.56083181339430199</v>
      </c>
      <c r="J313" s="6">
        <v>0</v>
      </c>
      <c r="K313" s="6">
        <v>0</v>
      </c>
      <c r="L313">
        <v>-10000</v>
      </c>
      <c r="M313">
        <v>0.14482781773853801</v>
      </c>
    </row>
    <row r="314" spans="1:13" x14ac:dyDescent="0.25">
      <c r="A314">
        <v>465</v>
      </c>
      <c r="B314" t="str">
        <f>"IGJ"</f>
        <v>IGJ</v>
      </c>
      <c r="C314" t="str">
        <f>""</f>
        <v/>
      </c>
      <c r="D314">
        <v>18.097999999999999</v>
      </c>
      <c r="E314">
        <v>13.2</v>
      </c>
      <c r="F314">
        <v>1</v>
      </c>
      <c r="G314">
        <v>0</v>
      </c>
      <c r="H314">
        <v>0</v>
      </c>
      <c r="I314" s="7">
        <v>0.56083181339430199</v>
      </c>
      <c r="J314" s="6">
        <v>0</v>
      </c>
      <c r="K314" s="6">
        <v>0</v>
      </c>
      <c r="L314">
        <v>-10000</v>
      </c>
      <c r="M314">
        <v>0.14482781773853801</v>
      </c>
    </row>
    <row r="315" spans="1:13" x14ac:dyDescent="0.25">
      <c r="A315">
        <v>481</v>
      </c>
      <c r="B315" t="str">
        <f>"LMNA"</f>
        <v>LMNA</v>
      </c>
      <c r="C315" t="str">
        <f>""</f>
        <v/>
      </c>
      <c r="D315">
        <v>70.66</v>
      </c>
      <c r="E315">
        <v>16.7</v>
      </c>
      <c r="F315">
        <v>1</v>
      </c>
      <c r="G315">
        <v>0</v>
      </c>
      <c r="H315">
        <v>0</v>
      </c>
      <c r="I315" s="7">
        <v>0.56083181339430199</v>
      </c>
      <c r="J315" s="6">
        <v>0</v>
      </c>
      <c r="K315" s="6">
        <v>0</v>
      </c>
      <c r="L315">
        <v>-10000</v>
      </c>
      <c r="M315">
        <v>0.14482781773853801</v>
      </c>
    </row>
    <row r="316" spans="1:13" x14ac:dyDescent="0.25">
      <c r="A316">
        <v>498</v>
      </c>
      <c r="B316" t="str">
        <f>"LTF"</f>
        <v>LTF</v>
      </c>
      <c r="C316" t="str">
        <f>""</f>
        <v/>
      </c>
      <c r="D316">
        <v>73.16</v>
      </c>
      <c r="E316">
        <v>18.8</v>
      </c>
      <c r="F316">
        <v>1</v>
      </c>
      <c r="G316">
        <v>0</v>
      </c>
      <c r="H316">
        <v>0</v>
      </c>
      <c r="I316" s="7">
        <v>0.56083181339430199</v>
      </c>
      <c r="J316" s="6">
        <v>0</v>
      </c>
      <c r="K316" s="6">
        <v>0</v>
      </c>
      <c r="L316">
        <v>-10000</v>
      </c>
      <c r="M316">
        <v>0.14482781773853801</v>
      </c>
    </row>
    <row r="317" spans="1:13" x14ac:dyDescent="0.25">
      <c r="A317">
        <v>37</v>
      </c>
      <c r="B317" t="str">
        <f>"KRT75"</f>
        <v>KRT75</v>
      </c>
      <c r="C317" t="str">
        <f>""</f>
        <v/>
      </c>
      <c r="D317">
        <v>59.503999999999998</v>
      </c>
      <c r="E317">
        <v>12</v>
      </c>
      <c r="F317">
        <v>1</v>
      </c>
      <c r="G317">
        <v>0</v>
      </c>
      <c r="H317">
        <v>0</v>
      </c>
      <c r="I317" s="7">
        <v>0.56083181339430199</v>
      </c>
      <c r="J317" s="6">
        <v>0</v>
      </c>
      <c r="K317" s="6">
        <v>0</v>
      </c>
      <c r="L317">
        <v>-10000</v>
      </c>
      <c r="M317">
        <v>0.14482781773853801</v>
      </c>
    </row>
    <row r="318" spans="1:13" x14ac:dyDescent="0.25">
      <c r="A318">
        <v>782</v>
      </c>
      <c r="B318" t="str">
        <f>"CD9"</f>
        <v>CD9</v>
      </c>
      <c r="C318" t="str">
        <f>""</f>
        <v/>
      </c>
      <c r="D318">
        <v>25.416</v>
      </c>
      <c r="E318">
        <v>9.6</v>
      </c>
      <c r="F318">
        <v>1</v>
      </c>
      <c r="G318">
        <v>0</v>
      </c>
      <c r="H318">
        <v>0</v>
      </c>
      <c r="I318" s="7">
        <v>0.56083181339430199</v>
      </c>
      <c r="J318" s="6">
        <v>0</v>
      </c>
      <c r="K318" s="6">
        <v>0</v>
      </c>
      <c r="L318">
        <v>-10000</v>
      </c>
      <c r="M318">
        <v>0.14482781773853801</v>
      </c>
    </row>
    <row r="319" spans="1:13" x14ac:dyDescent="0.25">
      <c r="A319">
        <v>870</v>
      </c>
      <c r="B319" t="str">
        <f>"TPP2"</f>
        <v>TPP2</v>
      </c>
      <c r="C319" t="str">
        <f>""</f>
        <v/>
      </c>
      <c r="D319">
        <v>138.35</v>
      </c>
      <c r="E319">
        <v>4.7</v>
      </c>
      <c r="F319">
        <v>1</v>
      </c>
      <c r="G319">
        <v>0</v>
      </c>
      <c r="H319">
        <v>0</v>
      </c>
      <c r="I319" s="7">
        <v>0.56083181339430199</v>
      </c>
      <c r="J319" s="6">
        <v>0</v>
      </c>
      <c r="K319" s="6">
        <v>0</v>
      </c>
      <c r="L319">
        <v>-10000</v>
      </c>
      <c r="M319">
        <v>0.14482781773853801</v>
      </c>
    </row>
    <row r="320" spans="1:13" x14ac:dyDescent="0.25">
      <c r="A320">
        <v>2018</v>
      </c>
      <c r="B320" t="str">
        <f>"MYH14"</f>
        <v>MYH14</v>
      </c>
      <c r="C320" t="str">
        <f>""</f>
        <v/>
      </c>
      <c r="D320">
        <v>167.89</v>
      </c>
      <c r="E320">
        <v>6.1</v>
      </c>
      <c r="F320">
        <v>1</v>
      </c>
      <c r="G320">
        <v>0</v>
      </c>
      <c r="H320">
        <v>0</v>
      </c>
      <c r="I320" s="7">
        <v>0.56083181339430199</v>
      </c>
      <c r="J320" s="6">
        <v>0</v>
      </c>
      <c r="K320" s="6">
        <v>0</v>
      </c>
      <c r="L320">
        <v>-10000</v>
      </c>
      <c r="M320">
        <v>0.14482781773853801</v>
      </c>
    </row>
    <row r="321" spans="1:13" x14ac:dyDescent="0.25">
      <c r="A321">
        <v>2231</v>
      </c>
      <c r="B321" t="str">
        <f>"ABHD5"</f>
        <v>ABHD5</v>
      </c>
      <c r="C321" t="str">
        <f>""</f>
        <v/>
      </c>
      <c r="D321">
        <v>39.094999999999999</v>
      </c>
      <c r="E321">
        <v>4.5999999999999996</v>
      </c>
      <c r="F321">
        <v>1</v>
      </c>
      <c r="G321">
        <v>0</v>
      </c>
      <c r="H321">
        <v>0</v>
      </c>
      <c r="I321" s="7">
        <v>0.56083181339430199</v>
      </c>
      <c r="J321" s="6">
        <v>0</v>
      </c>
      <c r="K321" s="6">
        <v>0</v>
      </c>
      <c r="L321">
        <v>-10000</v>
      </c>
      <c r="M321">
        <v>0.14482781773853801</v>
      </c>
    </row>
    <row r="322" spans="1:13" x14ac:dyDescent="0.25">
      <c r="A322">
        <v>2580</v>
      </c>
      <c r="B322" t="str">
        <f>"FUNDC2"</f>
        <v>FUNDC2</v>
      </c>
      <c r="C322" t="str">
        <f>""</f>
        <v/>
      </c>
      <c r="D322">
        <v>20.675000000000001</v>
      </c>
      <c r="E322">
        <v>14.8</v>
      </c>
      <c r="F322">
        <v>1</v>
      </c>
      <c r="G322">
        <v>0</v>
      </c>
      <c r="H322">
        <v>0</v>
      </c>
      <c r="I322" s="7">
        <v>0.56083181339430199</v>
      </c>
      <c r="J322" s="6">
        <v>0</v>
      </c>
      <c r="K322" s="6">
        <v>0</v>
      </c>
      <c r="L322">
        <v>-10000</v>
      </c>
      <c r="M322">
        <v>0.14482781773853801</v>
      </c>
    </row>
    <row r="323" spans="1:13" x14ac:dyDescent="0.25">
      <c r="A323">
        <v>68</v>
      </c>
      <c r="B323" t="str">
        <f>"KRT73"</f>
        <v>KRT73</v>
      </c>
      <c r="C323" t="str">
        <f>""</f>
        <v/>
      </c>
      <c r="D323">
        <v>58.923000000000002</v>
      </c>
      <c r="E323">
        <v>5.7</v>
      </c>
      <c r="F323">
        <v>1</v>
      </c>
      <c r="G323">
        <v>0</v>
      </c>
      <c r="H323">
        <v>0</v>
      </c>
      <c r="I323" s="7">
        <v>0.56083181339430199</v>
      </c>
      <c r="J323" s="6">
        <v>0</v>
      </c>
      <c r="K323" s="6">
        <v>0</v>
      </c>
      <c r="L323">
        <v>-10000</v>
      </c>
      <c r="M323">
        <v>0.14482781773853801</v>
      </c>
    </row>
    <row r="324" spans="1:13" x14ac:dyDescent="0.25">
      <c r="A324">
        <v>146</v>
      </c>
      <c r="B324" t="str">
        <f>"APOL1"</f>
        <v>APOL1</v>
      </c>
      <c r="C324" t="str">
        <f>""</f>
        <v/>
      </c>
      <c r="D324">
        <v>42.158000000000001</v>
      </c>
      <c r="E324">
        <v>3.9</v>
      </c>
      <c r="F324">
        <v>1</v>
      </c>
      <c r="G324">
        <v>0</v>
      </c>
      <c r="H324">
        <v>0</v>
      </c>
      <c r="I324" s="7">
        <v>0.56083181339430199</v>
      </c>
      <c r="J324" s="6">
        <v>0</v>
      </c>
      <c r="K324" s="6">
        <v>0</v>
      </c>
      <c r="L324">
        <v>-10000</v>
      </c>
      <c r="M324">
        <v>0.14482781773853801</v>
      </c>
    </row>
    <row r="325" spans="1:13" x14ac:dyDescent="0.25">
      <c r="A325">
        <v>500</v>
      </c>
      <c r="B325" t="str">
        <f>"KLKB1"</f>
        <v>KLKB1</v>
      </c>
      <c r="C325" t="str">
        <f>""</f>
        <v/>
      </c>
      <c r="D325">
        <v>71.369</v>
      </c>
      <c r="E325">
        <v>1.4</v>
      </c>
      <c r="F325">
        <v>1</v>
      </c>
      <c r="G325">
        <v>0</v>
      </c>
      <c r="H325">
        <v>0</v>
      </c>
      <c r="I325" s="7">
        <v>0.56083181339430199</v>
      </c>
      <c r="J325" s="6">
        <v>0</v>
      </c>
      <c r="K325" s="6">
        <v>0</v>
      </c>
      <c r="L325">
        <v>-10000</v>
      </c>
      <c r="M325">
        <v>0.14482781773853801</v>
      </c>
    </row>
    <row r="326" spans="1:13" x14ac:dyDescent="0.25">
      <c r="A326">
        <v>693</v>
      </c>
      <c r="B326" t="str">
        <f>"COX7A2"</f>
        <v>COX7A2</v>
      </c>
      <c r="C326" t="str">
        <f>""</f>
        <v/>
      </c>
      <c r="D326">
        <v>9.3958999999999993</v>
      </c>
      <c r="E326">
        <v>27.7</v>
      </c>
      <c r="F326">
        <v>1</v>
      </c>
      <c r="G326">
        <v>0</v>
      </c>
      <c r="H326">
        <v>0</v>
      </c>
      <c r="I326" s="7">
        <v>0.56083181339430199</v>
      </c>
      <c r="J326" s="6">
        <v>0</v>
      </c>
      <c r="K326" s="6">
        <v>0</v>
      </c>
      <c r="L326">
        <v>-10000</v>
      </c>
      <c r="M326">
        <v>0.14482781773853801</v>
      </c>
    </row>
    <row r="327" spans="1:13" x14ac:dyDescent="0.25">
      <c r="A327">
        <v>747</v>
      </c>
      <c r="B327" t="str">
        <f>"CD58"</f>
        <v>CD58</v>
      </c>
      <c r="C327" t="str">
        <f>""</f>
        <v/>
      </c>
      <c r="D327">
        <v>26.66</v>
      </c>
      <c r="E327">
        <v>4.2</v>
      </c>
      <c r="F327">
        <v>1</v>
      </c>
      <c r="G327">
        <v>0</v>
      </c>
      <c r="H327">
        <v>0</v>
      </c>
      <c r="I327" s="7">
        <v>0.56083181339430199</v>
      </c>
      <c r="J327" s="6">
        <v>0</v>
      </c>
      <c r="K327" s="6">
        <v>0</v>
      </c>
      <c r="L327">
        <v>-10000</v>
      </c>
      <c r="M327">
        <v>0.14482781773853801</v>
      </c>
    </row>
    <row r="328" spans="1:13" x14ac:dyDescent="0.25">
      <c r="A328">
        <v>951</v>
      </c>
      <c r="B328" t="str">
        <f>"SAA4"</f>
        <v>SAA4</v>
      </c>
      <c r="C328" t="str">
        <f>""</f>
        <v/>
      </c>
      <c r="D328">
        <v>14.746</v>
      </c>
      <c r="E328">
        <v>8.5</v>
      </c>
      <c r="F328">
        <v>1</v>
      </c>
      <c r="G328">
        <v>0</v>
      </c>
      <c r="H328">
        <v>0</v>
      </c>
      <c r="I328" s="7">
        <v>0.56083181339430199</v>
      </c>
      <c r="J328" s="6">
        <v>0</v>
      </c>
      <c r="K328" s="6">
        <v>0</v>
      </c>
      <c r="L328">
        <v>-10000</v>
      </c>
      <c r="M328">
        <v>0.14482781773853801</v>
      </c>
    </row>
    <row r="329" spans="1:13" x14ac:dyDescent="0.25">
      <c r="A329">
        <v>962</v>
      </c>
      <c r="B329" t="str">
        <f>"IGFALS"</f>
        <v>IGFALS</v>
      </c>
      <c r="C329" t="str">
        <f>""</f>
        <v/>
      </c>
      <c r="D329">
        <v>66.034000000000006</v>
      </c>
      <c r="E329">
        <v>4</v>
      </c>
      <c r="F329">
        <v>1</v>
      </c>
      <c r="G329">
        <v>0</v>
      </c>
      <c r="H329">
        <v>0</v>
      </c>
      <c r="I329" s="7">
        <v>0.56083181339430199</v>
      </c>
      <c r="J329" s="6">
        <v>0</v>
      </c>
      <c r="K329" s="6">
        <v>0</v>
      </c>
      <c r="L329">
        <v>-10000</v>
      </c>
      <c r="M329">
        <v>0.14482781773853801</v>
      </c>
    </row>
    <row r="330" spans="1:13" x14ac:dyDescent="0.25">
      <c r="A330">
        <v>1292</v>
      </c>
      <c r="B330" t="str">
        <f>"RPL37A"</f>
        <v>RPL37A</v>
      </c>
      <c r="C330" t="str">
        <f>""</f>
        <v/>
      </c>
      <c r="D330">
        <v>10.275</v>
      </c>
      <c r="E330">
        <v>13</v>
      </c>
      <c r="F330">
        <v>1</v>
      </c>
      <c r="G330">
        <v>0</v>
      </c>
      <c r="H330">
        <v>0</v>
      </c>
      <c r="I330" s="7">
        <v>0.56083181339430199</v>
      </c>
      <c r="J330" s="6">
        <v>0</v>
      </c>
      <c r="K330" s="6">
        <v>0</v>
      </c>
      <c r="L330">
        <v>-10000</v>
      </c>
      <c r="M330">
        <v>0.14482781773853801</v>
      </c>
    </row>
    <row r="331" spans="1:13" x14ac:dyDescent="0.25">
      <c r="A331">
        <v>2474</v>
      </c>
      <c r="B331" t="str">
        <f>"SORT1"</f>
        <v>SORT1</v>
      </c>
      <c r="C331" t="str">
        <f>""</f>
        <v/>
      </c>
      <c r="D331">
        <v>77.373999999999995</v>
      </c>
      <c r="E331">
        <v>5.2</v>
      </c>
      <c r="F331">
        <v>1</v>
      </c>
      <c r="G331">
        <v>0</v>
      </c>
      <c r="H331">
        <v>0</v>
      </c>
      <c r="I331" s="7">
        <v>0.56083181339430199</v>
      </c>
      <c r="J331" s="6">
        <v>0</v>
      </c>
      <c r="K331" s="6">
        <v>0</v>
      </c>
      <c r="L331">
        <v>-10000</v>
      </c>
      <c r="M331">
        <v>0.14482781773853801</v>
      </c>
    </row>
    <row r="332" spans="1:13" x14ac:dyDescent="0.25">
      <c r="A332">
        <v>2523</v>
      </c>
      <c r="B332" t="str">
        <f>"CPPED1"</f>
        <v>CPPED1</v>
      </c>
      <c r="C332" t="str">
        <f>""</f>
        <v/>
      </c>
      <c r="D332">
        <v>13.462</v>
      </c>
      <c r="E332">
        <v>16.399999999999999</v>
      </c>
      <c r="F332">
        <v>1</v>
      </c>
      <c r="G332">
        <v>0</v>
      </c>
      <c r="H332">
        <v>0</v>
      </c>
      <c r="I332" s="7">
        <v>0.56083181339430199</v>
      </c>
      <c r="J332" s="6">
        <v>0</v>
      </c>
      <c r="K332" s="6">
        <v>0</v>
      </c>
      <c r="L332">
        <v>-10000</v>
      </c>
      <c r="M332">
        <v>0.14482781773853801</v>
      </c>
    </row>
    <row r="333" spans="1:13" x14ac:dyDescent="0.25">
      <c r="A333">
        <v>2841</v>
      </c>
      <c r="B333" t="str">
        <f>"GEMIN8"</f>
        <v>GEMIN8</v>
      </c>
      <c r="C333" t="str">
        <f>""</f>
        <v/>
      </c>
      <c r="D333">
        <v>28.635999999999999</v>
      </c>
      <c r="E333">
        <v>6.6</v>
      </c>
      <c r="F333">
        <v>1</v>
      </c>
      <c r="G333">
        <v>0</v>
      </c>
      <c r="H333">
        <v>0</v>
      </c>
      <c r="I333" s="7">
        <v>0.56083181339430199</v>
      </c>
      <c r="J333" s="6">
        <v>0</v>
      </c>
      <c r="K333" s="6">
        <v>0</v>
      </c>
      <c r="L333">
        <v>-10000</v>
      </c>
      <c r="M333">
        <v>0.14482781773853801</v>
      </c>
    </row>
    <row r="334" spans="1:13" x14ac:dyDescent="0.25">
      <c r="A334">
        <v>31</v>
      </c>
      <c r="B334" t="str">
        <f>"FBLN1"</f>
        <v>FBLN1</v>
      </c>
      <c r="C334" t="str">
        <f>""</f>
        <v/>
      </c>
      <c r="D334">
        <v>77.456000000000003</v>
      </c>
      <c r="E334">
        <v>1.7</v>
      </c>
      <c r="F334">
        <v>1</v>
      </c>
      <c r="G334">
        <v>0</v>
      </c>
      <c r="H334">
        <v>0</v>
      </c>
      <c r="I334" s="7">
        <v>0.56083181339430199</v>
      </c>
      <c r="J334" s="6">
        <v>0</v>
      </c>
      <c r="K334" s="6">
        <v>0</v>
      </c>
      <c r="L334">
        <v>-10000</v>
      </c>
      <c r="M334">
        <v>0.14482781773853801</v>
      </c>
    </row>
    <row r="335" spans="1:13" x14ac:dyDescent="0.25">
      <c r="A335">
        <v>32</v>
      </c>
      <c r="B335" t="str">
        <f>"HGFAC"</f>
        <v>HGFAC</v>
      </c>
      <c r="C335" t="str">
        <f>""</f>
        <v/>
      </c>
      <c r="D335">
        <v>67.703000000000003</v>
      </c>
      <c r="E335">
        <v>1.9</v>
      </c>
      <c r="F335">
        <v>1</v>
      </c>
      <c r="G335">
        <v>0</v>
      </c>
      <c r="H335">
        <v>0</v>
      </c>
      <c r="I335" s="7">
        <v>0.56083181339430199</v>
      </c>
      <c r="J335" s="6">
        <v>0</v>
      </c>
      <c r="K335" s="6">
        <v>0</v>
      </c>
      <c r="L335">
        <v>-10000</v>
      </c>
      <c r="M335">
        <v>0.14482781773853801</v>
      </c>
    </row>
    <row r="336" spans="1:13" x14ac:dyDescent="0.25">
      <c r="A336">
        <v>85</v>
      </c>
      <c r="B336" t="str">
        <f>"AGPS"</f>
        <v>AGPS</v>
      </c>
      <c r="C336" t="str">
        <f>""</f>
        <v/>
      </c>
      <c r="D336">
        <v>72.911000000000001</v>
      </c>
      <c r="E336">
        <v>6.7</v>
      </c>
      <c r="F336">
        <v>1</v>
      </c>
      <c r="G336">
        <v>0</v>
      </c>
      <c r="H336">
        <v>0</v>
      </c>
      <c r="I336" s="7">
        <v>0.56083181339430199</v>
      </c>
      <c r="J336" s="6">
        <v>0</v>
      </c>
      <c r="K336" s="6">
        <v>0</v>
      </c>
      <c r="L336">
        <v>-10000</v>
      </c>
      <c r="M336">
        <v>0.14482781773853801</v>
      </c>
    </row>
    <row r="337" spans="1:13" x14ac:dyDescent="0.25">
      <c r="A337">
        <v>89</v>
      </c>
      <c r="B337" t="str">
        <f>"HAX1"</f>
        <v>HAX1</v>
      </c>
      <c r="C337" t="str">
        <f>""</f>
        <v/>
      </c>
      <c r="D337">
        <v>14.234</v>
      </c>
      <c r="E337">
        <v>7.3</v>
      </c>
      <c r="F337">
        <v>1</v>
      </c>
      <c r="G337">
        <v>0</v>
      </c>
      <c r="H337">
        <v>0</v>
      </c>
      <c r="I337" s="7">
        <v>0.56083181339430199</v>
      </c>
      <c r="J337" s="6">
        <v>0</v>
      </c>
      <c r="K337" s="6">
        <v>0</v>
      </c>
      <c r="L337">
        <v>-10000</v>
      </c>
      <c r="M337">
        <v>0.14482781773853801</v>
      </c>
    </row>
    <row r="338" spans="1:13" x14ac:dyDescent="0.25">
      <c r="A338">
        <v>135</v>
      </c>
      <c r="B338" t="str">
        <f>"CHD2"</f>
        <v>CHD2</v>
      </c>
      <c r="C338" t="str">
        <f>""</f>
        <v/>
      </c>
      <c r="D338">
        <v>200.56</v>
      </c>
      <c r="E338">
        <v>0.6</v>
      </c>
      <c r="F338">
        <v>1</v>
      </c>
      <c r="G338">
        <v>0</v>
      </c>
      <c r="H338">
        <v>0</v>
      </c>
      <c r="I338" s="7">
        <v>0.56083181339430199</v>
      </c>
      <c r="J338" s="6">
        <v>0</v>
      </c>
      <c r="K338" s="6">
        <v>0</v>
      </c>
      <c r="L338">
        <v>-10000</v>
      </c>
      <c r="M338">
        <v>0.14482781773853801</v>
      </c>
    </row>
    <row r="339" spans="1:13" x14ac:dyDescent="0.25">
      <c r="A339">
        <v>150</v>
      </c>
      <c r="B339" t="str">
        <f>"MGST3"</f>
        <v>MGST3</v>
      </c>
      <c r="C339" t="str">
        <f>""</f>
        <v/>
      </c>
      <c r="D339">
        <v>16.515999999999998</v>
      </c>
      <c r="E339">
        <v>8.6</v>
      </c>
      <c r="F339">
        <v>1</v>
      </c>
      <c r="G339">
        <v>0</v>
      </c>
      <c r="H339">
        <v>0</v>
      </c>
      <c r="I339" s="7">
        <v>0.56083181339430199</v>
      </c>
      <c r="J339" s="6">
        <v>0</v>
      </c>
      <c r="K339" s="6">
        <v>0</v>
      </c>
      <c r="L339">
        <v>-10000</v>
      </c>
      <c r="M339">
        <v>0.14482781773853801</v>
      </c>
    </row>
    <row r="340" spans="1:13" x14ac:dyDescent="0.25">
      <c r="A340">
        <v>154</v>
      </c>
      <c r="B340" t="str">
        <f>"UQCRQ"</f>
        <v>UQCRQ</v>
      </c>
      <c r="C340" t="str">
        <f>""</f>
        <v/>
      </c>
      <c r="D340">
        <v>9.9062000000000001</v>
      </c>
      <c r="E340">
        <v>15.9</v>
      </c>
      <c r="F340">
        <v>1</v>
      </c>
      <c r="G340">
        <v>0</v>
      </c>
      <c r="H340">
        <v>0</v>
      </c>
      <c r="I340" s="7">
        <v>0.56083181339430199</v>
      </c>
      <c r="J340" s="6">
        <v>0</v>
      </c>
      <c r="K340" s="6">
        <v>0</v>
      </c>
      <c r="L340">
        <v>-10000</v>
      </c>
      <c r="M340">
        <v>0.14482781773853801</v>
      </c>
    </row>
    <row r="341" spans="1:13" x14ac:dyDescent="0.25">
      <c r="A341">
        <v>175</v>
      </c>
      <c r="B341" t="str">
        <f>"T"</f>
        <v>T</v>
      </c>
      <c r="C341" t="str">
        <f>""</f>
        <v/>
      </c>
      <c r="D341">
        <v>41.078000000000003</v>
      </c>
      <c r="E341">
        <v>2.7</v>
      </c>
      <c r="F341">
        <v>1</v>
      </c>
      <c r="G341">
        <v>0</v>
      </c>
      <c r="H341">
        <v>0</v>
      </c>
      <c r="I341" s="7">
        <v>0.56083181339430199</v>
      </c>
      <c r="J341" s="6">
        <v>0</v>
      </c>
      <c r="K341" s="6">
        <v>0</v>
      </c>
      <c r="L341">
        <v>-10000</v>
      </c>
      <c r="M341">
        <v>0.14482781773853801</v>
      </c>
    </row>
    <row r="342" spans="1:13" x14ac:dyDescent="0.25">
      <c r="A342">
        <v>218</v>
      </c>
      <c r="B342" t="str">
        <f>"TPD52L2"</f>
        <v>TPD52L2</v>
      </c>
      <c r="C342" t="str">
        <f>""</f>
        <v/>
      </c>
      <c r="D342">
        <v>17.472999999999999</v>
      </c>
      <c r="E342">
        <v>6.1</v>
      </c>
      <c r="F342">
        <v>1</v>
      </c>
      <c r="G342">
        <v>0</v>
      </c>
      <c r="H342">
        <v>0</v>
      </c>
      <c r="I342" s="7">
        <v>0.56083181339430199</v>
      </c>
      <c r="J342" s="6">
        <v>0</v>
      </c>
      <c r="K342" s="6">
        <v>0</v>
      </c>
      <c r="L342">
        <v>-10000</v>
      </c>
      <c r="M342">
        <v>0.14482781773853801</v>
      </c>
    </row>
    <row r="343" spans="1:13" x14ac:dyDescent="0.25">
      <c r="A343">
        <v>220</v>
      </c>
      <c r="B343" t="str">
        <f>"PPIH"</f>
        <v>PPIH</v>
      </c>
      <c r="C343" t="str">
        <f>""</f>
        <v/>
      </c>
      <c r="D343">
        <v>19.207999999999998</v>
      </c>
      <c r="E343">
        <v>4.5</v>
      </c>
      <c r="F343">
        <v>1</v>
      </c>
      <c r="G343">
        <v>0</v>
      </c>
      <c r="H343">
        <v>0</v>
      </c>
      <c r="I343" s="7">
        <v>0.56083181339430199</v>
      </c>
      <c r="J343" s="6">
        <v>0</v>
      </c>
      <c r="K343" s="6">
        <v>0</v>
      </c>
      <c r="L343">
        <v>-10000</v>
      </c>
      <c r="M343">
        <v>0.14482781773853801</v>
      </c>
    </row>
    <row r="344" spans="1:13" x14ac:dyDescent="0.25">
      <c r="A344">
        <v>241</v>
      </c>
      <c r="B344" t="str">
        <f>"ENSA"</f>
        <v>ENSA</v>
      </c>
      <c r="C344" t="str">
        <f>""</f>
        <v/>
      </c>
      <c r="D344">
        <v>11.99</v>
      </c>
      <c r="E344">
        <v>8.6</v>
      </c>
      <c r="F344">
        <v>1</v>
      </c>
      <c r="G344">
        <v>0</v>
      </c>
      <c r="H344">
        <v>0</v>
      </c>
      <c r="I344" s="7">
        <v>0.56083181339430199</v>
      </c>
      <c r="J344" s="6">
        <v>0</v>
      </c>
      <c r="K344" s="6">
        <v>0</v>
      </c>
      <c r="L344">
        <v>-10000</v>
      </c>
      <c r="M344">
        <v>0.14482781773853801</v>
      </c>
    </row>
    <row r="345" spans="1:13" x14ac:dyDescent="0.25">
      <c r="A345">
        <v>251</v>
      </c>
      <c r="B345" t="str">
        <f>"ORC5"</f>
        <v>ORC5</v>
      </c>
      <c r="C345" t="str">
        <f>""</f>
        <v/>
      </c>
      <c r="D345">
        <v>37.412999999999997</v>
      </c>
      <c r="E345">
        <v>4.3</v>
      </c>
      <c r="F345">
        <v>1</v>
      </c>
      <c r="G345">
        <v>0</v>
      </c>
      <c r="H345">
        <v>0</v>
      </c>
      <c r="I345" s="7">
        <v>0.56083181339430199</v>
      </c>
      <c r="J345" s="6">
        <v>0</v>
      </c>
      <c r="K345" s="6">
        <v>0</v>
      </c>
      <c r="L345">
        <v>-10000</v>
      </c>
      <c r="M345">
        <v>0.14482781773853801</v>
      </c>
    </row>
    <row r="346" spans="1:13" x14ac:dyDescent="0.25">
      <c r="A346">
        <v>262</v>
      </c>
      <c r="B346" t="str">
        <f>"MCM3AP"</f>
        <v>MCM3AP</v>
      </c>
      <c r="C346" t="str">
        <f>""</f>
        <v/>
      </c>
      <c r="D346">
        <v>218.4</v>
      </c>
      <c r="E346">
        <v>0.6</v>
      </c>
      <c r="F346">
        <v>1</v>
      </c>
      <c r="G346">
        <v>0</v>
      </c>
      <c r="H346">
        <v>0</v>
      </c>
      <c r="I346" s="7">
        <v>0.56083181339430199</v>
      </c>
      <c r="J346" s="6">
        <v>0</v>
      </c>
      <c r="K346" s="6">
        <v>0</v>
      </c>
      <c r="L346">
        <v>-10000</v>
      </c>
      <c r="M346">
        <v>0.14482781773853801</v>
      </c>
    </row>
    <row r="347" spans="1:13" x14ac:dyDescent="0.25">
      <c r="A347">
        <v>332</v>
      </c>
      <c r="B347" t="str">
        <f>"GMNN"</f>
        <v>GMNN</v>
      </c>
      <c r="C347" t="str">
        <f>""</f>
        <v/>
      </c>
      <c r="D347">
        <v>23.565000000000001</v>
      </c>
      <c r="E347">
        <v>6.2</v>
      </c>
      <c r="F347">
        <v>1</v>
      </c>
      <c r="G347">
        <v>0</v>
      </c>
      <c r="H347">
        <v>0</v>
      </c>
      <c r="I347" s="7">
        <v>0.56083181339430199</v>
      </c>
      <c r="J347" s="6">
        <v>0</v>
      </c>
      <c r="K347" s="6">
        <v>0</v>
      </c>
      <c r="L347">
        <v>-10000</v>
      </c>
      <c r="M347">
        <v>0.14482781773853801</v>
      </c>
    </row>
    <row r="348" spans="1:13" x14ac:dyDescent="0.25">
      <c r="A348">
        <v>398</v>
      </c>
      <c r="B348" t="str">
        <f>"NDUFA10"</f>
        <v>NDUFA10</v>
      </c>
      <c r="C348" t="str">
        <f>""</f>
        <v/>
      </c>
      <c r="D348">
        <v>40.75</v>
      </c>
      <c r="E348">
        <v>2.5</v>
      </c>
      <c r="F348">
        <v>1</v>
      </c>
      <c r="G348">
        <v>0</v>
      </c>
      <c r="H348">
        <v>0</v>
      </c>
      <c r="I348" s="7">
        <v>0.56083181339430199</v>
      </c>
      <c r="J348" s="6">
        <v>0</v>
      </c>
      <c r="K348" s="6">
        <v>0</v>
      </c>
      <c r="L348">
        <v>-10000</v>
      </c>
      <c r="M348">
        <v>0.14482781773853801</v>
      </c>
    </row>
    <row r="349" spans="1:13" x14ac:dyDescent="0.25">
      <c r="A349">
        <v>406</v>
      </c>
      <c r="B349" t="str">
        <f>"CD2BP2"</f>
        <v>CD2BP2</v>
      </c>
      <c r="C349" t="str">
        <f>""</f>
        <v/>
      </c>
      <c r="D349">
        <v>37.646000000000001</v>
      </c>
      <c r="E349">
        <v>7</v>
      </c>
      <c r="F349">
        <v>1</v>
      </c>
      <c r="G349">
        <v>0</v>
      </c>
      <c r="H349">
        <v>0</v>
      </c>
      <c r="I349" s="7">
        <v>0.56083181339430199</v>
      </c>
      <c r="J349" s="6">
        <v>0</v>
      </c>
      <c r="K349" s="6">
        <v>0</v>
      </c>
      <c r="L349">
        <v>-10000</v>
      </c>
      <c r="M349">
        <v>0.14482781773853801</v>
      </c>
    </row>
    <row r="350" spans="1:13" x14ac:dyDescent="0.25">
      <c r="A350">
        <v>409</v>
      </c>
      <c r="B350" t="str">
        <f>"SGPL1"</f>
        <v>SGPL1</v>
      </c>
      <c r="C350" t="str">
        <f>""</f>
        <v/>
      </c>
      <c r="D350">
        <v>63.523000000000003</v>
      </c>
      <c r="E350">
        <v>3</v>
      </c>
      <c r="F350">
        <v>1</v>
      </c>
      <c r="G350">
        <v>0</v>
      </c>
      <c r="H350">
        <v>0</v>
      </c>
      <c r="I350" s="7">
        <v>0.56083181339430199</v>
      </c>
      <c r="J350" s="6">
        <v>0</v>
      </c>
      <c r="K350" s="6">
        <v>0</v>
      </c>
      <c r="L350">
        <v>-10000</v>
      </c>
      <c r="M350">
        <v>0.14482781773853801</v>
      </c>
    </row>
    <row r="351" spans="1:13" x14ac:dyDescent="0.25">
      <c r="A351">
        <v>430</v>
      </c>
      <c r="B351" t="str">
        <f>"MBD3"</f>
        <v>MBD3</v>
      </c>
      <c r="C351" t="str">
        <f>""</f>
        <v/>
      </c>
      <c r="D351">
        <v>29.013999999999999</v>
      </c>
      <c r="E351">
        <v>5.4</v>
      </c>
      <c r="F351">
        <v>1</v>
      </c>
      <c r="G351">
        <v>0</v>
      </c>
      <c r="H351">
        <v>0</v>
      </c>
      <c r="I351" s="7">
        <v>0.56083181339430199</v>
      </c>
      <c r="J351" s="6">
        <v>0</v>
      </c>
      <c r="K351" s="6">
        <v>0</v>
      </c>
      <c r="L351">
        <v>-10000</v>
      </c>
      <c r="M351">
        <v>0.14482781773853801</v>
      </c>
    </row>
    <row r="352" spans="1:13" x14ac:dyDescent="0.25">
      <c r="A352">
        <v>442</v>
      </c>
      <c r="B352" t="str">
        <f>"SOD1"</f>
        <v>SOD1</v>
      </c>
      <c r="C352" t="str">
        <f>""</f>
        <v/>
      </c>
      <c r="D352">
        <v>15.936</v>
      </c>
      <c r="E352">
        <v>16.2</v>
      </c>
      <c r="F352">
        <v>1</v>
      </c>
      <c r="G352">
        <v>0</v>
      </c>
      <c r="H352">
        <v>0</v>
      </c>
      <c r="I352" s="7">
        <v>0.56083181339430199</v>
      </c>
      <c r="J352" s="6">
        <v>0</v>
      </c>
      <c r="K352" s="6">
        <v>0</v>
      </c>
      <c r="L352">
        <v>-10000</v>
      </c>
      <c r="M352">
        <v>0.14482781773853801</v>
      </c>
    </row>
    <row r="353" spans="1:13" x14ac:dyDescent="0.25">
      <c r="A353">
        <v>502</v>
      </c>
      <c r="B353" t="str">
        <f>"VTN"</f>
        <v>VTN</v>
      </c>
      <c r="C353" t="str">
        <f>""</f>
        <v/>
      </c>
      <c r="D353">
        <v>54.305</v>
      </c>
      <c r="E353">
        <v>9.1999999999999993</v>
      </c>
      <c r="F353">
        <v>1</v>
      </c>
      <c r="G353">
        <v>0</v>
      </c>
      <c r="H353">
        <v>0</v>
      </c>
      <c r="I353" s="7">
        <v>0.56083181339430199</v>
      </c>
      <c r="J353" s="6">
        <v>0</v>
      </c>
      <c r="K353" s="6">
        <v>0</v>
      </c>
      <c r="L353">
        <v>-10000</v>
      </c>
      <c r="M353">
        <v>0.14482781773853801</v>
      </c>
    </row>
    <row r="354" spans="1:13" x14ac:dyDescent="0.25">
      <c r="A354">
        <v>532</v>
      </c>
      <c r="B354" t="str">
        <f>"SERPINA5"</f>
        <v>SERPINA5</v>
      </c>
      <c r="C354" t="str">
        <f>""</f>
        <v/>
      </c>
      <c r="D354">
        <v>45.673999999999999</v>
      </c>
      <c r="E354">
        <v>3.2</v>
      </c>
      <c r="F354">
        <v>1</v>
      </c>
      <c r="G354">
        <v>0</v>
      </c>
      <c r="H354">
        <v>0</v>
      </c>
      <c r="I354" s="7">
        <v>0.56083181339430199</v>
      </c>
      <c r="J354" s="6">
        <v>0</v>
      </c>
      <c r="K354" s="6">
        <v>0</v>
      </c>
      <c r="L354">
        <v>-10000</v>
      </c>
      <c r="M354">
        <v>0.14482781773853801</v>
      </c>
    </row>
    <row r="355" spans="1:13" x14ac:dyDescent="0.25">
      <c r="A355">
        <v>549</v>
      </c>
      <c r="B355" t="str">
        <f>"PTMA"</f>
        <v>PTMA</v>
      </c>
      <c r="C355" t="str">
        <f>""</f>
        <v/>
      </c>
      <c r="D355">
        <v>12.074</v>
      </c>
      <c r="E355">
        <v>21.8</v>
      </c>
      <c r="F355">
        <v>1</v>
      </c>
      <c r="G355">
        <v>0</v>
      </c>
      <c r="H355">
        <v>0</v>
      </c>
      <c r="I355" s="7">
        <v>0.56083181339430199</v>
      </c>
      <c r="J355" s="6">
        <v>0</v>
      </c>
      <c r="K355" s="6">
        <v>0</v>
      </c>
      <c r="L355">
        <v>-10000</v>
      </c>
      <c r="M355">
        <v>0.14482781773853801</v>
      </c>
    </row>
    <row r="356" spans="1:13" x14ac:dyDescent="0.25">
      <c r="A356">
        <v>562</v>
      </c>
      <c r="B356" t="str">
        <f>"NEFL"</f>
        <v>NEFL</v>
      </c>
      <c r="C356" t="str">
        <f>""</f>
        <v/>
      </c>
      <c r="D356">
        <v>61.515999999999998</v>
      </c>
      <c r="E356">
        <v>1.8</v>
      </c>
      <c r="F356">
        <v>1</v>
      </c>
      <c r="G356">
        <v>0</v>
      </c>
      <c r="H356">
        <v>0</v>
      </c>
      <c r="I356" s="7">
        <v>0.56083181339430199</v>
      </c>
      <c r="J356" s="6">
        <v>0</v>
      </c>
      <c r="K356" s="6">
        <v>0</v>
      </c>
      <c r="L356">
        <v>-10000</v>
      </c>
      <c r="M356">
        <v>0.14482781773853801</v>
      </c>
    </row>
    <row r="357" spans="1:13" x14ac:dyDescent="0.25">
      <c r="A357">
        <v>586</v>
      </c>
      <c r="B357" t="str">
        <f>"SERPINA6"</f>
        <v>SERPINA6</v>
      </c>
      <c r="C357" t="str">
        <f>""</f>
        <v/>
      </c>
      <c r="D357">
        <v>45.14</v>
      </c>
      <c r="E357">
        <v>3.2</v>
      </c>
      <c r="F357">
        <v>1</v>
      </c>
      <c r="G357">
        <v>0</v>
      </c>
      <c r="H357">
        <v>0</v>
      </c>
      <c r="I357" s="7">
        <v>0.56083181339430199</v>
      </c>
      <c r="J357" s="6">
        <v>0</v>
      </c>
      <c r="K357" s="6">
        <v>0</v>
      </c>
      <c r="L357">
        <v>-10000</v>
      </c>
      <c r="M357">
        <v>0.14482781773853801</v>
      </c>
    </row>
    <row r="358" spans="1:13" x14ac:dyDescent="0.25">
      <c r="A358">
        <v>631</v>
      </c>
      <c r="B358" t="str">
        <f>"PTPRF"</f>
        <v>PTPRF</v>
      </c>
      <c r="C358" t="str">
        <f>""</f>
        <v/>
      </c>
      <c r="D358">
        <v>211.68</v>
      </c>
      <c r="E358">
        <v>0.7</v>
      </c>
      <c r="F358">
        <v>1</v>
      </c>
      <c r="G358">
        <v>0</v>
      </c>
      <c r="H358">
        <v>0</v>
      </c>
      <c r="I358" s="7">
        <v>0.56083181339430199</v>
      </c>
      <c r="J358" s="6">
        <v>0</v>
      </c>
      <c r="K358" s="6">
        <v>0</v>
      </c>
      <c r="L358">
        <v>-10000</v>
      </c>
      <c r="M358">
        <v>0.14482781773853801</v>
      </c>
    </row>
    <row r="359" spans="1:13" x14ac:dyDescent="0.25">
      <c r="A359">
        <v>660</v>
      </c>
      <c r="B359" t="str">
        <f>"SLC25A4"</f>
        <v>SLC25A4</v>
      </c>
      <c r="C359" t="str">
        <f>""</f>
        <v/>
      </c>
      <c r="D359">
        <v>33.064</v>
      </c>
      <c r="E359">
        <v>3</v>
      </c>
      <c r="F359">
        <v>1</v>
      </c>
      <c r="G359">
        <v>0</v>
      </c>
      <c r="H359">
        <v>0</v>
      </c>
      <c r="I359" s="7">
        <v>0.56083181339430199</v>
      </c>
      <c r="J359" s="6">
        <v>0</v>
      </c>
      <c r="K359" s="6">
        <v>0</v>
      </c>
      <c r="L359">
        <v>-10000</v>
      </c>
      <c r="M359">
        <v>0.14482781773853801</v>
      </c>
    </row>
    <row r="360" spans="1:13" x14ac:dyDescent="0.25">
      <c r="A360">
        <v>677</v>
      </c>
      <c r="B360" t="str">
        <f>"TPT1"</f>
        <v>TPT1</v>
      </c>
      <c r="C360" t="str">
        <f>""</f>
        <v/>
      </c>
      <c r="D360">
        <v>15.597</v>
      </c>
      <c r="E360">
        <v>9.4</v>
      </c>
      <c r="F360">
        <v>1</v>
      </c>
      <c r="G360">
        <v>0</v>
      </c>
      <c r="H360">
        <v>0</v>
      </c>
      <c r="I360" s="7">
        <v>0.56083181339430199</v>
      </c>
      <c r="J360" s="6">
        <v>0</v>
      </c>
      <c r="K360" s="6">
        <v>0</v>
      </c>
      <c r="L360">
        <v>-10000</v>
      </c>
      <c r="M360">
        <v>0.14482781773853801</v>
      </c>
    </row>
    <row r="361" spans="1:13" x14ac:dyDescent="0.25">
      <c r="A361">
        <v>704</v>
      </c>
      <c r="B361" t="str">
        <f>"CPN1"</f>
        <v>CPN1</v>
      </c>
      <c r="C361" t="str">
        <f>""</f>
        <v/>
      </c>
      <c r="D361">
        <v>52.286000000000001</v>
      </c>
      <c r="E361">
        <v>3.1</v>
      </c>
      <c r="F361">
        <v>1</v>
      </c>
      <c r="G361">
        <v>0</v>
      </c>
      <c r="H361">
        <v>0</v>
      </c>
      <c r="I361" s="7">
        <v>0.56083181339430199</v>
      </c>
      <c r="J361" s="6">
        <v>0</v>
      </c>
      <c r="K361" s="6">
        <v>0</v>
      </c>
      <c r="L361">
        <v>-10000</v>
      </c>
      <c r="M361">
        <v>0.14482781773853801</v>
      </c>
    </row>
    <row r="362" spans="1:13" x14ac:dyDescent="0.25">
      <c r="A362">
        <v>724</v>
      </c>
      <c r="B362" t="str">
        <f>"HSPA6"</f>
        <v>HSPA6</v>
      </c>
      <c r="C362" t="str">
        <f>""</f>
        <v/>
      </c>
      <c r="D362">
        <v>71.027000000000001</v>
      </c>
      <c r="E362">
        <v>8.9</v>
      </c>
      <c r="F362">
        <v>1</v>
      </c>
      <c r="G362">
        <v>0</v>
      </c>
      <c r="H362">
        <v>0</v>
      </c>
      <c r="I362" s="7">
        <v>0.56083181339430199</v>
      </c>
      <c r="J362" s="6">
        <v>0</v>
      </c>
      <c r="K362" s="6">
        <v>0</v>
      </c>
      <c r="L362">
        <v>-10000</v>
      </c>
      <c r="M362">
        <v>0.14482781773853801</v>
      </c>
    </row>
    <row r="363" spans="1:13" x14ac:dyDescent="0.25">
      <c r="A363">
        <v>745</v>
      </c>
      <c r="B363" t="str">
        <f>"CDH2"</f>
        <v>CDH2</v>
      </c>
      <c r="C363" t="str">
        <f>""</f>
        <v/>
      </c>
      <c r="D363">
        <v>97.039000000000001</v>
      </c>
      <c r="E363">
        <v>2.1</v>
      </c>
      <c r="F363">
        <v>1</v>
      </c>
      <c r="G363">
        <v>0</v>
      </c>
      <c r="H363">
        <v>0</v>
      </c>
      <c r="I363" s="7">
        <v>0.56083181339430199</v>
      </c>
      <c r="J363" s="6">
        <v>0</v>
      </c>
      <c r="K363" s="6">
        <v>0</v>
      </c>
      <c r="L363">
        <v>-10000</v>
      </c>
      <c r="M363">
        <v>0.14482781773853801</v>
      </c>
    </row>
    <row r="364" spans="1:13" x14ac:dyDescent="0.25">
      <c r="A364">
        <v>791</v>
      </c>
      <c r="B364" t="str">
        <f>"GPX3"</f>
        <v>GPX3</v>
      </c>
      <c r="C364" t="str">
        <f>""</f>
        <v/>
      </c>
      <c r="D364">
        <v>25.552</v>
      </c>
      <c r="E364">
        <v>7.5</v>
      </c>
      <c r="F364">
        <v>1</v>
      </c>
      <c r="G364">
        <v>0</v>
      </c>
      <c r="H364">
        <v>0</v>
      </c>
      <c r="I364" s="7">
        <v>0.56083181339430199</v>
      </c>
      <c r="J364" s="6">
        <v>0</v>
      </c>
      <c r="K364" s="6">
        <v>0</v>
      </c>
      <c r="L364">
        <v>-10000</v>
      </c>
      <c r="M364">
        <v>0.14482781773853801</v>
      </c>
    </row>
    <row r="365" spans="1:13" x14ac:dyDescent="0.25">
      <c r="A365">
        <v>798</v>
      </c>
      <c r="B365" t="str">
        <f>"CPN2"</f>
        <v>CPN2</v>
      </c>
      <c r="C365" t="str">
        <f>""</f>
        <v/>
      </c>
      <c r="D365">
        <v>60.555999999999997</v>
      </c>
      <c r="E365">
        <v>3.3</v>
      </c>
      <c r="F365">
        <v>1</v>
      </c>
      <c r="G365">
        <v>0</v>
      </c>
      <c r="H365">
        <v>0</v>
      </c>
      <c r="I365" s="7">
        <v>0.56083181339430199</v>
      </c>
      <c r="J365" s="6">
        <v>0</v>
      </c>
      <c r="K365" s="6">
        <v>0</v>
      </c>
      <c r="L365">
        <v>-10000</v>
      </c>
      <c r="M365">
        <v>0.14482781773853801</v>
      </c>
    </row>
    <row r="366" spans="1:13" x14ac:dyDescent="0.25">
      <c r="A366">
        <v>819</v>
      </c>
      <c r="B366" t="str">
        <f>"NFYB"</f>
        <v>NFYB</v>
      </c>
      <c r="C366" t="str">
        <f>""</f>
        <v/>
      </c>
      <c r="D366">
        <v>22.831</v>
      </c>
      <c r="E366">
        <v>8.1999999999999993</v>
      </c>
      <c r="F366">
        <v>1</v>
      </c>
      <c r="G366">
        <v>0</v>
      </c>
      <c r="H366">
        <v>0</v>
      </c>
      <c r="I366" s="7">
        <v>0.56083181339430199</v>
      </c>
      <c r="J366" s="6">
        <v>0</v>
      </c>
      <c r="K366" s="6">
        <v>0</v>
      </c>
      <c r="L366">
        <v>-10000</v>
      </c>
      <c r="M366">
        <v>0.14482781773853801</v>
      </c>
    </row>
    <row r="367" spans="1:13" x14ac:dyDescent="0.25">
      <c r="A367">
        <v>877</v>
      </c>
      <c r="B367" t="str">
        <f>"PML"</f>
        <v>PML</v>
      </c>
      <c r="C367" t="str">
        <f>""</f>
        <v/>
      </c>
      <c r="D367">
        <v>47.573999999999998</v>
      </c>
      <c r="E367">
        <v>2.4</v>
      </c>
      <c r="F367">
        <v>1</v>
      </c>
      <c r="G367">
        <v>0</v>
      </c>
      <c r="H367">
        <v>0</v>
      </c>
      <c r="I367" s="7">
        <v>0.56083181339430199</v>
      </c>
      <c r="J367" s="6">
        <v>0</v>
      </c>
      <c r="K367" s="6">
        <v>0</v>
      </c>
      <c r="L367">
        <v>-10000</v>
      </c>
      <c r="M367">
        <v>0.14482781773853801</v>
      </c>
    </row>
    <row r="368" spans="1:13" x14ac:dyDescent="0.25">
      <c r="A368">
        <v>881</v>
      </c>
      <c r="B368" t="str">
        <f>"PBLD"</f>
        <v>PBLD</v>
      </c>
      <c r="C368" t="str">
        <f>""</f>
        <v/>
      </c>
      <c r="D368">
        <v>31.408999999999999</v>
      </c>
      <c r="E368">
        <v>5</v>
      </c>
      <c r="F368">
        <v>1</v>
      </c>
      <c r="G368">
        <v>0</v>
      </c>
      <c r="H368">
        <v>0</v>
      </c>
      <c r="I368" s="7">
        <v>0.56083181339430199</v>
      </c>
      <c r="J368" s="6">
        <v>0</v>
      </c>
      <c r="K368" s="6">
        <v>0</v>
      </c>
      <c r="L368">
        <v>-10000</v>
      </c>
      <c r="M368">
        <v>0.14482781773853801</v>
      </c>
    </row>
    <row r="369" spans="1:13" x14ac:dyDescent="0.25">
      <c r="A369">
        <v>887</v>
      </c>
      <c r="B369" t="str">
        <f>"CMPK1"</f>
        <v>CMPK1</v>
      </c>
      <c r="C369" t="str">
        <f>""</f>
        <v/>
      </c>
      <c r="D369">
        <v>16.547999999999998</v>
      </c>
      <c r="E369">
        <v>13.6</v>
      </c>
      <c r="F369">
        <v>1</v>
      </c>
      <c r="G369">
        <v>0</v>
      </c>
      <c r="H369">
        <v>0</v>
      </c>
      <c r="I369" s="7">
        <v>0.56083181339430199</v>
      </c>
      <c r="J369" s="6">
        <v>0</v>
      </c>
      <c r="K369" s="6">
        <v>0</v>
      </c>
      <c r="L369">
        <v>-10000</v>
      </c>
      <c r="M369">
        <v>0.14482781773853801</v>
      </c>
    </row>
    <row r="370" spans="1:13" x14ac:dyDescent="0.25">
      <c r="A370">
        <v>902</v>
      </c>
      <c r="B370" t="str">
        <f>"SERPINB1;SERPINI2"</f>
        <v>SERPINB1;SERPINI2</v>
      </c>
      <c r="C370" t="str">
        <f>""</f>
        <v/>
      </c>
      <c r="D370">
        <v>26.073</v>
      </c>
      <c r="E370">
        <v>8.3000000000000007</v>
      </c>
      <c r="F370">
        <v>1</v>
      </c>
      <c r="G370">
        <v>0</v>
      </c>
      <c r="H370">
        <v>0</v>
      </c>
      <c r="I370" s="7">
        <v>0.56083181339430199</v>
      </c>
      <c r="J370" s="6">
        <v>0</v>
      </c>
      <c r="K370" s="6">
        <v>0</v>
      </c>
      <c r="L370">
        <v>-10000</v>
      </c>
      <c r="M370">
        <v>0.14482781773853801</v>
      </c>
    </row>
    <row r="371" spans="1:13" x14ac:dyDescent="0.25">
      <c r="A371">
        <v>912</v>
      </c>
      <c r="B371" t="str">
        <f>"AKT1"</f>
        <v>AKT1</v>
      </c>
      <c r="C371" t="str">
        <f>"AKT1"</f>
        <v>AKT1</v>
      </c>
      <c r="D371">
        <v>48.345999999999997</v>
      </c>
      <c r="E371">
        <v>3.8</v>
      </c>
      <c r="F371">
        <v>1</v>
      </c>
      <c r="G371">
        <v>0</v>
      </c>
      <c r="H371">
        <v>0</v>
      </c>
      <c r="I371" s="7">
        <v>0.56083181339430199</v>
      </c>
      <c r="J371" s="6">
        <v>0</v>
      </c>
      <c r="K371" s="6">
        <v>0</v>
      </c>
      <c r="L371">
        <v>-10000</v>
      </c>
      <c r="M371">
        <v>0.14482781773853801</v>
      </c>
    </row>
    <row r="372" spans="1:13" x14ac:dyDescent="0.25">
      <c r="A372">
        <v>941</v>
      </c>
      <c r="B372" t="str">
        <f>"CTNNB1"</f>
        <v>CTNNB1</v>
      </c>
      <c r="C372" t="str">
        <f>""</f>
        <v/>
      </c>
      <c r="D372">
        <v>85.495999999999995</v>
      </c>
      <c r="E372">
        <v>3.6</v>
      </c>
      <c r="F372">
        <v>1</v>
      </c>
      <c r="G372">
        <v>0</v>
      </c>
      <c r="H372">
        <v>0</v>
      </c>
      <c r="I372" s="7">
        <v>0.56083181339430199</v>
      </c>
      <c r="J372" s="6">
        <v>0</v>
      </c>
      <c r="K372" s="6">
        <v>0</v>
      </c>
      <c r="L372">
        <v>-10000</v>
      </c>
      <c r="M372">
        <v>0.14482781773853801</v>
      </c>
    </row>
    <row r="373" spans="1:13" x14ac:dyDescent="0.25">
      <c r="A373">
        <v>950</v>
      </c>
      <c r="B373" t="str">
        <f>"SPR"</f>
        <v>SPR</v>
      </c>
      <c r="C373" t="str">
        <f>""</f>
        <v/>
      </c>
      <c r="D373">
        <v>28.047999999999998</v>
      </c>
      <c r="E373">
        <v>9.6</v>
      </c>
      <c r="F373">
        <v>1</v>
      </c>
      <c r="G373">
        <v>0</v>
      </c>
      <c r="H373">
        <v>0</v>
      </c>
      <c r="I373" s="7">
        <v>0.56083181339430199</v>
      </c>
      <c r="J373" s="6">
        <v>0</v>
      </c>
      <c r="K373" s="6">
        <v>0</v>
      </c>
      <c r="L373">
        <v>-10000</v>
      </c>
      <c r="M373">
        <v>0.14482781773853801</v>
      </c>
    </row>
    <row r="374" spans="1:13" x14ac:dyDescent="0.25">
      <c r="A374">
        <v>975</v>
      </c>
      <c r="B374" t="str">
        <f>"CFHR2;CFHR1"</f>
        <v>CFHR2;CFHR1</v>
      </c>
      <c r="C374" t="str">
        <f>""</f>
        <v/>
      </c>
      <c r="D374">
        <v>27.896000000000001</v>
      </c>
      <c r="E374">
        <v>4.5</v>
      </c>
      <c r="F374">
        <v>1</v>
      </c>
      <c r="G374">
        <v>0</v>
      </c>
      <c r="H374">
        <v>0</v>
      </c>
      <c r="I374" s="7">
        <v>0.56083181339430199</v>
      </c>
      <c r="J374" s="6">
        <v>0</v>
      </c>
      <c r="K374" s="6">
        <v>0</v>
      </c>
      <c r="L374">
        <v>-10000</v>
      </c>
      <c r="M374">
        <v>0.14482781773853801</v>
      </c>
    </row>
    <row r="375" spans="1:13" x14ac:dyDescent="0.25">
      <c r="A375">
        <v>1033</v>
      </c>
      <c r="B375" t="str">
        <f>"CRAT"</f>
        <v>CRAT</v>
      </c>
      <c r="C375" t="str">
        <f>""</f>
        <v/>
      </c>
      <c r="D375">
        <v>61.87</v>
      </c>
      <c r="E375">
        <v>1.7</v>
      </c>
      <c r="F375">
        <v>1</v>
      </c>
      <c r="G375">
        <v>0</v>
      </c>
      <c r="H375">
        <v>0</v>
      </c>
      <c r="I375" s="7">
        <v>0.56083181339430199</v>
      </c>
      <c r="J375" s="6">
        <v>0</v>
      </c>
      <c r="K375" s="6">
        <v>0</v>
      </c>
      <c r="L375">
        <v>-10000</v>
      </c>
      <c r="M375">
        <v>0.14482781773853801</v>
      </c>
    </row>
    <row r="376" spans="1:13" x14ac:dyDescent="0.25">
      <c r="A376">
        <v>1042</v>
      </c>
      <c r="B376" t="str">
        <f>"AFM"</f>
        <v>AFM</v>
      </c>
      <c r="C376" t="str">
        <f>""</f>
        <v/>
      </c>
      <c r="D376">
        <v>69.067999999999998</v>
      </c>
      <c r="E376">
        <v>1.5</v>
      </c>
      <c r="F376">
        <v>1</v>
      </c>
      <c r="G376">
        <v>0</v>
      </c>
      <c r="H376">
        <v>0</v>
      </c>
      <c r="I376" s="7">
        <v>0.56083181339430199</v>
      </c>
      <c r="J376" s="6">
        <v>0</v>
      </c>
      <c r="K376" s="6">
        <v>0</v>
      </c>
      <c r="L376">
        <v>-10000</v>
      </c>
      <c r="M376">
        <v>0.14482781773853801</v>
      </c>
    </row>
    <row r="377" spans="1:13" x14ac:dyDescent="0.25">
      <c r="A377">
        <v>1045</v>
      </c>
      <c r="B377" t="str">
        <f>"TSFM"</f>
        <v>TSFM</v>
      </c>
      <c r="C377" t="str">
        <f>""</f>
        <v/>
      </c>
      <c r="D377">
        <v>18.748000000000001</v>
      </c>
      <c r="E377">
        <v>18</v>
      </c>
      <c r="F377">
        <v>1</v>
      </c>
      <c r="G377">
        <v>0</v>
      </c>
      <c r="H377">
        <v>0</v>
      </c>
      <c r="I377" s="7">
        <v>0.56083181339430199</v>
      </c>
      <c r="J377" s="6">
        <v>0</v>
      </c>
      <c r="K377" s="6">
        <v>0</v>
      </c>
      <c r="L377">
        <v>-10000</v>
      </c>
      <c r="M377">
        <v>0.14482781773853801</v>
      </c>
    </row>
    <row r="378" spans="1:13" x14ac:dyDescent="0.25">
      <c r="A378">
        <v>1159</v>
      </c>
      <c r="B378" t="str">
        <f>"IDH3G"</f>
        <v>IDH3G</v>
      </c>
      <c r="C378" t="str">
        <f>""</f>
        <v/>
      </c>
      <c r="D378">
        <v>41.468000000000004</v>
      </c>
      <c r="E378">
        <v>2.9</v>
      </c>
      <c r="F378">
        <v>1</v>
      </c>
      <c r="G378">
        <v>0</v>
      </c>
      <c r="H378">
        <v>0</v>
      </c>
      <c r="I378" s="7">
        <v>0.56083181339430199</v>
      </c>
      <c r="J378" s="6">
        <v>0</v>
      </c>
      <c r="K378" s="6">
        <v>0</v>
      </c>
      <c r="L378">
        <v>-10000</v>
      </c>
      <c r="M378">
        <v>0.14482781773853801</v>
      </c>
    </row>
    <row r="379" spans="1:13" x14ac:dyDescent="0.25">
      <c r="A379">
        <v>1197</v>
      </c>
      <c r="B379" t="str">
        <f>"ARFIP1"</f>
        <v>ARFIP1</v>
      </c>
      <c r="C379" t="str">
        <f>""</f>
        <v/>
      </c>
      <c r="D379">
        <v>41.738</v>
      </c>
      <c r="E379">
        <v>12.3</v>
      </c>
      <c r="F379">
        <v>1</v>
      </c>
      <c r="G379">
        <v>0</v>
      </c>
      <c r="H379">
        <v>0</v>
      </c>
      <c r="I379" s="7">
        <v>0.56083181339430199</v>
      </c>
      <c r="J379" s="6">
        <v>0</v>
      </c>
      <c r="K379" s="6">
        <v>0</v>
      </c>
      <c r="L379">
        <v>-10000</v>
      </c>
      <c r="M379">
        <v>0.14482781773853801</v>
      </c>
    </row>
    <row r="380" spans="1:13" x14ac:dyDescent="0.25">
      <c r="A380">
        <v>1198</v>
      </c>
      <c r="B380" t="str">
        <f>"NUBP1"</f>
        <v>NUBP1</v>
      </c>
      <c r="C380" t="str">
        <f>""</f>
        <v/>
      </c>
      <c r="D380">
        <v>33.411999999999999</v>
      </c>
      <c r="E380">
        <v>5.8</v>
      </c>
      <c r="F380">
        <v>1</v>
      </c>
      <c r="G380">
        <v>0</v>
      </c>
      <c r="H380">
        <v>0</v>
      </c>
      <c r="I380" s="7">
        <v>0.56083181339430199</v>
      </c>
      <c r="J380" s="6">
        <v>0</v>
      </c>
      <c r="K380" s="6">
        <v>0</v>
      </c>
      <c r="L380">
        <v>-10000</v>
      </c>
      <c r="M380">
        <v>0.14482781773853801</v>
      </c>
    </row>
    <row r="381" spans="1:13" x14ac:dyDescent="0.25">
      <c r="A381">
        <v>1234</v>
      </c>
      <c r="B381" t="str">
        <f>"NAP1L1"</f>
        <v>NAP1L1</v>
      </c>
      <c r="C381" t="str">
        <f>""</f>
        <v/>
      </c>
      <c r="D381">
        <v>37.344000000000001</v>
      </c>
      <c r="E381">
        <v>3.4</v>
      </c>
      <c r="F381">
        <v>1</v>
      </c>
      <c r="G381">
        <v>0</v>
      </c>
      <c r="H381">
        <v>0</v>
      </c>
      <c r="I381" s="7">
        <v>0.56083181339430199</v>
      </c>
      <c r="J381" s="6">
        <v>0</v>
      </c>
      <c r="K381" s="6">
        <v>0</v>
      </c>
      <c r="L381">
        <v>-10000</v>
      </c>
      <c r="M381">
        <v>0.14482781773853801</v>
      </c>
    </row>
    <row r="382" spans="1:13" x14ac:dyDescent="0.25">
      <c r="A382">
        <v>1271</v>
      </c>
      <c r="B382" t="str">
        <f>"SPCS3"</f>
        <v>SPCS3</v>
      </c>
      <c r="C382" t="str">
        <f>""</f>
        <v/>
      </c>
      <c r="D382">
        <v>20.312999999999999</v>
      </c>
      <c r="E382">
        <v>5</v>
      </c>
      <c r="F382">
        <v>1</v>
      </c>
      <c r="G382">
        <v>0</v>
      </c>
      <c r="H382">
        <v>0</v>
      </c>
      <c r="I382" s="7">
        <v>0.56083181339430199</v>
      </c>
      <c r="J382" s="6">
        <v>0</v>
      </c>
      <c r="K382" s="6">
        <v>0</v>
      </c>
      <c r="L382">
        <v>-10000</v>
      </c>
      <c r="M382">
        <v>0.14482781773853801</v>
      </c>
    </row>
    <row r="383" spans="1:13" x14ac:dyDescent="0.25">
      <c r="A383">
        <v>1302</v>
      </c>
      <c r="B383" t="str">
        <f>"YWHAG"</f>
        <v>YWHAG</v>
      </c>
      <c r="C383" t="str">
        <f>""</f>
        <v/>
      </c>
      <c r="D383">
        <v>28.302</v>
      </c>
      <c r="E383">
        <v>11.3</v>
      </c>
      <c r="F383">
        <v>1</v>
      </c>
      <c r="G383">
        <v>0</v>
      </c>
      <c r="H383">
        <v>0</v>
      </c>
      <c r="I383" s="7">
        <v>0.56083181339430199</v>
      </c>
      <c r="J383" s="6">
        <v>0</v>
      </c>
      <c r="K383" s="6">
        <v>0</v>
      </c>
      <c r="L383">
        <v>-10000</v>
      </c>
      <c r="M383">
        <v>0.14482781773853801</v>
      </c>
    </row>
    <row r="384" spans="1:13" x14ac:dyDescent="0.25">
      <c r="A384">
        <v>1355</v>
      </c>
      <c r="B384" t="str">
        <f>"SUMO1"</f>
        <v>SUMO1</v>
      </c>
      <c r="C384" t="str">
        <f>""</f>
        <v/>
      </c>
      <c r="D384">
        <v>11.557</v>
      </c>
      <c r="E384">
        <v>15.8</v>
      </c>
      <c r="F384">
        <v>1</v>
      </c>
      <c r="G384">
        <v>0</v>
      </c>
      <c r="H384">
        <v>0</v>
      </c>
      <c r="I384" s="7">
        <v>0.56083181339430199</v>
      </c>
      <c r="J384" s="6">
        <v>0</v>
      </c>
      <c r="K384" s="6">
        <v>0</v>
      </c>
      <c r="L384">
        <v>-10000</v>
      </c>
      <c r="M384">
        <v>0.14482781773853801</v>
      </c>
    </row>
    <row r="385" spans="1:13" x14ac:dyDescent="0.25">
      <c r="A385">
        <v>1373</v>
      </c>
      <c r="B385" t="str">
        <f>"PSPH"</f>
        <v>PSPH</v>
      </c>
      <c r="C385" t="str">
        <f>""</f>
        <v/>
      </c>
      <c r="D385">
        <v>25.007000000000001</v>
      </c>
      <c r="E385">
        <v>9.3000000000000007</v>
      </c>
      <c r="F385">
        <v>1</v>
      </c>
      <c r="G385">
        <v>0</v>
      </c>
      <c r="H385">
        <v>0</v>
      </c>
      <c r="I385" s="7">
        <v>0.56083181339430199</v>
      </c>
      <c r="J385" s="6">
        <v>0</v>
      </c>
      <c r="K385" s="6">
        <v>0</v>
      </c>
      <c r="L385">
        <v>-10000</v>
      </c>
      <c r="M385">
        <v>0.14482781773853801</v>
      </c>
    </row>
    <row r="386" spans="1:13" x14ac:dyDescent="0.25">
      <c r="A386">
        <v>1382</v>
      </c>
      <c r="B386" t="str">
        <f>"MAP1A"</f>
        <v>MAP1A</v>
      </c>
      <c r="C386" t="str">
        <f>""</f>
        <v/>
      </c>
      <c r="D386">
        <v>305.48</v>
      </c>
      <c r="E386">
        <v>0.9</v>
      </c>
      <c r="F386">
        <v>1</v>
      </c>
      <c r="G386">
        <v>0</v>
      </c>
      <c r="H386">
        <v>0</v>
      </c>
      <c r="I386" s="7">
        <v>0.56083181339430199</v>
      </c>
      <c r="J386" s="6">
        <v>0</v>
      </c>
      <c r="K386" s="6">
        <v>0</v>
      </c>
      <c r="L386">
        <v>-10000</v>
      </c>
      <c r="M386">
        <v>0.14482781773853801</v>
      </c>
    </row>
    <row r="387" spans="1:13" x14ac:dyDescent="0.25">
      <c r="A387">
        <v>1430</v>
      </c>
      <c r="B387" t="str">
        <f>"SATB2;SATB1"</f>
        <v>SATB2;SATB1</v>
      </c>
      <c r="C387" t="str">
        <f>""</f>
        <v/>
      </c>
      <c r="D387">
        <v>69.135999999999996</v>
      </c>
      <c r="E387">
        <v>1.8</v>
      </c>
      <c r="F387">
        <v>1</v>
      </c>
      <c r="G387">
        <v>0</v>
      </c>
      <c r="H387">
        <v>0</v>
      </c>
      <c r="I387" s="7">
        <v>0.56083181339430199</v>
      </c>
      <c r="J387" s="6">
        <v>0</v>
      </c>
      <c r="K387" s="6">
        <v>0</v>
      </c>
      <c r="L387">
        <v>-10000</v>
      </c>
      <c r="M387">
        <v>0.14482781773853801</v>
      </c>
    </row>
    <row r="388" spans="1:13" x14ac:dyDescent="0.25">
      <c r="A388">
        <v>1440</v>
      </c>
      <c r="B388" t="str">
        <f>"NUCB1"</f>
        <v>NUCB1</v>
      </c>
      <c r="C388" t="str">
        <f>""</f>
        <v/>
      </c>
      <c r="D388">
        <v>53.878999999999998</v>
      </c>
      <c r="E388">
        <v>2.4</v>
      </c>
      <c r="F388">
        <v>1</v>
      </c>
      <c r="G388">
        <v>0</v>
      </c>
      <c r="H388">
        <v>0</v>
      </c>
      <c r="I388" s="7">
        <v>0.56083181339430199</v>
      </c>
      <c r="J388" s="6">
        <v>0</v>
      </c>
      <c r="K388" s="6">
        <v>0</v>
      </c>
      <c r="L388">
        <v>-10000</v>
      </c>
      <c r="M388">
        <v>0.14482781773853801</v>
      </c>
    </row>
    <row r="389" spans="1:13" x14ac:dyDescent="0.25">
      <c r="A389">
        <v>1469</v>
      </c>
      <c r="B389" t="str">
        <f>"RAD51"</f>
        <v>RAD51</v>
      </c>
      <c r="C389" t="str">
        <f>""</f>
        <v/>
      </c>
      <c r="D389">
        <v>31.001000000000001</v>
      </c>
      <c r="E389">
        <v>8.1999999999999993</v>
      </c>
      <c r="F389">
        <v>1</v>
      </c>
      <c r="G389">
        <v>0</v>
      </c>
      <c r="H389">
        <v>0</v>
      </c>
      <c r="I389" s="7">
        <v>0.56083181339430199</v>
      </c>
      <c r="J389" s="6">
        <v>0</v>
      </c>
      <c r="K389" s="6">
        <v>0</v>
      </c>
      <c r="L389">
        <v>-10000</v>
      </c>
      <c r="M389">
        <v>0.14482781773853801</v>
      </c>
    </row>
    <row r="390" spans="1:13" x14ac:dyDescent="0.25">
      <c r="A390">
        <v>1499</v>
      </c>
      <c r="B390" t="str">
        <f>"GALNT1"</f>
        <v>GALNT1</v>
      </c>
      <c r="C390" t="str">
        <f>""</f>
        <v/>
      </c>
      <c r="D390">
        <v>64.218000000000004</v>
      </c>
      <c r="E390">
        <v>2</v>
      </c>
      <c r="F390">
        <v>1</v>
      </c>
      <c r="G390">
        <v>0</v>
      </c>
      <c r="H390">
        <v>0</v>
      </c>
      <c r="I390" s="7">
        <v>0.56083181339430199</v>
      </c>
      <c r="J390" s="6">
        <v>0</v>
      </c>
      <c r="K390" s="6">
        <v>0</v>
      </c>
      <c r="L390">
        <v>-10000</v>
      </c>
      <c r="M390">
        <v>0.14482781773853801</v>
      </c>
    </row>
    <row r="391" spans="1:13" x14ac:dyDescent="0.25">
      <c r="A391">
        <v>1503</v>
      </c>
      <c r="B391" t="str">
        <f>"SCRN1"</f>
        <v>SCRN1</v>
      </c>
      <c r="C391" t="str">
        <f>""</f>
        <v/>
      </c>
      <c r="D391">
        <v>48.713000000000001</v>
      </c>
      <c r="E391">
        <v>6.7</v>
      </c>
      <c r="F391">
        <v>1</v>
      </c>
      <c r="G391">
        <v>0</v>
      </c>
      <c r="H391">
        <v>0</v>
      </c>
      <c r="I391" s="7">
        <v>0.56083181339430199</v>
      </c>
      <c r="J391" s="6">
        <v>0</v>
      </c>
      <c r="K391" s="6">
        <v>0</v>
      </c>
      <c r="L391">
        <v>-10000</v>
      </c>
      <c r="M391">
        <v>0.14482781773853801</v>
      </c>
    </row>
    <row r="392" spans="1:13" x14ac:dyDescent="0.25">
      <c r="A392">
        <v>1557</v>
      </c>
      <c r="B392" t="str">
        <f>"PTK7"</f>
        <v>PTK7</v>
      </c>
      <c r="C392" t="str">
        <f>"PTK7"</f>
        <v>PTK7</v>
      </c>
      <c r="D392">
        <v>112.26</v>
      </c>
      <c r="E392">
        <v>3.4</v>
      </c>
      <c r="F392">
        <v>1</v>
      </c>
      <c r="G392">
        <v>0</v>
      </c>
      <c r="H392">
        <v>0</v>
      </c>
      <c r="I392" s="7">
        <v>0.56083181339430199</v>
      </c>
      <c r="J392" s="6">
        <v>0</v>
      </c>
      <c r="K392" s="6">
        <v>0</v>
      </c>
      <c r="L392">
        <v>-10000</v>
      </c>
      <c r="M392">
        <v>0.14482781773853801</v>
      </c>
    </row>
    <row r="393" spans="1:13" x14ac:dyDescent="0.25">
      <c r="A393">
        <v>1568</v>
      </c>
      <c r="B393" t="str">
        <f>"NNT"</f>
        <v>NNT</v>
      </c>
      <c r="C393" t="str">
        <f>""</f>
        <v/>
      </c>
      <c r="D393">
        <v>113.89</v>
      </c>
      <c r="E393">
        <v>1.8</v>
      </c>
      <c r="F393">
        <v>1</v>
      </c>
      <c r="G393">
        <v>0</v>
      </c>
      <c r="H393">
        <v>0</v>
      </c>
      <c r="I393" s="7">
        <v>0.56083181339430199</v>
      </c>
      <c r="J393" s="6">
        <v>0</v>
      </c>
      <c r="K393" s="6">
        <v>0</v>
      </c>
      <c r="L393">
        <v>-10000</v>
      </c>
      <c r="M393">
        <v>0.14482781773853801</v>
      </c>
    </row>
    <row r="394" spans="1:13" x14ac:dyDescent="0.25">
      <c r="A394">
        <v>1598</v>
      </c>
      <c r="B394" t="str">
        <f>"RAB32"</f>
        <v>RAB32</v>
      </c>
      <c r="C394" t="str">
        <f>""</f>
        <v/>
      </c>
      <c r="D394">
        <v>24.997</v>
      </c>
      <c r="E394">
        <v>15.1</v>
      </c>
      <c r="F394">
        <v>1</v>
      </c>
      <c r="G394">
        <v>0</v>
      </c>
      <c r="H394">
        <v>0</v>
      </c>
      <c r="I394" s="7">
        <v>0.56083181339430199</v>
      </c>
      <c r="J394" s="6">
        <v>0</v>
      </c>
      <c r="K394" s="6">
        <v>0</v>
      </c>
      <c r="L394">
        <v>-10000</v>
      </c>
      <c r="M394">
        <v>0.14482781773853801</v>
      </c>
    </row>
    <row r="395" spans="1:13" x14ac:dyDescent="0.25">
      <c r="A395">
        <v>1647</v>
      </c>
      <c r="B395" t="str">
        <f>"HLTF"</f>
        <v>HLTF</v>
      </c>
      <c r="C395" t="str">
        <f>""</f>
        <v/>
      </c>
      <c r="D395">
        <v>99.918000000000006</v>
      </c>
      <c r="E395">
        <v>1.5</v>
      </c>
      <c r="F395">
        <v>1</v>
      </c>
      <c r="G395">
        <v>0</v>
      </c>
      <c r="H395">
        <v>0</v>
      </c>
      <c r="I395" s="7">
        <v>0.56083181339430199</v>
      </c>
      <c r="J395" s="6">
        <v>0</v>
      </c>
      <c r="K395" s="6">
        <v>0</v>
      </c>
      <c r="L395">
        <v>-10000</v>
      </c>
      <c r="M395">
        <v>0.14482781773853801</v>
      </c>
    </row>
    <row r="396" spans="1:13" x14ac:dyDescent="0.25">
      <c r="A396">
        <v>1656</v>
      </c>
      <c r="B396" t="str">
        <f>"ESPL1"</f>
        <v>ESPL1</v>
      </c>
      <c r="C396" t="str">
        <f>""</f>
        <v/>
      </c>
      <c r="D396">
        <v>233.17</v>
      </c>
      <c r="E396">
        <v>1.4</v>
      </c>
      <c r="F396">
        <v>1</v>
      </c>
      <c r="G396">
        <v>0</v>
      </c>
      <c r="H396">
        <v>0</v>
      </c>
      <c r="I396" s="7">
        <v>0.56083181339430199</v>
      </c>
      <c r="J396" s="6">
        <v>0</v>
      </c>
      <c r="K396" s="6">
        <v>0</v>
      </c>
      <c r="L396">
        <v>-10000</v>
      </c>
      <c r="M396">
        <v>0.14482781773853801</v>
      </c>
    </row>
    <row r="397" spans="1:13" x14ac:dyDescent="0.25">
      <c r="A397">
        <v>1748</v>
      </c>
      <c r="B397" t="str">
        <f>"SLC1A5"</f>
        <v>SLC1A5</v>
      </c>
      <c r="C397" t="str">
        <f>""</f>
        <v/>
      </c>
      <c r="D397">
        <v>33.709000000000003</v>
      </c>
      <c r="E397">
        <v>5.0999999999999996</v>
      </c>
      <c r="F397">
        <v>1</v>
      </c>
      <c r="G397">
        <v>0</v>
      </c>
      <c r="H397">
        <v>0</v>
      </c>
      <c r="I397" s="7">
        <v>0.56083181339430199</v>
      </c>
      <c r="J397" s="6">
        <v>0</v>
      </c>
      <c r="K397" s="6">
        <v>0</v>
      </c>
      <c r="L397">
        <v>-10000</v>
      </c>
      <c r="M397">
        <v>0.14482781773853801</v>
      </c>
    </row>
    <row r="398" spans="1:13" x14ac:dyDescent="0.25">
      <c r="A398">
        <v>1756</v>
      </c>
      <c r="B398" t="str">
        <f>"UAP1"</f>
        <v>UAP1</v>
      </c>
      <c r="C398" t="str">
        <f>""</f>
        <v/>
      </c>
      <c r="D398">
        <v>57.027999999999999</v>
      </c>
      <c r="E398">
        <v>8.6999999999999993</v>
      </c>
      <c r="F398">
        <v>1</v>
      </c>
      <c r="G398">
        <v>0</v>
      </c>
      <c r="H398">
        <v>0</v>
      </c>
      <c r="I398" s="7">
        <v>0.56083181339430199</v>
      </c>
      <c r="J398" s="6">
        <v>0</v>
      </c>
      <c r="K398" s="6">
        <v>0</v>
      </c>
      <c r="L398">
        <v>-10000</v>
      </c>
      <c r="M398">
        <v>0.14482781773853801</v>
      </c>
    </row>
    <row r="399" spans="1:13" x14ac:dyDescent="0.25">
      <c r="A399">
        <v>1762</v>
      </c>
      <c r="B399" t="str">
        <f>"PPP2R5E"</f>
        <v>PPP2R5E</v>
      </c>
      <c r="C399" t="str">
        <f>""</f>
        <v/>
      </c>
      <c r="D399">
        <v>46.179000000000002</v>
      </c>
      <c r="E399">
        <v>3.6</v>
      </c>
      <c r="F399">
        <v>1</v>
      </c>
      <c r="G399">
        <v>0</v>
      </c>
      <c r="H399">
        <v>0</v>
      </c>
      <c r="I399" s="7">
        <v>0.56083181339430199</v>
      </c>
      <c r="J399" s="6">
        <v>0</v>
      </c>
      <c r="K399" s="6">
        <v>0</v>
      </c>
      <c r="L399">
        <v>-10000</v>
      </c>
      <c r="M399">
        <v>0.14482781773853801</v>
      </c>
    </row>
    <row r="400" spans="1:13" x14ac:dyDescent="0.25">
      <c r="A400">
        <v>1777</v>
      </c>
      <c r="B400" t="str">
        <f>"GUK1"</f>
        <v>GUK1</v>
      </c>
      <c r="C400" t="str">
        <f>""</f>
        <v/>
      </c>
      <c r="D400">
        <v>21.725000000000001</v>
      </c>
      <c r="E400">
        <v>5.6</v>
      </c>
      <c r="F400">
        <v>1</v>
      </c>
      <c r="G400">
        <v>0</v>
      </c>
      <c r="H400">
        <v>0</v>
      </c>
      <c r="I400" s="7">
        <v>0.56083181339430199</v>
      </c>
      <c r="J400" s="6">
        <v>0</v>
      </c>
      <c r="K400" s="6">
        <v>0</v>
      </c>
      <c r="L400">
        <v>-10000</v>
      </c>
      <c r="M400">
        <v>0.14482781773853801</v>
      </c>
    </row>
    <row r="401" spans="1:13" x14ac:dyDescent="0.25">
      <c r="A401">
        <v>1799</v>
      </c>
      <c r="B401" t="str">
        <f>"SMU1"</f>
        <v>SMU1</v>
      </c>
      <c r="C401" t="str">
        <f>""</f>
        <v/>
      </c>
      <c r="D401">
        <v>57.542999999999999</v>
      </c>
      <c r="E401">
        <v>1.8</v>
      </c>
      <c r="F401">
        <v>1</v>
      </c>
      <c r="G401">
        <v>0</v>
      </c>
      <c r="H401">
        <v>0</v>
      </c>
      <c r="I401" s="7">
        <v>0.56083181339430199</v>
      </c>
      <c r="J401" s="6">
        <v>0</v>
      </c>
      <c r="K401" s="6">
        <v>0</v>
      </c>
      <c r="L401">
        <v>-10000</v>
      </c>
      <c r="M401">
        <v>0.14482781773853801</v>
      </c>
    </row>
    <row r="402" spans="1:13" x14ac:dyDescent="0.25">
      <c r="A402">
        <v>1801</v>
      </c>
      <c r="B402" t="str">
        <f>"CWF19L2"</f>
        <v>CWF19L2</v>
      </c>
      <c r="C402" t="str">
        <f>""</f>
        <v/>
      </c>
      <c r="D402">
        <v>77.597999999999999</v>
      </c>
      <c r="E402">
        <v>3.3</v>
      </c>
      <c r="F402">
        <v>1</v>
      </c>
      <c r="G402">
        <v>0</v>
      </c>
      <c r="H402">
        <v>0</v>
      </c>
      <c r="I402" s="7">
        <v>0.56083181339430199</v>
      </c>
      <c r="J402" s="6">
        <v>0</v>
      </c>
      <c r="K402" s="6">
        <v>0</v>
      </c>
      <c r="L402">
        <v>-10000</v>
      </c>
      <c r="M402">
        <v>0.14482781773853801</v>
      </c>
    </row>
    <row r="403" spans="1:13" x14ac:dyDescent="0.25">
      <c r="A403">
        <v>1810</v>
      </c>
      <c r="B403" t="str">
        <f>"TIMM50"</f>
        <v>TIMM50</v>
      </c>
      <c r="C403" t="str">
        <f>""</f>
        <v/>
      </c>
      <c r="D403">
        <v>27.577999999999999</v>
      </c>
      <c r="E403">
        <v>5.8</v>
      </c>
      <c r="F403">
        <v>1</v>
      </c>
      <c r="G403">
        <v>0</v>
      </c>
      <c r="H403">
        <v>0</v>
      </c>
      <c r="I403" s="7">
        <v>0.56083181339430199</v>
      </c>
      <c r="J403" s="6">
        <v>0</v>
      </c>
      <c r="K403" s="6">
        <v>0</v>
      </c>
      <c r="L403">
        <v>-10000</v>
      </c>
      <c r="M403">
        <v>0.14482781773853801</v>
      </c>
    </row>
    <row r="404" spans="1:13" x14ac:dyDescent="0.25">
      <c r="A404">
        <v>1844</v>
      </c>
      <c r="B404" t="str">
        <f>"PCID2"</f>
        <v>PCID2</v>
      </c>
      <c r="C404" t="str">
        <f>""</f>
        <v/>
      </c>
      <c r="D404">
        <v>43.374000000000002</v>
      </c>
      <c r="E404">
        <v>3.2</v>
      </c>
      <c r="F404">
        <v>1</v>
      </c>
      <c r="G404">
        <v>0</v>
      </c>
      <c r="H404">
        <v>0</v>
      </c>
      <c r="I404" s="7">
        <v>0.56083181339430199</v>
      </c>
      <c r="J404" s="6">
        <v>0</v>
      </c>
      <c r="K404" s="6">
        <v>0</v>
      </c>
      <c r="L404">
        <v>-10000</v>
      </c>
      <c r="M404">
        <v>0.14482781773853801</v>
      </c>
    </row>
    <row r="405" spans="1:13" x14ac:dyDescent="0.25">
      <c r="A405">
        <v>1847</v>
      </c>
      <c r="B405" t="str">
        <f>"TBCEL"</f>
        <v>TBCEL</v>
      </c>
      <c r="C405" t="str">
        <f>""</f>
        <v/>
      </c>
      <c r="D405">
        <v>48.194000000000003</v>
      </c>
      <c r="E405">
        <v>3.8</v>
      </c>
      <c r="F405">
        <v>1</v>
      </c>
      <c r="G405">
        <v>0</v>
      </c>
      <c r="H405">
        <v>0</v>
      </c>
      <c r="I405" s="7">
        <v>0.56083181339430199</v>
      </c>
      <c r="J405" s="6">
        <v>0</v>
      </c>
      <c r="K405" s="6">
        <v>0</v>
      </c>
      <c r="L405">
        <v>-10000</v>
      </c>
      <c r="M405">
        <v>0.14482781773853801</v>
      </c>
    </row>
    <row r="406" spans="1:13" x14ac:dyDescent="0.25">
      <c r="A406">
        <v>1848</v>
      </c>
      <c r="B406" t="str">
        <f>"DNTTIP2"</f>
        <v>DNTTIP2</v>
      </c>
      <c r="C406" t="str">
        <f>""</f>
        <v/>
      </c>
      <c r="D406">
        <v>84.468000000000004</v>
      </c>
      <c r="E406">
        <v>1.7</v>
      </c>
      <c r="F406">
        <v>1</v>
      </c>
      <c r="G406">
        <v>0</v>
      </c>
      <c r="H406">
        <v>0</v>
      </c>
      <c r="I406" s="7">
        <v>0.56083181339430199</v>
      </c>
      <c r="J406" s="6">
        <v>0</v>
      </c>
      <c r="K406" s="6">
        <v>0</v>
      </c>
      <c r="L406">
        <v>-10000</v>
      </c>
      <c r="M406">
        <v>0.14482781773853801</v>
      </c>
    </row>
    <row r="407" spans="1:13" x14ac:dyDescent="0.25">
      <c r="A407">
        <v>1903</v>
      </c>
      <c r="B407" t="str">
        <f>"HEATR6"</f>
        <v>HEATR6</v>
      </c>
      <c r="C407" t="str">
        <f>""</f>
        <v/>
      </c>
      <c r="D407">
        <v>128.78</v>
      </c>
      <c r="E407">
        <v>1.3</v>
      </c>
      <c r="F407">
        <v>1</v>
      </c>
      <c r="G407">
        <v>0</v>
      </c>
      <c r="H407">
        <v>0</v>
      </c>
      <c r="I407" s="7">
        <v>0.56083181339430199</v>
      </c>
      <c r="J407" s="6">
        <v>0</v>
      </c>
      <c r="K407" s="6">
        <v>0</v>
      </c>
      <c r="L407">
        <v>-10000</v>
      </c>
      <c r="M407">
        <v>0.14482781773853801</v>
      </c>
    </row>
    <row r="408" spans="1:13" x14ac:dyDescent="0.25">
      <c r="A408">
        <v>1984</v>
      </c>
      <c r="B408" t="str">
        <f>""</f>
        <v/>
      </c>
      <c r="C408" t="str">
        <f>""</f>
        <v/>
      </c>
      <c r="D408">
        <v>68.171000000000006</v>
      </c>
      <c r="E408">
        <v>2.6</v>
      </c>
      <c r="F408">
        <v>1</v>
      </c>
      <c r="G408">
        <v>0</v>
      </c>
      <c r="H408">
        <v>0</v>
      </c>
      <c r="I408" s="7">
        <v>0.56083181339430199</v>
      </c>
      <c r="J408" s="6">
        <v>0</v>
      </c>
      <c r="K408" s="6">
        <v>0</v>
      </c>
      <c r="L408">
        <v>-10000</v>
      </c>
      <c r="M408">
        <v>0.14482781773853801</v>
      </c>
    </row>
    <row r="409" spans="1:13" x14ac:dyDescent="0.25">
      <c r="A409">
        <v>2019</v>
      </c>
      <c r="B409" t="str">
        <f>"NUFIP2"</f>
        <v>NUFIP2</v>
      </c>
      <c r="C409" t="str">
        <f>""</f>
        <v/>
      </c>
      <c r="D409">
        <v>76.12</v>
      </c>
      <c r="E409">
        <v>3</v>
      </c>
      <c r="F409">
        <v>1</v>
      </c>
      <c r="G409">
        <v>0</v>
      </c>
      <c r="H409">
        <v>0</v>
      </c>
      <c r="I409" s="7">
        <v>0.56083181339430199</v>
      </c>
      <c r="J409" s="6">
        <v>0</v>
      </c>
      <c r="K409" s="6">
        <v>0</v>
      </c>
      <c r="L409">
        <v>-10000</v>
      </c>
      <c r="M409">
        <v>0.14482781773853801</v>
      </c>
    </row>
    <row r="410" spans="1:13" x14ac:dyDescent="0.25">
      <c r="A410">
        <v>2048</v>
      </c>
      <c r="B410" t="str">
        <f>"PRPF39"</f>
        <v>PRPF39</v>
      </c>
      <c r="C410" t="str">
        <f>""</f>
        <v/>
      </c>
      <c r="D410">
        <v>31.492999999999999</v>
      </c>
      <c r="E410">
        <v>4.8</v>
      </c>
      <c r="F410">
        <v>1</v>
      </c>
      <c r="G410">
        <v>0</v>
      </c>
      <c r="H410">
        <v>0</v>
      </c>
      <c r="I410" s="7">
        <v>0.56083181339430199</v>
      </c>
      <c r="J410" s="6">
        <v>0</v>
      </c>
      <c r="K410" s="6">
        <v>0</v>
      </c>
      <c r="L410">
        <v>-10000</v>
      </c>
      <c r="M410">
        <v>0.14482781773853801</v>
      </c>
    </row>
    <row r="411" spans="1:13" x14ac:dyDescent="0.25">
      <c r="A411">
        <v>2049</v>
      </c>
      <c r="B411" t="str">
        <f>"MTDH"</f>
        <v>MTDH</v>
      </c>
      <c r="C411" t="str">
        <f>""</f>
        <v/>
      </c>
      <c r="D411">
        <v>63.835999999999999</v>
      </c>
      <c r="E411">
        <v>5.8</v>
      </c>
      <c r="F411">
        <v>1</v>
      </c>
      <c r="G411">
        <v>0</v>
      </c>
      <c r="H411">
        <v>0</v>
      </c>
      <c r="I411" s="7">
        <v>0.56083181339430199</v>
      </c>
      <c r="J411" s="6">
        <v>0</v>
      </c>
      <c r="K411" s="6">
        <v>0</v>
      </c>
      <c r="L411">
        <v>-10000</v>
      </c>
      <c r="M411">
        <v>0.14482781773853801</v>
      </c>
    </row>
    <row r="412" spans="1:13" x14ac:dyDescent="0.25">
      <c r="A412">
        <v>2050</v>
      </c>
      <c r="B412" t="str">
        <f>"TLK2"</f>
        <v>TLK2</v>
      </c>
      <c r="C412" t="str">
        <f>"TLK2"</f>
        <v>TLK2</v>
      </c>
      <c r="D412">
        <v>82.346999999999994</v>
      </c>
      <c r="E412">
        <v>2.2000000000000002</v>
      </c>
      <c r="F412">
        <v>1</v>
      </c>
      <c r="G412">
        <v>0</v>
      </c>
      <c r="H412">
        <v>0</v>
      </c>
      <c r="I412" s="7">
        <v>0.56083181339430199</v>
      </c>
      <c r="J412" s="6">
        <v>0</v>
      </c>
      <c r="K412" s="6">
        <v>0</v>
      </c>
      <c r="L412">
        <v>-10000</v>
      </c>
      <c r="M412">
        <v>0.14482781773853801</v>
      </c>
    </row>
    <row r="413" spans="1:13" x14ac:dyDescent="0.25">
      <c r="A413">
        <v>2065</v>
      </c>
      <c r="B413" t="str">
        <f>"AMZ2"</f>
        <v>AMZ2</v>
      </c>
      <c r="C413" t="str">
        <f>""</f>
        <v/>
      </c>
      <c r="D413">
        <v>34.594000000000001</v>
      </c>
      <c r="E413">
        <v>3.3</v>
      </c>
      <c r="F413">
        <v>1</v>
      </c>
      <c r="G413">
        <v>0</v>
      </c>
      <c r="H413">
        <v>0</v>
      </c>
      <c r="I413" s="7">
        <v>0.56083181339430199</v>
      </c>
      <c r="J413" s="6">
        <v>0</v>
      </c>
      <c r="K413" s="6">
        <v>0</v>
      </c>
      <c r="L413">
        <v>-10000</v>
      </c>
      <c r="M413">
        <v>0.14482781773853801</v>
      </c>
    </row>
    <row r="414" spans="1:13" x14ac:dyDescent="0.25">
      <c r="A414">
        <v>2080</v>
      </c>
      <c r="B414" t="str">
        <f>"STX12"</f>
        <v>STX12</v>
      </c>
      <c r="C414" t="str">
        <f>""</f>
        <v/>
      </c>
      <c r="D414">
        <v>31.641999999999999</v>
      </c>
      <c r="E414">
        <v>6.2</v>
      </c>
      <c r="F414">
        <v>1</v>
      </c>
      <c r="G414">
        <v>0</v>
      </c>
      <c r="H414">
        <v>0</v>
      </c>
      <c r="I414" s="7">
        <v>0.56083181339430199</v>
      </c>
      <c r="J414" s="6">
        <v>0</v>
      </c>
      <c r="K414" s="6">
        <v>0</v>
      </c>
      <c r="L414">
        <v>-10000</v>
      </c>
      <c r="M414">
        <v>0.14482781773853801</v>
      </c>
    </row>
    <row r="415" spans="1:13" x14ac:dyDescent="0.25">
      <c r="A415">
        <v>2108</v>
      </c>
      <c r="B415" t="str">
        <f>"SUPV3L1"</f>
        <v>SUPV3L1</v>
      </c>
      <c r="C415" t="str">
        <f>""</f>
        <v/>
      </c>
      <c r="D415">
        <v>87.99</v>
      </c>
      <c r="E415">
        <v>3.7</v>
      </c>
      <c r="F415">
        <v>1</v>
      </c>
      <c r="G415">
        <v>0</v>
      </c>
      <c r="H415">
        <v>0</v>
      </c>
      <c r="I415" s="7">
        <v>0.56083181339430199</v>
      </c>
      <c r="J415" s="6">
        <v>0</v>
      </c>
      <c r="K415" s="6">
        <v>0</v>
      </c>
      <c r="L415">
        <v>-10000</v>
      </c>
      <c r="M415">
        <v>0.14482781773853801</v>
      </c>
    </row>
    <row r="416" spans="1:13" x14ac:dyDescent="0.25">
      <c r="A416">
        <v>2120</v>
      </c>
      <c r="B416" t="str">
        <f>"WDFY3"</f>
        <v>WDFY3</v>
      </c>
      <c r="C416" t="str">
        <f>""</f>
        <v/>
      </c>
      <c r="D416">
        <v>393.36</v>
      </c>
      <c r="E416">
        <v>0.3</v>
      </c>
      <c r="F416">
        <v>1</v>
      </c>
      <c r="G416">
        <v>0</v>
      </c>
      <c r="H416">
        <v>0</v>
      </c>
      <c r="I416" s="7">
        <v>0.56083181339430199</v>
      </c>
      <c r="J416" s="6">
        <v>0</v>
      </c>
      <c r="K416" s="6">
        <v>0</v>
      </c>
      <c r="L416">
        <v>-10000</v>
      </c>
      <c r="M416">
        <v>0.14482781773853801</v>
      </c>
    </row>
    <row r="417" spans="1:13" x14ac:dyDescent="0.25">
      <c r="A417">
        <v>2121</v>
      </c>
      <c r="B417" t="str">
        <f>"C8orf59"</f>
        <v>C8orf59</v>
      </c>
      <c r="C417" t="str">
        <f>""</f>
        <v/>
      </c>
      <c r="D417">
        <v>4.9067999999999996</v>
      </c>
      <c r="E417">
        <v>20.9</v>
      </c>
      <c r="F417">
        <v>1</v>
      </c>
      <c r="G417">
        <v>0</v>
      </c>
      <c r="H417">
        <v>0</v>
      </c>
      <c r="I417" s="7">
        <v>0.56083181339430199</v>
      </c>
      <c r="J417" s="6">
        <v>0</v>
      </c>
      <c r="K417" s="6">
        <v>0</v>
      </c>
      <c r="L417">
        <v>-10000</v>
      </c>
      <c r="M417">
        <v>0.14482781773853801</v>
      </c>
    </row>
    <row r="418" spans="1:13" x14ac:dyDescent="0.25">
      <c r="A418">
        <v>2140</v>
      </c>
      <c r="B418" t="str">
        <f>"MICALL1"</f>
        <v>MICALL1</v>
      </c>
      <c r="C418" t="str">
        <f>""</f>
        <v/>
      </c>
      <c r="D418">
        <v>93.44</v>
      </c>
      <c r="E418">
        <v>3.6</v>
      </c>
      <c r="F418">
        <v>1</v>
      </c>
      <c r="G418">
        <v>0</v>
      </c>
      <c r="H418">
        <v>0</v>
      </c>
      <c r="I418" s="7">
        <v>0.56083181339430199</v>
      </c>
      <c r="J418" s="6">
        <v>0</v>
      </c>
      <c r="K418" s="6">
        <v>0</v>
      </c>
      <c r="L418">
        <v>-10000</v>
      </c>
      <c r="M418">
        <v>0.14482781773853801</v>
      </c>
    </row>
    <row r="419" spans="1:13" x14ac:dyDescent="0.25">
      <c r="A419">
        <v>2188</v>
      </c>
      <c r="B419" t="str">
        <f>"SRFBP1"</f>
        <v>SRFBP1</v>
      </c>
      <c r="C419" t="str">
        <f>""</f>
        <v/>
      </c>
      <c r="D419">
        <v>48.633000000000003</v>
      </c>
      <c r="E419">
        <v>2.8</v>
      </c>
      <c r="F419">
        <v>1</v>
      </c>
      <c r="G419">
        <v>0</v>
      </c>
      <c r="H419">
        <v>0</v>
      </c>
      <c r="I419" s="7">
        <v>0.56083181339430199</v>
      </c>
      <c r="J419" s="6">
        <v>0</v>
      </c>
      <c r="K419" s="6">
        <v>0</v>
      </c>
      <c r="L419">
        <v>-10000</v>
      </c>
      <c r="M419">
        <v>0.14482781773853801</v>
      </c>
    </row>
    <row r="420" spans="1:13" x14ac:dyDescent="0.25">
      <c r="A420">
        <v>2191</v>
      </c>
      <c r="B420" t="str">
        <f>"PPHLN1"</f>
        <v>PPHLN1</v>
      </c>
      <c r="C420" t="str">
        <f>""</f>
        <v/>
      </c>
      <c r="D420">
        <v>36.951999999999998</v>
      </c>
      <c r="E420">
        <v>3.4</v>
      </c>
      <c r="F420">
        <v>1</v>
      </c>
      <c r="G420">
        <v>0</v>
      </c>
      <c r="H420">
        <v>0</v>
      </c>
      <c r="I420" s="7">
        <v>0.56083181339430199</v>
      </c>
      <c r="J420" s="6">
        <v>0</v>
      </c>
      <c r="K420" s="6">
        <v>0</v>
      </c>
      <c r="L420">
        <v>-10000</v>
      </c>
      <c r="M420">
        <v>0.14482781773853801</v>
      </c>
    </row>
    <row r="421" spans="1:13" x14ac:dyDescent="0.25">
      <c r="A421">
        <v>2196</v>
      </c>
      <c r="B421" t="str">
        <f>"TOR1AIP2"</f>
        <v>TOR1AIP2</v>
      </c>
      <c r="C421" t="str">
        <f>""</f>
        <v/>
      </c>
      <c r="D421">
        <v>51.262999999999998</v>
      </c>
      <c r="E421">
        <v>2.8</v>
      </c>
      <c r="F421">
        <v>1</v>
      </c>
      <c r="G421">
        <v>0</v>
      </c>
      <c r="H421">
        <v>0</v>
      </c>
      <c r="I421" s="7">
        <v>0.56083181339430199</v>
      </c>
      <c r="J421" s="6">
        <v>0</v>
      </c>
      <c r="K421" s="6">
        <v>0</v>
      </c>
      <c r="L421">
        <v>-10000</v>
      </c>
      <c r="M421">
        <v>0.14482781773853801</v>
      </c>
    </row>
    <row r="422" spans="1:13" x14ac:dyDescent="0.25">
      <c r="A422">
        <v>2202</v>
      </c>
      <c r="B422" t="str">
        <f>"PLBD2"</f>
        <v>PLBD2</v>
      </c>
      <c r="C422" t="str">
        <f>""</f>
        <v/>
      </c>
      <c r="D422">
        <v>61.884</v>
      </c>
      <c r="E422">
        <v>2.5</v>
      </c>
      <c r="F422">
        <v>1</v>
      </c>
      <c r="G422">
        <v>0</v>
      </c>
      <c r="H422">
        <v>0</v>
      </c>
      <c r="I422" s="7">
        <v>0.56083181339430199</v>
      </c>
      <c r="J422" s="6">
        <v>0</v>
      </c>
      <c r="K422" s="6">
        <v>0</v>
      </c>
      <c r="L422">
        <v>-10000</v>
      </c>
      <c r="M422">
        <v>0.14482781773853801</v>
      </c>
    </row>
    <row r="423" spans="1:13" x14ac:dyDescent="0.25">
      <c r="A423">
        <v>2230</v>
      </c>
      <c r="B423" t="str">
        <f>"DIS3L"</f>
        <v>DIS3L</v>
      </c>
      <c r="C423" t="str">
        <f>""</f>
        <v/>
      </c>
      <c r="D423">
        <v>105.01</v>
      </c>
      <c r="E423">
        <v>2.6</v>
      </c>
      <c r="F423">
        <v>1</v>
      </c>
      <c r="G423">
        <v>0</v>
      </c>
      <c r="H423">
        <v>0</v>
      </c>
      <c r="I423" s="7">
        <v>0.56083181339430199</v>
      </c>
      <c r="J423" s="6">
        <v>0</v>
      </c>
      <c r="K423" s="6">
        <v>0</v>
      </c>
      <c r="L423">
        <v>-10000</v>
      </c>
      <c r="M423">
        <v>0.14482781773853801</v>
      </c>
    </row>
    <row r="424" spans="1:13" x14ac:dyDescent="0.25">
      <c r="A424">
        <v>2340</v>
      </c>
      <c r="B424" t="str">
        <f>"PHF21A"</f>
        <v>PHF21A</v>
      </c>
      <c r="C424" t="str">
        <f>""</f>
        <v/>
      </c>
      <c r="D424">
        <v>70.209000000000003</v>
      </c>
      <c r="E424">
        <v>2.2000000000000002</v>
      </c>
      <c r="F424">
        <v>1</v>
      </c>
      <c r="G424">
        <v>0</v>
      </c>
      <c r="H424">
        <v>0</v>
      </c>
      <c r="I424" s="7">
        <v>0.56083181339430199</v>
      </c>
      <c r="J424" s="6">
        <v>0</v>
      </c>
      <c r="K424" s="6">
        <v>0</v>
      </c>
      <c r="L424">
        <v>-10000</v>
      </c>
      <c r="M424">
        <v>0.14482781773853801</v>
      </c>
    </row>
    <row r="425" spans="1:13" x14ac:dyDescent="0.25">
      <c r="A425">
        <v>2345</v>
      </c>
      <c r="B425" t="str">
        <f>"PPWD1"</f>
        <v>PPWD1</v>
      </c>
      <c r="C425" t="str">
        <f>""</f>
        <v/>
      </c>
      <c r="D425">
        <v>55.698999999999998</v>
      </c>
      <c r="E425">
        <v>4.5</v>
      </c>
      <c r="F425">
        <v>1</v>
      </c>
      <c r="G425">
        <v>0</v>
      </c>
      <c r="H425">
        <v>0</v>
      </c>
      <c r="I425" s="7">
        <v>0.56083181339430199</v>
      </c>
      <c r="J425" s="6">
        <v>0</v>
      </c>
      <c r="K425" s="6">
        <v>0</v>
      </c>
      <c r="L425">
        <v>-10000</v>
      </c>
      <c r="M425">
        <v>0.14482781773853801</v>
      </c>
    </row>
    <row r="426" spans="1:13" x14ac:dyDescent="0.25">
      <c r="A426">
        <v>2349</v>
      </c>
      <c r="B426" t="str">
        <f>"CHMP4C"</f>
        <v>CHMP4C</v>
      </c>
      <c r="C426" t="str">
        <f>""</f>
        <v/>
      </c>
      <c r="D426">
        <v>26.41</v>
      </c>
      <c r="E426">
        <v>3.9</v>
      </c>
      <c r="F426">
        <v>1</v>
      </c>
      <c r="G426">
        <v>0</v>
      </c>
      <c r="H426">
        <v>0</v>
      </c>
      <c r="I426" s="7">
        <v>0.56083181339430199</v>
      </c>
      <c r="J426" s="6">
        <v>0</v>
      </c>
      <c r="K426" s="6">
        <v>0</v>
      </c>
      <c r="L426">
        <v>-10000</v>
      </c>
      <c r="M426">
        <v>0.14482781773853801</v>
      </c>
    </row>
    <row r="427" spans="1:13" x14ac:dyDescent="0.25">
      <c r="A427">
        <v>2353</v>
      </c>
      <c r="B427" t="str">
        <f>"FOXRED1"</f>
        <v>FOXRED1</v>
      </c>
      <c r="C427" t="str">
        <f>""</f>
        <v/>
      </c>
      <c r="D427">
        <v>30.658000000000001</v>
      </c>
      <c r="E427">
        <v>4.7</v>
      </c>
      <c r="F427">
        <v>1</v>
      </c>
      <c r="G427">
        <v>0</v>
      </c>
      <c r="H427">
        <v>0</v>
      </c>
      <c r="I427" s="7">
        <v>0.56083181339430199</v>
      </c>
      <c r="J427" s="6">
        <v>0</v>
      </c>
      <c r="K427" s="6">
        <v>0</v>
      </c>
      <c r="L427">
        <v>-10000</v>
      </c>
      <c r="M427">
        <v>0.14482781773853801</v>
      </c>
    </row>
    <row r="428" spans="1:13" x14ac:dyDescent="0.25">
      <c r="A428">
        <v>2357</v>
      </c>
      <c r="B428" t="str">
        <f>"REPS1"</f>
        <v>REPS1</v>
      </c>
      <c r="C428" t="str">
        <f>""</f>
        <v/>
      </c>
      <c r="D428">
        <v>76.837000000000003</v>
      </c>
      <c r="E428">
        <v>2.2999999999999998</v>
      </c>
      <c r="F428">
        <v>1</v>
      </c>
      <c r="G428">
        <v>0</v>
      </c>
      <c r="H428">
        <v>0</v>
      </c>
      <c r="I428" s="7">
        <v>0.56083181339430199</v>
      </c>
      <c r="J428" s="6">
        <v>0</v>
      </c>
      <c r="K428" s="6">
        <v>0</v>
      </c>
      <c r="L428">
        <v>-10000</v>
      </c>
      <c r="M428">
        <v>0.14482781773853801</v>
      </c>
    </row>
    <row r="429" spans="1:13" x14ac:dyDescent="0.25">
      <c r="A429">
        <v>2375</v>
      </c>
      <c r="B429" t="str">
        <f>"SAAL1"</f>
        <v>SAAL1</v>
      </c>
      <c r="C429" t="str">
        <f>""</f>
        <v/>
      </c>
      <c r="D429">
        <v>53.557000000000002</v>
      </c>
      <c r="E429">
        <v>4.4000000000000004</v>
      </c>
      <c r="F429">
        <v>1</v>
      </c>
      <c r="G429">
        <v>0</v>
      </c>
      <c r="H429">
        <v>0</v>
      </c>
      <c r="I429" s="7">
        <v>0.56083181339430199</v>
      </c>
      <c r="J429" s="6">
        <v>0</v>
      </c>
      <c r="K429" s="6">
        <v>0</v>
      </c>
      <c r="L429">
        <v>-10000</v>
      </c>
      <c r="M429">
        <v>0.14482781773853801</v>
      </c>
    </row>
    <row r="430" spans="1:13" x14ac:dyDescent="0.25">
      <c r="A430">
        <v>2379</v>
      </c>
      <c r="B430" t="str">
        <f>"PTCD3"</f>
        <v>PTCD3</v>
      </c>
      <c r="C430" t="str">
        <f>""</f>
        <v/>
      </c>
      <c r="D430">
        <v>78.549000000000007</v>
      </c>
      <c r="E430">
        <v>5.7</v>
      </c>
      <c r="F430">
        <v>1</v>
      </c>
      <c r="G430">
        <v>0</v>
      </c>
      <c r="H430">
        <v>0</v>
      </c>
      <c r="I430" s="7">
        <v>0.56083181339430199</v>
      </c>
      <c r="J430" s="6">
        <v>0</v>
      </c>
      <c r="K430" s="6">
        <v>0</v>
      </c>
      <c r="L430">
        <v>-10000</v>
      </c>
      <c r="M430">
        <v>0.14482781773853801</v>
      </c>
    </row>
    <row r="431" spans="1:13" x14ac:dyDescent="0.25">
      <c r="A431">
        <v>2383</v>
      </c>
      <c r="B431" t="str">
        <f>"ZNF503"</f>
        <v>ZNF503</v>
      </c>
      <c r="C431" t="str">
        <f>""</f>
        <v/>
      </c>
      <c r="D431">
        <v>59.292000000000002</v>
      </c>
      <c r="E431">
        <v>2</v>
      </c>
      <c r="F431">
        <v>1</v>
      </c>
      <c r="G431">
        <v>0</v>
      </c>
      <c r="H431">
        <v>0</v>
      </c>
      <c r="I431" s="7">
        <v>0.56083181339430199</v>
      </c>
      <c r="J431" s="6">
        <v>0</v>
      </c>
      <c r="K431" s="6">
        <v>0</v>
      </c>
      <c r="L431">
        <v>-10000</v>
      </c>
      <c r="M431">
        <v>0.14482781773853801</v>
      </c>
    </row>
    <row r="432" spans="1:13" x14ac:dyDescent="0.25">
      <c r="A432">
        <v>2385</v>
      </c>
      <c r="B432" t="str">
        <f>"CPNE2"</f>
        <v>CPNE2</v>
      </c>
      <c r="C432" t="str">
        <f>""</f>
        <v/>
      </c>
      <c r="D432">
        <v>49.89</v>
      </c>
      <c r="E432">
        <v>2.9</v>
      </c>
      <c r="F432">
        <v>1</v>
      </c>
      <c r="G432">
        <v>0</v>
      </c>
      <c r="H432">
        <v>0</v>
      </c>
      <c r="I432" s="7">
        <v>0.56083181339430199</v>
      </c>
      <c r="J432" s="6">
        <v>0</v>
      </c>
      <c r="K432" s="6">
        <v>0</v>
      </c>
      <c r="L432">
        <v>-10000</v>
      </c>
      <c r="M432">
        <v>0.14482781773853801</v>
      </c>
    </row>
    <row r="433" spans="1:13" x14ac:dyDescent="0.25">
      <c r="A433">
        <v>2391</v>
      </c>
      <c r="B433" t="str">
        <f>"CERS2"</f>
        <v>CERS2</v>
      </c>
      <c r="C433" t="str">
        <f>""</f>
        <v/>
      </c>
      <c r="D433">
        <v>44.875999999999998</v>
      </c>
      <c r="E433">
        <v>2.1</v>
      </c>
      <c r="F433">
        <v>1</v>
      </c>
      <c r="G433">
        <v>0</v>
      </c>
      <c r="H433">
        <v>0</v>
      </c>
      <c r="I433" s="7">
        <v>0.56083181339430199</v>
      </c>
      <c r="J433" s="6">
        <v>0</v>
      </c>
      <c r="K433" s="6">
        <v>0</v>
      </c>
      <c r="L433">
        <v>-10000</v>
      </c>
      <c r="M433">
        <v>0.14482781773853801</v>
      </c>
    </row>
    <row r="434" spans="1:13" x14ac:dyDescent="0.25">
      <c r="A434">
        <v>2393</v>
      </c>
      <c r="B434" t="str">
        <f>"DCUN1D1"</f>
        <v>DCUN1D1</v>
      </c>
      <c r="C434" t="str">
        <f>""</f>
        <v/>
      </c>
      <c r="D434">
        <v>30.123999999999999</v>
      </c>
      <c r="E434">
        <v>4.2</v>
      </c>
      <c r="F434">
        <v>1</v>
      </c>
      <c r="G434">
        <v>0</v>
      </c>
      <c r="H434">
        <v>0</v>
      </c>
      <c r="I434" s="7">
        <v>0.56083181339430199</v>
      </c>
      <c r="J434" s="6">
        <v>0</v>
      </c>
      <c r="K434" s="6">
        <v>0</v>
      </c>
      <c r="L434">
        <v>-10000</v>
      </c>
      <c r="M434">
        <v>0.14482781773853801</v>
      </c>
    </row>
    <row r="435" spans="1:13" x14ac:dyDescent="0.25">
      <c r="A435">
        <v>2399</v>
      </c>
      <c r="B435" t="str">
        <f>"APIP"</f>
        <v>APIP</v>
      </c>
      <c r="C435" t="str">
        <f>""</f>
        <v/>
      </c>
      <c r="D435">
        <v>22.858000000000001</v>
      </c>
      <c r="E435">
        <v>7.8</v>
      </c>
      <c r="F435">
        <v>1</v>
      </c>
      <c r="G435">
        <v>0</v>
      </c>
      <c r="H435">
        <v>0</v>
      </c>
      <c r="I435" s="7">
        <v>0.56083181339430199</v>
      </c>
      <c r="J435" s="6">
        <v>0</v>
      </c>
      <c r="K435" s="6">
        <v>0</v>
      </c>
      <c r="L435">
        <v>-10000</v>
      </c>
      <c r="M435">
        <v>0.14482781773853801</v>
      </c>
    </row>
    <row r="436" spans="1:13" x14ac:dyDescent="0.25">
      <c r="A436">
        <v>2405</v>
      </c>
      <c r="B436" t="str">
        <f>"PGAM5"</f>
        <v>PGAM5</v>
      </c>
      <c r="C436" t="str">
        <f>""</f>
        <v/>
      </c>
      <c r="D436">
        <v>28.02</v>
      </c>
      <c r="E436">
        <v>9.8000000000000007</v>
      </c>
      <c r="F436">
        <v>1</v>
      </c>
      <c r="G436">
        <v>0</v>
      </c>
      <c r="H436">
        <v>0</v>
      </c>
      <c r="I436" s="7">
        <v>0.56083181339430199</v>
      </c>
      <c r="J436" s="6">
        <v>0</v>
      </c>
      <c r="K436" s="6">
        <v>0</v>
      </c>
      <c r="L436">
        <v>-10000</v>
      </c>
      <c r="M436">
        <v>0.14482781773853801</v>
      </c>
    </row>
    <row r="437" spans="1:13" x14ac:dyDescent="0.25">
      <c r="A437">
        <v>2406</v>
      </c>
      <c r="B437" t="str">
        <f>"INTS4"</f>
        <v>INTS4</v>
      </c>
      <c r="C437" t="str">
        <f>""</f>
        <v/>
      </c>
      <c r="D437">
        <v>56.548999999999999</v>
      </c>
      <c r="E437">
        <v>5.3</v>
      </c>
      <c r="F437">
        <v>1</v>
      </c>
      <c r="G437">
        <v>0</v>
      </c>
      <c r="H437">
        <v>0</v>
      </c>
      <c r="I437" s="7">
        <v>0.56083181339430199</v>
      </c>
      <c r="J437" s="6">
        <v>0</v>
      </c>
      <c r="K437" s="6">
        <v>0</v>
      </c>
      <c r="L437">
        <v>-10000</v>
      </c>
      <c r="M437">
        <v>0.14482781773853801</v>
      </c>
    </row>
    <row r="438" spans="1:13" x14ac:dyDescent="0.25">
      <c r="A438">
        <v>2432</v>
      </c>
      <c r="B438" t="str">
        <f>"NSUN5"</f>
        <v>NSUN5</v>
      </c>
      <c r="C438" t="str">
        <f>""</f>
        <v/>
      </c>
      <c r="D438">
        <v>42.476999999999997</v>
      </c>
      <c r="E438">
        <v>10.5</v>
      </c>
      <c r="F438">
        <v>1</v>
      </c>
      <c r="G438">
        <v>0</v>
      </c>
      <c r="H438">
        <v>0</v>
      </c>
      <c r="I438" s="7">
        <v>0.56083181339430199</v>
      </c>
      <c r="J438" s="6">
        <v>0</v>
      </c>
      <c r="K438" s="6">
        <v>0</v>
      </c>
      <c r="L438">
        <v>-10000</v>
      </c>
      <c r="M438">
        <v>0.14482781773853801</v>
      </c>
    </row>
    <row r="439" spans="1:13" x14ac:dyDescent="0.25">
      <c r="A439">
        <v>2447</v>
      </c>
      <c r="B439" t="str">
        <f>"XPO6"</f>
        <v>XPO6</v>
      </c>
      <c r="C439" t="str">
        <f>""</f>
        <v/>
      </c>
      <c r="D439">
        <v>127.39</v>
      </c>
      <c r="E439">
        <v>0.9</v>
      </c>
      <c r="F439">
        <v>1</v>
      </c>
      <c r="G439">
        <v>0</v>
      </c>
      <c r="H439">
        <v>0</v>
      </c>
      <c r="I439" s="7">
        <v>0.56083181339430199</v>
      </c>
      <c r="J439" s="6">
        <v>0</v>
      </c>
      <c r="K439" s="6">
        <v>0</v>
      </c>
      <c r="L439">
        <v>-10000</v>
      </c>
      <c r="M439">
        <v>0.14482781773853801</v>
      </c>
    </row>
    <row r="440" spans="1:13" x14ac:dyDescent="0.25">
      <c r="A440">
        <v>2461</v>
      </c>
      <c r="B440" t="str">
        <f>"OSBPL9"</f>
        <v>OSBPL9</v>
      </c>
      <c r="C440" t="str">
        <f>""</f>
        <v/>
      </c>
      <c r="D440">
        <v>62.527999999999999</v>
      </c>
      <c r="E440">
        <v>4.0999999999999996</v>
      </c>
      <c r="F440">
        <v>1</v>
      </c>
      <c r="G440">
        <v>0</v>
      </c>
      <c r="H440">
        <v>0</v>
      </c>
      <c r="I440" s="7">
        <v>0.56083181339430199</v>
      </c>
      <c r="J440" s="6">
        <v>0</v>
      </c>
      <c r="K440" s="6">
        <v>0</v>
      </c>
      <c r="L440">
        <v>-10000</v>
      </c>
      <c r="M440">
        <v>0.14482781773853801</v>
      </c>
    </row>
    <row r="441" spans="1:13" x14ac:dyDescent="0.25">
      <c r="A441">
        <v>2469</v>
      </c>
      <c r="B441" t="str">
        <f>"MYCBP"</f>
        <v>MYCBP</v>
      </c>
      <c r="C441" t="str">
        <f>""</f>
        <v/>
      </c>
      <c r="D441">
        <v>11.967000000000001</v>
      </c>
      <c r="E441">
        <v>10.7</v>
      </c>
      <c r="F441">
        <v>1</v>
      </c>
      <c r="G441">
        <v>0</v>
      </c>
      <c r="H441">
        <v>0</v>
      </c>
      <c r="I441" s="7">
        <v>0.56083181339430199</v>
      </c>
      <c r="J441" s="6">
        <v>0</v>
      </c>
      <c r="K441" s="6">
        <v>0</v>
      </c>
      <c r="L441">
        <v>-10000</v>
      </c>
      <c r="M441">
        <v>0.14482781773853801</v>
      </c>
    </row>
    <row r="442" spans="1:13" x14ac:dyDescent="0.25">
      <c r="A442">
        <v>2496</v>
      </c>
      <c r="B442" t="str">
        <f>"SLC29A1"</f>
        <v>SLC29A1</v>
      </c>
      <c r="C442" t="str">
        <f>""</f>
        <v/>
      </c>
      <c r="D442">
        <v>50.219000000000001</v>
      </c>
      <c r="E442">
        <v>5</v>
      </c>
      <c r="F442">
        <v>1</v>
      </c>
      <c r="G442">
        <v>0</v>
      </c>
      <c r="H442">
        <v>0</v>
      </c>
      <c r="I442" s="7">
        <v>0.56083181339430199</v>
      </c>
      <c r="J442" s="6">
        <v>0</v>
      </c>
      <c r="K442" s="6">
        <v>0</v>
      </c>
      <c r="L442">
        <v>-10000</v>
      </c>
      <c r="M442">
        <v>0.14482781773853801</v>
      </c>
    </row>
    <row r="443" spans="1:13" x14ac:dyDescent="0.25">
      <c r="A443">
        <v>2498</v>
      </c>
      <c r="B443" t="str">
        <f>"CPNE1"</f>
        <v>CPNE1</v>
      </c>
      <c r="C443" t="str">
        <f>""</f>
        <v/>
      </c>
      <c r="D443">
        <v>59.058</v>
      </c>
      <c r="E443">
        <v>6</v>
      </c>
      <c r="F443">
        <v>1</v>
      </c>
      <c r="G443">
        <v>0</v>
      </c>
      <c r="H443">
        <v>0</v>
      </c>
      <c r="I443" s="7">
        <v>0.56083181339430199</v>
      </c>
      <c r="J443" s="6">
        <v>0</v>
      </c>
      <c r="K443" s="6">
        <v>0</v>
      </c>
      <c r="L443">
        <v>-10000</v>
      </c>
      <c r="M443">
        <v>0.14482781773853801</v>
      </c>
    </row>
    <row r="444" spans="1:13" x14ac:dyDescent="0.25">
      <c r="A444">
        <v>2501</v>
      </c>
      <c r="B444" t="str">
        <f>"SH3GL1"</f>
        <v>SH3GL1</v>
      </c>
      <c r="C444" t="str">
        <f>""</f>
        <v/>
      </c>
      <c r="D444">
        <v>34.518999999999998</v>
      </c>
      <c r="E444">
        <v>11.2</v>
      </c>
      <c r="F444">
        <v>1</v>
      </c>
      <c r="G444">
        <v>0</v>
      </c>
      <c r="H444">
        <v>0</v>
      </c>
      <c r="I444" s="7">
        <v>0.56083181339430199</v>
      </c>
      <c r="J444" s="6">
        <v>0</v>
      </c>
      <c r="K444" s="6">
        <v>0</v>
      </c>
      <c r="L444">
        <v>-10000</v>
      </c>
      <c r="M444">
        <v>0.14482781773853801</v>
      </c>
    </row>
    <row r="445" spans="1:13" x14ac:dyDescent="0.25">
      <c r="A445">
        <v>2514</v>
      </c>
      <c r="B445" t="str">
        <f>"TCF25"</f>
        <v>TCF25</v>
      </c>
      <c r="C445" t="str">
        <f>""</f>
        <v/>
      </c>
      <c r="D445">
        <v>76.665999999999997</v>
      </c>
      <c r="E445">
        <v>2.1</v>
      </c>
      <c r="F445">
        <v>1</v>
      </c>
      <c r="G445">
        <v>0</v>
      </c>
      <c r="H445">
        <v>0</v>
      </c>
      <c r="I445" s="7">
        <v>0.56083181339430199</v>
      </c>
      <c r="J445" s="6">
        <v>0</v>
      </c>
      <c r="K445" s="6">
        <v>0</v>
      </c>
      <c r="L445">
        <v>-10000</v>
      </c>
      <c r="M445">
        <v>0.14482781773853801</v>
      </c>
    </row>
    <row r="446" spans="1:13" x14ac:dyDescent="0.25">
      <c r="A446">
        <v>2521</v>
      </c>
      <c r="B446" t="str">
        <f>"MGME1"</f>
        <v>MGME1</v>
      </c>
      <c r="C446" t="str">
        <f>""</f>
        <v/>
      </c>
      <c r="D446">
        <v>39.42</v>
      </c>
      <c r="E446">
        <v>2.2999999999999998</v>
      </c>
      <c r="F446">
        <v>1</v>
      </c>
      <c r="G446">
        <v>0</v>
      </c>
      <c r="H446">
        <v>0</v>
      </c>
      <c r="I446" s="7">
        <v>0.56083181339430199</v>
      </c>
      <c r="J446" s="6">
        <v>0</v>
      </c>
      <c r="K446" s="6">
        <v>0</v>
      </c>
      <c r="L446">
        <v>-10000</v>
      </c>
      <c r="M446">
        <v>0.14482781773853801</v>
      </c>
    </row>
    <row r="447" spans="1:13" x14ac:dyDescent="0.25">
      <c r="A447">
        <v>2525</v>
      </c>
      <c r="B447" t="str">
        <f>"C7orf50"</f>
        <v>C7orf50</v>
      </c>
      <c r="C447" t="str">
        <f>""</f>
        <v/>
      </c>
      <c r="D447">
        <v>22.082999999999998</v>
      </c>
      <c r="E447">
        <v>3.6</v>
      </c>
      <c r="F447">
        <v>1</v>
      </c>
      <c r="G447">
        <v>0</v>
      </c>
      <c r="H447">
        <v>0</v>
      </c>
      <c r="I447" s="7">
        <v>0.56083181339430199</v>
      </c>
      <c r="J447" s="6">
        <v>0</v>
      </c>
      <c r="K447" s="6">
        <v>0</v>
      </c>
      <c r="L447">
        <v>-10000</v>
      </c>
      <c r="M447">
        <v>0.14482781773853801</v>
      </c>
    </row>
    <row r="448" spans="1:13" x14ac:dyDescent="0.25">
      <c r="A448">
        <v>2530</v>
      </c>
      <c r="B448" t="str">
        <f>"WIBG"</f>
        <v>WIBG</v>
      </c>
      <c r="C448" t="str">
        <f>""</f>
        <v/>
      </c>
      <c r="D448">
        <v>22.704000000000001</v>
      </c>
      <c r="E448">
        <v>22.7</v>
      </c>
      <c r="F448">
        <v>1</v>
      </c>
      <c r="G448">
        <v>0</v>
      </c>
      <c r="H448">
        <v>0</v>
      </c>
      <c r="I448" s="7">
        <v>0.56083181339430199</v>
      </c>
      <c r="J448" s="6">
        <v>0</v>
      </c>
      <c r="K448" s="6">
        <v>0</v>
      </c>
      <c r="L448">
        <v>-10000</v>
      </c>
      <c r="M448">
        <v>0.14482781773853801</v>
      </c>
    </row>
    <row r="449" spans="1:13" x14ac:dyDescent="0.25">
      <c r="A449">
        <v>2627</v>
      </c>
      <c r="B449" t="str">
        <f>"NDEL1;NDE1"</f>
        <v>NDEL1;NDE1</v>
      </c>
      <c r="C449" t="str">
        <f>""</f>
        <v/>
      </c>
      <c r="D449">
        <v>37.039000000000001</v>
      </c>
      <c r="E449">
        <v>3.4</v>
      </c>
      <c r="F449">
        <v>1</v>
      </c>
      <c r="G449">
        <v>0</v>
      </c>
      <c r="H449">
        <v>0</v>
      </c>
      <c r="I449" s="7">
        <v>0.56083181339430199</v>
      </c>
      <c r="J449" s="6">
        <v>0</v>
      </c>
      <c r="K449" s="6">
        <v>0</v>
      </c>
      <c r="L449">
        <v>-10000</v>
      </c>
      <c r="M449">
        <v>0.14482781773853801</v>
      </c>
    </row>
    <row r="450" spans="1:13" x14ac:dyDescent="0.25">
      <c r="A450">
        <v>2650</v>
      </c>
      <c r="B450" t="str">
        <f>"LMAN2L"</f>
        <v>LMAN2L</v>
      </c>
      <c r="C450" t="str">
        <f>""</f>
        <v/>
      </c>
      <c r="D450">
        <v>24.710999999999999</v>
      </c>
      <c r="E450">
        <v>4.2</v>
      </c>
      <c r="F450">
        <v>1</v>
      </c>
      <c r="G450">
        <v>0</v>
      </c>
      <c r="H450">
        <v>0</v>
      </c>
      <c r="I450" s="7">
        <v>0.56083181339430199</v>
      </c>
      <c r="J450" s="6">
        <v>0</v>
      </c>
      <c r="K450" s="6">
        <v>0</v>
      </c>
      <c r="L450">
        <v>-10000</v>
      </c>
      <c r="M450">
        <v>0.14482781773853801</v>
      </c>
    </row>
    <row r="451" spans="1:13" x14ac:dyDescent="0.25">
      <c r="A451">
        <v>2652</v>
      </c>
      <c r="B451" t="str">
        <f>"POLR3F"</f>
        <v>POLR3F</v>
      </c>
      <c r="C451" t="str">
        <f>""</f>
        <v/>
      </c>
      <c r="D451">
        <v>35.683999999999997</v>
      </c>
      <c r="E451">
        <v>7.9</v>
      </c>
      <c r="F451">
        <v>1</v>
      </c>
      <c r="G451">
        <v>0</v>
      </c>
      <c r="H451">
        <v>0</v>
      </c>
      <c r="I451" s="7">
        <v>0.56083181339430199</v>
      </c>
      <c r="J451" s="6">
        <v>0</v>
      </c>
      <c r="K451" s="6">
        <v>0</v>
      </c>
      <c r="L451">
        <v>-10000</v>
      </c>
      <c r="M451">
        <v>0.14482781773853801</v>
      </c>
    </row>
    <row r="452" spans="1:13" x14ac:dyDescent="0.25">
      <c r="A452">
        <v>2654</v>
      </c>
      <c r="B452" t="str">
        <f>"SLC25A18;SLC25A22"</f>
        <v>SLC25A18;SLC25A22</v>
      </c>
      <c r="C452" t="str">
        <f>""</f>
        <v/>
      </c>
      <c r="D452">
        <v>33.847999999999999</v>
      </c>
      <c r="E452">
        <v>2.5</v>
      </c>
      <c r="F452">
        <v>1</v>
      </c>
      <c r="G452">
        <v>0</v>
      </c>
      <c r="H452">
        <v>0</v>
      </c>
      <c r="I452" s="7">
        <v>0.56083181339430199</v>
      </c>
      <c r="J452" s="6">
        <v>0</v>
      </c>
      <c r="K452" s="6">
        <v>0</v>
      </c>
      <c r="L452">
        <v>-10000</v>
      </c>
      <c r="M452">
        <v>0.14482781773853801</v>
      </c>
    </row>
    <row r="453" spans="1:13" x14ac:dyDescent="0.25">
      <c r="A453">
        <v>2683</v>
      </c>
      <c r="B453" t="str">
        <f>"HEATR1"</f>
        <v>HEATR1</v>
      </c>
      <c r="C453" t="str">
        <f>""</f>
        <v/>
      </c>
      <c r="D453">
        <v>242.37</v>
      </c>
      <c r="E453">
        <v>0.8</v>
      </c>
      <c r="F453">
        <v>1</v>
      </c>
      <c r="G453">
        <v>0</v>
      </c>
      <c r="H453">
        <v>0</v>
      </c>
      <c r="I453" s="7">
        <v>0.56083181339430199</v>
      </c>
      <c r="J453" s="6">
        <v>0</v>
      </c>
      <c r="K453" s="6">
        <v>0</v>
      </c>
      <c r="L453">
        <v>-10000</v>
      </c>
      <c r="M453">
        <v>0.14482781773853801</v>
      </c>
    </row>
    <row r="454" spans="1:13" x14ac:dyDescent="0.25">
      <c r="A454">
        <v>2686</v>
      </c>
      <c r="B454" t="str">
        <f>"CCDC134"</f>
        <v>CCDC134</v>
      </c>
      <c r="C454" t="str">
        <f>""</f>
        <v/>
      </c>
      <c r="D454">
        <v>26.56</v>
      </c>
      <c r="E454">
        <v>5.7</v>
      </c>
      <c r="F454">
        <v>1</v>
      </c>
      <c r="G454">
        <v>0</v>
      </c>
      <c r="H454">
        <v>0</v>
      </c>
      <c r="I454" s="7">
        <v>0.56083181339430199</v>
      </c>
      <c r="J454" s="6">
        <v>0</v>
      </c>
      <c r="K454" s="6">
        <v>0</v>
      </c>
      <c r="L454">
        <v>-10000</v>
      </c>
      <c r="M454">
        <v>0.14482781773853801</v>
      </c>
    </row>
    <row r="455" spans="1:13" x14ac:dyDescent="0.25">
      <c r="A455">
        <v>2687</v>
      </c>
      <c r="B455" t="str">
        <f>"NOL6"</f>
        <v>NOL6</v>
      </c>
      <c r="C455" t="str">
        <f>""</f>
        <v/>
      </c>
      <c r="D455">
        <v>112.3</v>
      </c>
      <c r="E455">
        <v>3</v>
      </c>
      <c r="F455">
        <v>1</v>
      </c>
      <c r="G455">
        <v>0</v>
      </c>
      <c r="H455">
        <v>0</v>
      </c>
      <c r="I455" s="7">
        <v>0.56083181339430199</v>
      </c>
      <c r="J455" s="6">
        <v>0</v>
      </c>
      <c r="K455" s="6">
        <v>0</v>
      </c>
      <c r="L455">
        <v>-10000</v>
      </c>
      <c r="M455">
        <v>0.14482781773853801</v>
      </c>
    </row>
    <row r="456" spans="1:13" x14ac:dyDescent="0.25">
      <c r="A456">
        <v>2739</v>
      </c>
      <c r="B456" t="str">
        <f>"CWC22"</f>
        <v>CWC22</v>
      </c>
      <c r="C456" t="str">
        <f>""</f>
        <v/>
      </c>
      <c r="D456">
        <v>105.47</v>
      </c>
      <c r="E456">
        <v>4.7</v>
      </c>
      <c r="F456">
        <v>1</v>
      </c>
      <c r="G456">
        <v>0</v>
      </c>
      <c r="H456">
        <v>0</v>
      </c>
      <c r="I456" s="7">
        <v>0.56083181339430199</v>
      </c>
      <c r="J456" s="6">
        <v>0</v>
      </c>
      <c r="K456" s="6">
        <v>0</v>
      </c>
      <c r="L456">
        <v>-10000</v>
      </c>
      <c r="M456">
        <v>0.14482781773853801</v>
      </c>
    </row>
    <row r="457" spans="1:13" x14ac:dyDescent="0.25">
      <c r="A457">
        <v>2744</v>
      </c>
      <c r="B457" t="str">
        <f>"PREB"</f>
        <v>PREB</v>
      </c>
      <c r="C457" t="str">
        <f>""</f>
        <v/>
      </c>
      <c r="D457">
        <v>45.468000000000004</v>
      </c>
      <c r="E457">
        <v>4.3</v>
      </c>
      <c r="F457">
        <v>1</v>
      </c>
      <c r="G457">
        <v>0</v>
      </c>
      <c r="H457">
        <v>0</v>
      </c>
      <c r="I457" s="7">
        <v>0.56083181339430199</v>
      </c>
      <c r="J457" s="6">
        <v>0</v>
      </c>
      <c r="K457" s="6">
        <v>0</v>
      </c>
      <c r="L457">
        <v>-10000</v>
      </c>
      <c r="M457">
        <v>0.14482781773853801</v>
      </c>
    </row>
    <row r="458" spans="1:13" x14ac:dyDescent="0.25">
      <c r="A458">
        <v>2750</v>
      </c>
      <c r="B458" t="str">
        <f>"SSU72"</f>
        <v>SSU72</v>
      </c>
      <c r="C458" t="str">
        <f>""</f>
        <v/>
      </c>
      <c r="D458">
        <v>16.931000000000001</v>
      </c>
      <c r="E458">
        <v>7.8</v>
      </c>
      <c r="F458">
        <v>1</v>
      </c>
      <c r="G458">
        <v>0</v>
      </c>
      <c r="H458">
        <v>0</v>
      </c>
      <c r="I458" s="7">
        <v>0.56083181339430199</v>
      </c>
      <c r="J458" s="6">
        <v>0</v>
      </c>
      <c r="K458" s="6">
        <v>0</v>
      </c>
      <c r="L458">
        <v>-10000</v>
      </c>
      <c r="M458">
        <v>0.14482781773853801</v>
      </c>
    </row>
    <row r="459" spans="1:13" x14ac:dyDescent="0.25">
      <c r="A459">
        <v>2769</v>
      </c>
      <c r="B459" t="str">
        <f>"EXOSC3"</f>
        <v>EXOSC3</v>
      </c>
      <c r="C459" t="str">
        <f>""</f>
        <v/>
      </c>
      <c r="D459">
        <v>17.247</v>
      </c>
      <c r="E459">
        <v>6.7</v>
      </c>
      <c r="F459">
        <v>1</v>
      </c>
      <c r="G459">
        <v>0</v>
      </c>
      <c r="H459">
        <v>0</v>
      </c>
      <c r="I459" s="7">
        <v>0.56083181339430199</v>
      </c>
      <c r="J459" s="6">
        <v>0</v>
      </c>
      <c r="K459" s="6">
        <v>0</v>
      </c>
      <c r="L459">
        <v>-10000</v>
      </c>
      <c r="M459">
        <v>0.14482781773853801</v>
      </c>
    </row>
    <row r="460" spans="1:13" x14ac:dyDescent="0.25">
      <c r="A460">
        <v>2788</v>
      </c>
      <c r="B460" t="str">
        <f>"DROSHA"</f>
        <v>DROSHA</v>
      </c>
      <c r="C460" t="str">
        <f>""</f>
        <v/>
      </c>
      <c r="D460">
        <v>138.16</v>
      </c>
      <c r="E460">
        <v>0.8</v>
      </c>
      <c r="F460">
        <v>1</v>
      </c>
      <c r="G460">
        <v>0</v>
      </c>
      <c r="H460">
        <v>0</v>
      </c>
      <c r="I460" s="7">
        <v>0.56083181339430199</v>
      </c>
      <c r="J460" s="6">
        <v>0</v>
      </c>
      <c r="K460" s="6">
        <v>0</v>
      </c>
      <c r="L460">
        <v>-10000</v>
      </c>
      <c r="M460">
        <v>0.14482781773853801</v>
      </c>
    </row>
    <row r="461" spans="1:13" x14ac:dyDescent="0.25">
      <c r="A461">
        <v>2820</v>
      </c>
      <c r="B461" t="str">
        <f>"INTS9"</f>
        <v>INTS9</v>
      </c>
      <c r="C461" t="str">
        <f>""</f>
        <v/>
      </c>
      <c r="D461">
        <v>71.135999999999996</v>
      </c>
      <c r="E461">
        <v>1.3</v>
      </c>
      <c r="F461">
        <v>1</v>
      </c>
      <c r="G461">
        <v>0</v>
      </c>
      <c r="H461">
        <v>0</v>
      </c>
      <c r="I461" s="7">
        <v>0.56083181339430199</v>
      </c>
      <c r="J461" s="6">
        <v>0</v>
      </c>
      <c r="K461" s="6">
        <v>0</v>
      </c>
      <c r="L461">
        <v>-10000</v>
      </c>
      <c r="M461">
        <v>0.14482781773853801</v>
      </c>
    </row>
    <row r="462" spans="1:13" x14ac:dyDescent="0.25">
      <c r="A462">
        <v>2863</v>
      </c>
      <c r="B462" t="str">
        <f>"USE1"</f>
        <v>USE1</v>
      </c>
      <c r="C462" t="str">
        <f>""</f>
        <v/>
      </c>
      <c r="D462">
        <v>29.370999999999999</v>
      </c>
      <c r="E462">
        <v>3.9</v>
      </c>
      <c r="F462">
        <v>1</v>
      </c>
      <c r="G462">
        <v>0</v>
      </c>
      <c r="H462">
        <v>0</v>
      </c>
      <c r="I462" s="7">
        <v>0.56083181339430199</v>
      </c>
      <c r="J462" s="6">
        <v>0</v>
      </c>
      <c r="K462" s="6">
        <v>0</v>
      </c>
      <c r="L462">
        <v>-10000</v>
      </c>
      <c r="M462">
        <v>0.14482781773853801</v>
      </c>
    </row>
    <row r="463" spans="1:13" x14ac:dyDescent="0.25">
      <c r="A463">
        <v>2870</v>
      </c>
      <c r="B463" t="str">
        <f>"SACS"</f>
        <v>SACS</v>
      </c>
      <c r="C463" t="str">
        <f>""</f>
        <v/>
      </c>
      <c r="D463">
        <v>521.12</v>
      </c>
      <c r="E463">
        <v>1.1000000000000001</v>
      </c>
      <c r="F463">
        <v>1</v>
      </c>
      <c r="G463">
        <v>0</v>
      </c>
      <c r="H463">
        <v>0</v>
      </c>
      <c r="I463" s="7">
        <v>0.56083181339430199</v>
      </c>
      <c r="J463" s="6">
        <v>0</v>
      </c>
      <c r="K463" s="6">
        <v>0</v>
      </c>
      <c r="L463">
        <v>-10000</v>
      </c>
      <c r="M463">
        <v>0.14482781773853801</v>
      </c>
    </row>
    <row r="464" spans="1:13" x14ac:dyDescent="0.25">
      <c r="A464">
        <v>2874</v>
      </c>
      <c r="B464" t="str">
        <f>"GLTSCR1"</f>
        <v>GLTSCR1</v>
      </c>
      <c r="C464" t="str">
        <f>""</f>
        <v/>
      </c>
      <c r="D464">
        <v>134.19999999999999</v>
      </c>
      <c r="E464">
        <v>1.3</v>
      </c>
      <c r="F464">
        <v>1</v>
      </c>
      <c r="G464">
        <v>0</v>
      </c>
      <c r="H464">
        <v>0</v>
      </c>
      <c r="I464" s="7">
        <v>0.56083181339430199</v>
      </c>
      <c r="J464" s="6">
        <v>0</v>
      </c>
      <c r="K464" s="6">
        <v>0</v>
      </c>
      <c r="L464">
        <v>-10000</v>
      </c>
      <c r="M464">
        <v>0.14482781773853801</v>
      </c>
    </row>
    <row r="465" spans="1:13" x14ac:dyDescent="0.25">
      <c r="A465">
        <v>2878</v>
      </c>
      <c r="B465" t="str">
        <f>"C1RL"</f>
        <v>C1RL</v>
      </c>
      <c r="C465" t="str">
        <f>""</f>
        <v/>
      </c>
      <c r="D465">
        <v>53.497999999999998</v>
      </c>
      <c r="E465">
        <v>2.9</v>
      </c>
      <c r="F465">
        <v>1</v>
      </c>
      <c r="G465">
        <v>0</v>
      </c>
      <c r="H465">
        <v>0</v>
      </c>
      <c r="I465" s="7">
        <v>0.56083181339430199</v>
      </c>
      <c r="J465" s="6">
        <v>0</v>
      </c>
      <c r="K465" s="6">
        <v>0</v>
      </c>
      <c r="L465">
        <v>-10000</v>
      </c>
      <c r="M465">
        <v>0.14482781773853801</v>
      </c>
    </row>
    <row r="466" spans="1:13" x14ac:dyDescent="0.25">
      <c r="A466">
        <v>2893</v>
      </c>
      <c r="B466" t="str">
        <f>"PHRF1"</f>
        <v>PHRF1</v>
      </c>
      <c r="C466" t="str">
        <f>""</f>
        <v/>
      </c>
      <c r="D466">
        <v>161.94</v>
      </c>
      <c r="E466">
        <v>1.2</v>
      </c>
      <c r="F466">
        <v>1</v>
      </c>
      <c r="G466">
        <v>0</v>
      </c>
      <c r="H466">
        <v>0</v>
      </c>
      <c r="I466" s="7">
        <v>0.56083181339430199</v>
      </c>
      <c r="J466" s="6">
        <v>0</v>
      </c>
      <c r="K466" s="6">
        <v>0</v>
      </c>
      <c r="L466">
        <v>-10000</v>
      </c>
      <c r="M466">
        <v>0.14482781773853801</v>
      </c>
    </row>
    <row r="467" spans="1:13" x14ac:dyDescent="0.25">
      <c r="A467">
        <v>2899</v>
      </c>
      <c r="B467" t="str">
        <f>"TMEM181"</f>
        <v>TMEM181</v>
      </c>
      <c r="C467" t="str">
        <f>""</f>
        <v/>
      </c>
      <c r="D467">
        <v>69.323999999999998</v>
      </c>
      <c r="E467">
        <v>2.6</v>
      </c>
      <c r="F467">
        <v>1</v>
      </c>
      <c r="G467">
        <v>0</v>
      </c>
      <c r="H467">
        <v>0</v>
      </c>
      <c r="I467" s="7">
        <v>0.56083181339430199</v>
      </c>
      <c r="J467" s="6">
        <v>0</v>
      </c>
      <c r="K467" s="6">
        <v>0</v>
      </c>
      <c r="L467">
        <v>-10000</v>
      </c>
      <c r="M467">
        <v>0.14482781773853801</v>
      </c>
    </row>
    <row r="468" spans="1:13" x14ac:dyDescent="0.25">
      <c r="A468">
        <v>2924</v>
      </c>
      <c r="B468" t="str">
        <f>"RNF14"</f>
        <v>RNF14</v>
      </c>
      <c r="C468" t="str">
        <f>""</f>
        <v/>
      </c>
      <c r="D468">
        <v>39.633000000000003</v>
      </c>
      <c r="E468">
        <v>6.3</v>
      </c>
      <c r="F468">
        <v>1</v>
      </c>
      <c r="G468">
        <v>0</v>
      </c>
      <c r="H468">
        <v>0</v>
      </c>
      <c r="I468" s="7">
        <v>0.56083181339430199</v>
      </c>
      <c r="J468" s="6">
        <v>0</v>
      </c>
      <c r="K468" s="6">
        <v>0</v>
      </c>
      <c r="L468">
        <v>-10000</v>
      </c>
      <c r="M468">
        <v>0.14482781773853801</v>
      </c>
    </row>
    <row r="469" spans="1:13" x14ac:dyDescent="0.25">
      <c r="A469">
        <v>2934</v>
      </c>
      <c r="B469" t="str">
        <f>"NIPSNAP3A"</f>
        <v>NIPSNAP3A</v>
      </c>
      <c r="C469" t="str">
        <f>""</f>
        <v/>
      </c>
      <c r="D469">
        <v>28.466000000000001</v>
      </c>
      <c r="E469">
        <v>5.7</v>
      </c>
      <c r="F469">
        <v>1</v>
      </c>
      <c r="G469">
        <v>0</v>
      </c>
      <c r="H469">
        <v>0</v>
      </c>
      <c r="I469" s="7">
        <v>0.56083181339430199</v>
      </c>
      <c r="J469" s="6">
        <v>0</v>
      </c>
      <c r="K469" s="6">
        <v>0</v>
      </c>
      <c r="L469">
        <v>-10000</v>
      </c>
      <c r="M469">
        <v>0.14482781773853801</v>
      </c>
    </row>
    <row r="470" spans="1:13" x14ac:dyDescent="0.25">
      <c r="A470">
        <v>2940</v>
      </c>
      <c r="B470" t="str">
        <f>"ARMCX3"</f>
        <v>ARMCX3</v>
      </c>
      <c r="C470" t="str">
        <f>""</f>
        <v/>
      </c>
      <c r="D470">
        <v>42.5</v>
      </c>
      <c r="E470">
        <v>3.4</v>
      </c>
      <c r="F470">
        <v>1</v>
      </c>
      <c r="G470">
        <v>0</v>
      </c>
      <c r="H470">
        <v>0</v>
      </c>
      <c r="I470" s="7">
        <v>0.56083181339430199</v>
      </c>
      <c r="J470" s="6">
        <v>0</v>
      </c>
      <c r="K470" s="6">
        <v>0</v>
      </c>
      <c r="L470">
        <v>-10000</v>
      </c>
      <c r="M470">
        <v>0.14482781773853801</v>
      </c>
    </row>
    <row r="471" spans="1:13" x14ac:dyDescent="0.25">
      <c r="A471">
        <v>2956</v>
      </c>
      <c r="B471" t="str">
        <f>"ENOPH1"</f>
        <v>ENOPH1</v>
      </c>
      <c r="C471" t="str">
        <f>""</f>
        <v/>
      </c>
      <c r="D471">
        <v>12.552</v>
      </c>
      <c r="E471">
        <v>18.3</v>
      </c>
      <c r="F471">
        <v>1</v>
      </c>
      <c r="G471">
        <v>0</v>
      </c>
      <c r="H471">
        <v>0</v>
      </c>
      <c r="I471" s="7">
        <v>0.56083181339430199</v>
      </c>
      <c r="J471" s="6">
        <v>0</v>
      </c>
      <c r="K471" s="6">
        <v>0</v>
      </c>
      <c r="L471">
        <v>-10000</v>
      </c>
      <c r="M471">
        <v>0.14482781773853801</v>
      </c>
    </row>
    <row r="472" spans="1:13" x14ac:dyDescent="0.25">
      <c r="A472">
        <v>2977</v>
      </c>
      <c r="B472" t="str">
        <f>"NUDT5"</f>
        <v>NUDT5</v>
      </c>
      <c r="C472" t="str">
        <f>""</f>
        <v/>
      </c>
      <c r="D472">
        <v>24.327000000000002</v>
      </c>
      <c r="E472">
        <v>18.7</v>
      </c>
      <c r="F472">
        <v>1</v>
      </c>
      <c r="G472">
        <v>0</v>
      </c>
      <c r="H472">
        <v>0</v>
      </c>
      <c r="I472" s="7">
        <v>0.56083181339430199</v>
      </c>
      <c r="J472" s="6">
        <v>0</v>
      </c>
      <c r="K472" s="6">
        <v>0</v>
      </c>
      <c r="L472">
        <v>-10000</v>
      </c>
      <c r="M472">
        <v>0.14482781773853801</v>
      </c>
    </row>
    <row r="473" spans="1:13" x14ac:dyDescent="0.25">
      <c r="A473">
        <v>2987</v>
      </c>
      <c r="B473" t="str">
        <f>"BAG5"</f>
        <v>BAG5</v>
      </c>
      <c r="C473" t="str">
        <f>""</f>
        <v/>
      </c>
      <c r="D473">
        <v>51.198999999999998</v>
      </c>
      <c r="E473">
        <v>5.8</v>
      </c>
      <c r="F473">
        <v>1</v>
      </c>
      <c r="G473">
        <v>0</v>
      </c>
      <c r="H473">
        <v>0</v>
      </c>
      <c r="I473" s="7">
        <v>0.56083181339430199</v>
      </c>
      <c r="J473" s="6">
        <v>0</v>
      </c>
      <c r="K473" s="6">
        <v>0</v>
      </c>
      <c r="L473">
        <v>-10000</v>
      </c>
      <c r="M473">
        <v>0.14482781773853801</v>
      </c>
    </row>
    <row r="474" spans="1:13" x14ac:dyDescent="0.25">
      <c r="A474">
        <v>2990</v>
      </c>
      <c r="B474" t="str">
        <f>"MKLN1"</f>
        <v>MKLN1</v>
      </c>
      <c r="C474" t="str">
        <f>""</f>
        <v/>
      </c>
      <c r="D474">
        <v>60.738999999999997</v>
      </c>
      <c r="E474">
        <v>1.7</v>
      </c>
      <c r="F474">
        <v>1</v>
      </c>
      <c r="G474">
        <v>0</v>
      </c>
      <c r="H474">
        <v>0</v>
      </c>
      <c r="I474" s="7">
        <v>0.56083181339430199</v>
      </c>
      <c r="J474" s="6">
        <v>0</v>
      </c>
      <c r="K474" s="6">
        <v>0</v>
      </c>
      <c r="L474">
        <v>-10000</v>
      </c>
      <c r="M474">
        <v>0.14482781773853801</v>
      </c>
    </row>
    <row r="475" spans="1:13" x14ac:dyDescent="0.25">
      <c r="A475">
        <v>3039</v>
      </c>
      <c r="B475" t="str">
        <f>"GNE"</f>
        <v>GNE</v>
      </c>
      <c r="C475" t="str">
        <f>""</f>
        <v/>
      </c>
      <c r="D475">
        <v>66.784000000000006</v>
      </c>
      <c r="E475">
        <v>2.2999999999999998</v>
      </c>
      <c r="F475">
        <v>1</v>
      </c>
      <c r="G475">
        <v>0</v>
      </c>
      <c r="H475">
        <v>0</v>
      </c>
      <c r="I475" s="7">
        <v>0.56083181339430199</v>
      </c>
      <c r="J475" s="6">
        <v>0</v>
      </c>
      <c r="K475" s="6">
        <v>0</v>
      </c>
      <c r="L475">
        <v>-10000</v>
      </c>
      <c r="M475">
        <v>0.14482781773853801</v>
      </c>
    </row>
    <row r="476" spans="1:13" x14ac:dyDescent="0.25">
      <c r="A476">
        <v>3089</v>
      </c>
      <c r="B476" t="str">
        <f>"EXOSC1"</f>
        <v>EXOSC1</v>
      </c>
      <c r="C476" t="str">
        <f>""</f>
        <v/>
      </c>
      <c r="D476">
        <v>21.452000000000002</v>
      </c>
      <c r="E476">
        <v>5.6</v>
      </c>
      <c r="F476">
        <v>1</v>
      </c>
      <c r="G476">
        <v>0</v>
      </c>
      <c r="H476">
        <v>0</v>
      </c>
      <c r="I476" s="7">
        <v>0.56083181339430199</v>
      </c>
      <c r="J476" s="6">
        <v>0</v>
      </c>
      <c r="K476" s="6">
        <v>0</v>
      </c>
      <c r="L476">
        <v>-10000</v>
      </c>
      <c r="M476">
        <v>0.14482781773853801</v>
      </c>
    </row>
    <row r="477" spans="1:13" x14ac:dyDescent="0.25">
      <c r="A477">
        <v>3092</v>
      </c>
      <c r="B477" t="str">
        <f>"CCDC53"</f>
        <v>CCDC53</v>
      </c>
      <c r="C477" t="str">
        <f>""</f>
        <v/>
      </c>
      <c r="D477">
        <v>21.172000000000001</v>
      </c>
      <c r="E477">
        <v>6.2</v>
      </c>
      <c r="F477">
        <v>1</v>
      </c>
      <c r="G477">
        <v>0</v>
      </c>
      <c r="H477">
        <v>0</v>
      </c>
      <c r="I477" s="7">
        <v>0.56083181339430199</v>
      </c>
      <c r="J477" s="6">
        <v>0</v>
      </c>
      <c r="K477" s="6">
        <v>0</v>
      </c>
      <c r="L477">
        <v>-10000</v>
      </c>
      <c r="M477">
        <v>0.14482781773853801</v>
      </c>
    </row>
    <row r="478" spans="1:13" x14ac:dyDescent="0.25">
      <c r="A478">
        <v>3094</v>
      </c>
      <c r="B478" t="str">
        <f>"UFC1"</f>
        <v>UFC1</v>
      </c>
      <c r="C478" t="str">
        <f>""</f>
        <v/>
      </c>
      <c r="D478">
        <v>19.457999999999998</v>
      </c>
      <c r="E478">
        <v>6</v>
      </c>
      <c r="F478">
        <v>1</v>
      </c>
      <c r="G478">
        <v>0</v>
      </c>
      <c r="H478">
        <v>0</v>
      </c>
      <c r="I478" s="7">
        <v>0.56083181339430199</v>
      </c>
      <c r="J478" s="6">
        <v>0</v>
      </c>
      <c r="K478" s="6">
        <v>0</v>
      </c>
      <c r="L478">
        <v>-10000</v>
      </c>
      <c r="M478">
        <v>0.14482781773853801</v>
      </c>
    </row>
    <row r="479" spans="1:13" x14ac:dyDescent="0.25">
      <c r="A479">
        <v>3133</v>
      </c>
      <c r="B479" t="str">
        <f>"GTF3C3"</f>
        <v>GTF3C3</v>
      </c>
      <c r="C479" t="str">
        <f>""</f>
        <v/>
      </c>
      <c r="D479">
        <v>101.27</v>
      </c>
      <c r="E479">
        <v>5.0999999999999996</v>
      </c>
      <c r="F479">
        <v>1</v>
      </c>
      <c r="G479">
        <v>0</v>
      </c>
      <c r="H479">
        <v>0</v>
      </c>
      <c r="I479" s="7">
        <v>0.56083181339430199</v>
      </c>
      <c r="J479" s="6">
        <v>0</v>
      </c>
      <c r="K479" s="6">
        <v>0</v>
      </c>
      <c r="L479">
        <v>-10000</v>
      </c>
      <c r="M479">
        <v>0.14482781773853801</v>
      </c>
    </row>
    <row r="480" spans="1:13" x14ac:dyDescent="0.25">
      <c r="A480">
        <v>3139</v>
      </c>
      <c r="B480" t="str">
        <f>"NR2E3"</f>
        <v>NR2E3</v>
      </c>
      <c r="C480" t="str">
        <f>""</f>
        <v/>
      </c>
      <c r="D480">
        <v>44.692</v>
      </c>
      <c r="E480">
        <v>4.0999999999999996</v>
      </c>
      <c r="F480">
        <v>1</v>
      </c>
      <c r="G480">
        <v>0</v>
      </c>
      <c r="H480">
        <v>0</v>
      </c>
      <c r="I480" s="7">
        <v>0.56083181339430199</v>
      </c>
      <c r="J480" s="6">
        <v>0</v>
      </c>
      <c r="K480" s="6">
        <v>0</v>
      </c>
      <c r="L480">
        <v>-10000</v>
      </c>
      <c r="M480">
        <v>0.14482781773853801</v>
      </c>
    </row>
    <row r="481" spans="1:13" x14ac:dyDescent="0.25">
      <c r="A481">
        <v>1311</v>
      </c>
      <c r="B481" t="str">
        <f>"YWHAE"</f>
        <v>YWHAE</v>
      </c>
      <c r="C481" t="str">
        <f>""</f>
        <v/>
      </c>
      <c r="D481">
        <v>29.173999999999999</v>
      </c>
      <c r="E481">
        <v>32.5</v>
      </c>
      <c r="F481">
        <v>30</v>
      </c>
      <c r="G481">
        <v>34</v>
      </c>
      <c r="H481">
        <v>44</v>
      </c>
      <c r="I481" s="7">
        <v>16.8249544018291</v>
      </c>
      <c r="J481" s="6">
        <v>19.761221447207301</v>
      </c>
      <c r="K481" s="6">
        <v>26.553129146395399</v>
      </c>
      <c r="L481">
        <v>1.37635887407124</v>
      </c>
      <c r="M481">
        <v>0.14513225087289899</v>
      </c>
    </row>
    <row r="482" spans="1:13" x14ac:dyDescent="0.25">
      <c r="A482">
        <v>2847</v>
      </c>
      <c r="B482" t="str">
        <f>"CHCHD3"</f>
        <v>CHCHD3</v>
      </c>
      <c r="C482" t="str">
        <f>""</f>
        <v/>
      </c>
      <c r="D482">
        <v>26.152000000000001</v>
      </c>
      <c r="E482">
        <v>11.5</v>
      </c>
      <c r="F482">
        <v>5</v>
      </c>
      <c r="G482">
        <v>3</v>
      </c>
      <c r="H482">
        <v>0</v>
      </c>
      <c r="I482" s="7">
        <v>2.80415906697151</v>
      </c>
      <c r="J482" s="6">
        <v>1.74363718651829</v>
      </c>
      <c r="K482" s="6">
        <v>0</v>
      </c>
      <c r="L482">
        <v>-3.2164478810765398</v>
      </c>
      <c r="M482">
        <v>0.14866326617935999</v>
      </c>
    </row>
    <row r="483" spans="1:13" x14ac:dyDescent="0.25">
      <c r="A483">
        <v>60</v>
      </c>
      <c r="B483" t="str">
        <f>"KRT9"</f>
        <v>KRT9</v>
      </c>
      <c r="C483" t="str">
        <f>""</f>
        <v/>
      </c>
      <c r="D483">
        <v>62.128999999999998</v>
      </c>
      <c r="E483">
        <v>18.8</v>
      </c>
      <c r="F483">
        <v>45</v>
      </c>
      <c r="G483">
        <v>38</v>
      </c>
      <c r="H483">
        <v>24</v>
      </c>
      <c r="I483" s="7">
        <v>25.237431602743602</v>
      </c>
      <c r="J483" s="6">
        <v>22.0860710292317</v>
      </c>
      <c r="K483" s="6">
        <v>14.4835249889429</v>
      </c>
      <c r="L483">
        <v>-1.3802412031131499</v>
      </c>
      <c r="M483">
        <v>0.14935599776414599</v>
      </c>
    </row>
    <row r="484" spans="1:13" x14ac:dyDescent="0.25">
      <c r="A484">
        <v>1061</v>
      </c>
      <c r="B484" t="str">
        <f>"RPS5"</f>
        <v>RPS5</v>
      </c>
      <c r="C484" t="str">
        <f>""</f>
        <v/>
      </c>
      <c r="D484">
        <v>22.876000000000001</v>
      </c>
      <c r="E484">
        <v>31.9</v>
      </c>
      <c r="F484">
        <v>12</v>
      </c>
      <c r="G484">
        <v>19</v>
      </c>
      <c r="H484">
        <v>17</v>
      </c>
      <c r="I484" s="7">
        <v>6.7299817607316301</v>
      </c>
      <c r="J484" s="6">
        <v>11.0430355146158</v>
      </c>
      <c r="K484" s="6">
        <v>10.259163533834601</v>
      </c>
      <c r="L484">
        <v>1.58263423333072</v>
      </c>
      <c r="M484">
        <v>0.15483223175316199</v>
      </c>
    </row>
    <row r="485" spans="1:13" x14ac:dyDescent="0.25">
      <c r="A485">
        <v>2099</v>
      </c>
      <c r="B485" t="str">
        <f>"ANKHD1"</f>
        <v>ANKHD1</v>
      </c>
      <c r="C485" t="str">
        <f>""</f>
        <v/>
      </c>
      <c r="D485">
        <v>269.45</v>
      </c>
      <c r="E485">
        <v>2</v>
      </c>
      <c r="F485">
        <v>1</v>
      </c>
      <c r="G485">
        <v>3</v>
      </c>
      <c r="H485">
        <v>4</v>
      </c>
      <c r="I485" s="7">
        <v>0.56083181339430199</v>
      </c>
      <c r="J485" s="6">
        <v>1.74363718651829</v>
      </c>
      <c r="K485" s="6">
        <v>2.4139208314904899</v>
      </c>
      <c r="L485">
        <v>3.7065996602850899</v>
      </c>
      <c r="M485">
        <v>0.15594909813972599</v>
      </c>
    </row>
    <row r="486" spans="1:13" x14ac:dyDescent="0.25">
      <c r="A486">
        <v>2387</v>
      </c>
      <c r="B486" t="str">
        <f>"OTUB1"</f>
        <v>OTUB1</v>
      </c>
      <c r="C486" t="str">
        <f>""</f>
        <v/>
      </c>
      <c r="D486">
        <v>31.283999999999999</v>
      </c>
      <c r="E486">
        <v>10</v>
      </c>
      <c r="F486">
        <v>1</v>
      </c>
      <c r="G486">
        <v>3</v>
      </c>
      <c r="H486">
        <v>4</v>
      </c>
      <c r="I486" s="7">
        <v>0.56083181339430199</v>
      </c>
      <c r="J486" s="6">
        <v>1.74363718651829</v>
      </c>
      <c r="K486" s="6">
        <v>2.4139208314904899</v>
      </c>
      <c r="L486">
        <v>3.7065996602850899</v>
      </c>
      <c r="M486">
        <v>0.15594909813972599</v>
      </c>
    </row>
    <row r="487" spans="1:13" x14ac:dyDescent="0.25">
      <c r="A487">
        <v>1600</v>
      </c>
      <c r="B487" t="str">
        <f>"AAMP"</f>
        <v>AAMP</v>
      </c>
      <c r="C487" t="str">
        <f>""</f>
        <v/>
      </c>
      <c r="D487">
        <v>46.75</v>
      </c>
      <c r="E487">
        <v>12</v>
      </c>
      <c r="F487">
        <v>1</v>
      </c>
      <c r="G487">
        <v>4</v>
      </c>
      <c r="H487">
        <v>3</v>
      </c>
      <c r="I487" s="7">
        <v>0.56083181339430199</v>
      </c>
      <c r="J487" s="6">
        <v>2.32484958202439</v>
      </c>
      <c r="K487" s="6">
        <v>1.8104406236178701</v>
      </c>
      <c r="L487">
        <v>3.6867471734657702</v>
      </c>
      <c r="M487">
        <v>0.15594910464785</v>
      </c>
    </row>
    <row r="488" spans="1:13" x14ac:dyDescent="0.25">
      <c r="A488">
        <v>904</v>
      </c>
      <c r="B488" t="str">
        <f>"ALDH1B1"</f>
        <v>ALDH1B1</v>
      </c>
      <c r="C488" t="str">
        <f>""</f>
        <v/>
      </c>
      <c r="D488">
        <v>57.206000000000003</v>
      </c>
      <c r="E488">
        <v>7.2</v>
      </c>
      <c r="F488">
        <v>1</v>
      </c>
      <c r="G488">
        <v>4</v>
      </c>
      <c r="H488">
        <v>3</v>
      </c>
      <c r="I488" s="7">
        <v>0.56083181339430199</v>
      </c>
      <c r="J488" s="6">
        <v>2.32484958202439</v>
      </c>
      <c r="K488" s="6">
        <v>1.8104406236178701</v>
      </c>
      <c r="L488">
        <v>3.6867471734657702</v>
      </c>
      <c r="M488">
        <v>0.15594910464785</v>
      </c>
    </row>
    <row r="489" spans="1:13" x14ac:dyDescent="0.25">
      <c r="A489">
        <v>1055</v>
      </c>
      <c r="B489" t="str">
        <f>"NSF"</f>
        <v>NSF</v>
      </c>
      <c r="C489" t="str">
        <f>""</f>
        <v/>
      </c>
      <c r="D489">
        <v>82.593000000000004</v>
      </c>
      <c r="E489">
        <v>6.3</v>
      </c>
      <c r="F489">
        <v>1</v>
      </c>
      <c r="G489">
        <v>4</v>
      </c>
      <c r="H489">
        <v>3</v>
      </c>
      <c r="I489" s="7">
        <v>0.56083181339430199</v>
      </c>
      <c r="J489" s="6">
        <v>2.32484958202439</v>
      </c>
      <c r="K489" s="6">
        <v>1.8104406236178701</v>
      </c>
      <c r="L489">
        <v>3.6867471734657702</v>
      </c>
      <c r="M489">
        <v>0.15594910464785</v>
      </c>
    </row>
    <row r="490" spans="1:13" x14ac:dyDescent="0.25">
      <c r="A490">
        <v>2806</v>
      </c>
      <c r="B490" t="str">
        <f>"ECHDC1"</f>
        <v>ECHDC1</v>
      </c>
      <c r="C490" t="str">
        <f>""</f>
        <v/>
      </c>
      <c r="D490">
        <v>7.7449000000000003</v>
      </c>
      <c r="E490">
        <v>34.299999999999997</v>
      </c>
      <c r="F490">
        <v>1</v>
      </c>
      <c r="G490">
        <v>4</v>
      </c>
      <c r="H490">
        <v>3</v>
      </c>
      <c r="I490" s="7">
        <v>0.56083181339430199</v>
      </c>
      <c r="J490" s="6">
        <v>2.32484958202439</v>
      </c>
      <c r="K490" s="6">
        <v>1.8104406236178701</v>
      </c>
      <c r="L490">
        <v>3.6867471734657702</v>
      </c>
      <c r="M490">
        <v>0.15594910464785</v>
      </c>
    </row>
    <row r="491" spans="1:13" x14ac:dyDescent="0.25">
      <c r="A491">
        <v>656</v>
      </c>
      <c r="B491" t="str">
        <f>"PABPC1;PABPC3"</f>
        <v>PABPC1;PABPC3</v>
      </c>
      <c r="C491" t="str">
        <f>""</f>
        <v/>
      </c>
      <c r="D491">
        <v>61.18</v>
      </c>
      <c r="E491">
        <v>6.8</v>
      </c>
      <c r="F491">
        <v>7</v>
      </c>
      <c r="G491">
        <v>3</v>
      </c>
      <c r="H491">
        <v>3</v>
      </c>
      <c r="I491" s="7">
        <v>3.9258226937601099</v>
      </c>
      <c r="J491" s="6">
        <v>1.74363718651829</v>
      </c>
      <c r="K491" s="6">
        <v>1.8104406236178701</v>
      </c>
      <c r="L491">
        <v>-2.20919344115863</v>
      </c>
      <c r="M491">
        <v>0.15751210644364</v>
      </c>
    </row>
    <row r="492" spans="1:13" x14ac:dyDescent="0.25">
      <c r="A492">
        <v>2488</v>
      </c>
      <c r="B492" t="str">
        <f>"HSD17B10"</f>
        <v>HSD17B10</v>
      </c>
      <c r="C492" t="str">
        <f>""</f>
        <v/>
      </c>
      <c r="D492">
        <v>25.984000000000002</v>
      </c>
      <c r="E492">
        <v>21.4</v>
      </c>
      <c r="F492">
        <v>10</v>
      </c>
      <c r="G492">
        <v>6</v>
      </c>
      <c r="H492">
        <v>4</v>
      </c>
      <c r="I492" s="7">
        <v>5.6083181339430199</v>
      </c>
      <c r="J492" s="6">
        <v>3.4872743730365801</v>
      </c>
      <c r="K492" s="6">
        <v>2.4139208314904899</v>
      </c>
      <c r="L492">
        <v>-1.90073974493866</v>
      </c>
      <c r="M492">
        <v>0.15873762509867101</v>
      </c>
    </row>
    <row r="493" spans="1:13" x14ac:dyDescent="0.25">
      <c r="A493">
        <v>1276</v>
      </c>
      <c r="B493" t="str">
        <f>"UBE2N"</f>
        <v>UBE2N</v>
      </c>
      <c r="C493" t="str">
        <f>""</f>
        <v/>
      </c>
      <c r="D493">
        <v>17.138000000000002</v>
      </c>
      <c r="E493">
        <v>23.7</v>
      </c>
      <c r="F493">
        <v>3</v>
      </c>
      <c r="G493">
        <v>6</v>
      </c>
      <c r="H493">
        <v>7</v>
      </c>
      <c r="I493" s="7">
        <v>1.68249544018291</v>
      </c>
      <c r="J493" s="6">
        <v>3.4872743730365801</v>
      </c>
      <c r="K493" s="6">
        <v>4.2243614551083599</v>
      </c>
      <c r="L493">
        <v>2.2917256249165798</v>
      </c>
      <c r="M493">
        <v>0.16400515550108499</v>
      </c>
    </row>
    <row r="494" spans="1:13" x14ac:dyDescent="0.25">
      <c r="A494">
        <v>874</v>
      </c>
      <c r="B494" t="str">
        <f>"CRABP2"</f>
        <v>CRABP2</v>
      </c>
      <c r="C494" t="str">
        <f>""</f>
        <v/>
      </c>
      <c r="D494">
        <v>15.693</v>
      </c>
      <c r="E494">
        <v>18.8</v>
      </c>
      <c r="F494">
        <v>2</v>
      </c>
      <c r="G494">
        <v>5</v>
      </c>
      <c r="H494">
        <v>5</v>
      </c>
      <c r="I494" s="7">
        <v>1.1216636267886</v>
      </c>
      <c r="J494" s="6">
        <v>2.9060619775304799</v>
      </c>
      <c r="K494" s="6">
        <v>3.0174010393631101</v>
      </c>
      <c r="L494">
        <v>2.64048101205388</v>
      </c>
      <c r="M494">
        <v>0.16833094069346199</v>
      </c>
    </row>
    <row r="495" spans="1:13" x14ac:dyDescent="0.25">
      <c r="A495">
        <v>2466</v>
      </c>
      <c r="B495" t="str">
        <f>"MMS19"</f>
        <v>MMS19</v>
      </c>
      <c r="C495" t="str">
        <f>""</f>
        <v/>
      </c>
      <c r="D495">
        <v>108.38</v>
      </c>
      <c r="E495">
        <v>2.7</v>
      </c>
      <c r="F495">
        <v>2</v>
      </c>
      <c r="G495">
        <v>5</v>
      </c>
      <c r="H495">
        <v>5</v>
      </c>
      <c r="I495" s="7">
        <v>1.1216636267886</v>
      </c>
      <c r="J495" s="6">
        <v>2.9060619775304799</v>
      </c>
      <c r="K495" s="6">
        <v>3.0174010393631101</v>
      </c>
      <c r="L495">
        <v>2.64048101205388</v>
      </c>
      <c r="M495">
        <v>0.16833094069346199</v>
      </c>
    </row>
    <row r="496" spans="1:13" x14ac:dyDescent="0.25">
      <c r="A496">
        <v>1130</v>
      </c>
      <c r="B496" t="str">
        <f>"SULT1A1;SULT1A4;SULT1A3"</f>
        <v>SULT1A1;SULT1A4;SULT1A3</v>
      </c>
      <c r="C496" t="str">
        <f>""</f>
        <v/>
      </c>
      <c r="D496">
        <v>34.164999999999999</v>
      </c>
      <c r="E496">
        <v>13.6</v>
      </c>
      <c r="F496">
        <v>2</v>
      </c>
      <c r="G496">
        <v>5</v>
      </c>
      <c r="H496">
        <v>5</v>
      </c>
      <c r="I496" s="7">
        <v>1.1216636267886</v>
      </c>
      <c r="J496" s="6">
        <v>2.9060619775304799</v>
      </c>
      <c r="K496" s="6">
        <v>3.0174010393631101</v>
      </c>
      <c r="L496">
        <v>2.64048101205388</v>
      </c>
      <c r="M496">
        <v>0.16833094069346199</v>
      </c>
    </row>
    <row r="497" spans="1:13" x14ac:dyDescent="0.25">
      <c r="A497">
        <v>1148</v>
      </c>
      <c r="B497" t="str">
        <f>"PAPOLA;PAPOLB"</f>
        <v>PAPOLA;PAPOLB</v>
      </c>
      <c r="C497" t="str">
        <f>""</f>
        <v/>
      </c>
      <c r="D497">
        <v>82.841999999999999</v>
      </c>
      <c r="E497">
        <v>6.7</v>
      </c>
      <c r="F497">
        <v>2</v>
      </c>
      <c r="G497">
        <v>5</v>
      </c>
      <c r="H497">
        <v>5</v>
      </c>
      <c r="I497" s="7">
        <v>1.1216636267886</v>
      </c>
      <c r="J497" s="6">
        <v>2.9060619775304799</v>
      </c>
      <c r="K497" s="6">
        <v>3.0174010393631101</v>
      </c>
      <c r="L497">
        <v>2.64048101205388</v>
      </c>
      <c r="M497">
        <v>0.16833094069346199</v>
      </c>
    </row>
    <row r="498" spans="1:13" x14ac:dyDescent="0.25">
      <c r="A498">
        <v>3067</v>
      </c>
      <c r="B498" t="str">
        <f>"POLDIP2"</f>
        <v>POLDIP2</v>
      </c>
      <c r="C498" t="str">
        <f>""</f>
        <v/>
      </c>
      <c r="D498">
        <v>42.033000000000001</v>
      </c>
      <c r="E498">
        <v>10.6</v>
      </c>
      <c r="F498">
        <v>2</v>
      </c>
      <c r="G498">
        <v>5</v>
      </c>
      <c r="H498">
        <v>5</v>
      </c>
      <c r="I498" s="7">
        <v>1.1216636267886</v>
      </c>
      <c r="J498" s="6">
        <v>2.9060619775304799</v>
      </c>
      <c r="K498" s="6">
        <v>3.0174010393631101</v>
      </c>
      <c r="L498">
        <v>2.64048101205388</v>
      </c>
      <c r="M498">
        <v>0.16833094069346199</v>
      </c>
    </row>
    <row r="499" spans="1:13" x14ac:dyDescent="0.25">
      <c r="A499">
        <v>2946</v>
      </c>
      <c r="B499" t="str">
        <f>"CHORDC1"</f>
        <v>CHORDC1</v>
      </c>
      <c r="C499" t="str">
        <f>""</f>
        <v/>
      </c>
      <c r="D499">
        <v>35.286000000000001</v>
      </c>
      <c r="E499">
        <v>5.0999999999999996</v>
      </c>
      <c r="F499">
        <v>2</v>
      </c>
      <c r="G499">
        <v>4</v>
      </c>
      <c r="H499">
        <v>6</v>
      </c>
      <c r="I499" s="7">
        <v>1.1216636267886</v>
      </c>
      <c r="J499" s="6">
        <v>2.32484958202439</v>
      </c>
      <c r="K499" s="6">
        <v>3.6208812472357401</v>
      </c>
      <c r="L499">
        <v>2.6504072554635401</v>
      </c>
      <c r="M499">
        <v>0.168457452449499</v>
      </c>
    </row>
    <row r="500" spans="1:13" x14ac:dyDescent="0.25">
      <c r="A500">
        <v>1279</v>
      </c>
      <c r="B500" t="str">
        <f>"ACTR2"</f>
        <v>ACTR2</v>
      </c>
      <c r="C500" t="str">
        <f>""</f>
        <v/>
      </c>
      <c r="D500">
        <v>44.76</v>
      </c>
      <c r="E500">
        <v>17.5</v>
      </c>
      <c r="F500">
        <v>2</v>
      </c>
      <c r="G500">
        <v>6</v>
      </c>
      <c r="H500">
        <v>4</v>
      </c>
      <c r="I500" s="7">
        <v>1.1216636267886</v>
      </c>
      <c r="J500" s="6">
        <v>3.4872743730365801</v>
      </c>
      <c r="K500" s="6">
        <v>2.4139208314904899</v>
      </c>
      <c r="L500">
        <v>2.6305547686442199</v>
      </c>
      <c r="M500">
        <v>0.168457471680107</v>
      </c>
    </row>
    <row r="501" spans="1:13" x14ac:dyDescent="0.25">
      <c r="A501">
        <v>515</v>
      </c>
      <c r="B501" t="str">
        <f>"GAPDH"</f>
        <v>GAPDH</v>
      </c>
      <c r="C501" t="str">
        <f>""</f>
        <v/>
      </c>
      <c r="D501">
        <v>36.052999999999997</v>
      </c>
      <c r="E501">
        <v>26</v>
      </c>
      <c r="F501">
        <v>67</v>
      </c>
      <c r="G501">
        <v>54</v>
      </c>
      <c r="H501">
        <v>48</v>
      </c>
      <c r="I501" s="7">
        <v>37.575731497418197</v>
      </c>
      <c r="J501" s="6">
        <v>31.3854693573292</v>
      </c>
      <c r="K501" s="6">
        <v>28.9670499778859</v>
      </c>
      <c r="L501">
        <v>-1.24520838272589</v>
      </c>
      <c r="M501">
        <v>0.169364028273708</v>
      </c>
    </row>
    <row r="502" spans="1:13" x14ac:dyDescent="0.25">
      <c r="A502">
        <v>39</v>
      </c>
      <c r="B502" t="str">
        <f>""</f>
        <v/>
      </c>
      <c r="C502" t="str">
        <f>""</f>
        <v/>
      </c>
      <c r="D502">
        <v>15.183999999999999</v>
      </c>
      <c r="E502">
        <v>23.2</v>
      </c>
      <c r="F502">
        <v>10</v>
      </c>
      <c r="G502">
        <v>7</v>
      </c>
      <c r="H502">
        <v>1</v>
      </c>
      <c r="I502" s="7">
        <v>5.6083181339430199</v>
      </c>
      <c r="J502" s="6">
        <v>4.0684867685426802</v>
      </c>
      <c r="K502" s="6">
        <v>0.60348020787262302</v>
      </c>
      <c r="L502">
        <v>-2.4008380890766299</v>
      </c>
      <c r="M502">
        <v>0.17018191225457099</v>
      </c>
    </row>
    <row r="503" spans="1:13" x14ac:dyDescent="0.25">
      <c r="A503">
        <v>310</v>
      </c>
      <c r="B503" t="str">
        <f>"GGCT"</f>
        <v>GGCT</v>
      </c>
      <c r="C503" t="str">
        <f>""</f>
        <v/>
      </c>
      <c r="D503">
        <v>21.007000000000001</v>
      </c>
      <c r="E503">
        <v>25.5</v>
      </c>
      <c r="F503">
        <v>2</v>
      </c>
      <c r="G503">
        <v>7</v>
      </c>
      <c r="H503">
        <v>3</v>
      </c>
      <c r="I503" s="7">
        <v>1.1216636267886</v>
      </c>
      <c r="J503" s="6">
        <v>4.0684867685426802</v>
      </c>
      <c r="K503" s="6">
        <v>1.8104406236178701</v>
      </c>
      <c r="L503">
        <v>2.6206285252345598</v>
      </c>
      <c r="M503">
        <v>0.173734934604864</v>
      </c>
    </row>
    <row r="504" spans="1:13" x14ac:dyDescent="0.25">
      <c r="A504">
        <v>103</v>
      </c>
      <c r="B504" t="str">
        <f>"DFFA"</f>
        <v>DFFA</v>
      </c>
      <c r="C504" t="str">
        <f>""</f>
        <v/>
      </c>
      <c r="D504">
        <v>36.521000000000001</v>
      </c>
      <c r="E504">
        <v>10.3</v>
      </c>
      <c r="F504">
        <v>2</v>
      </c>
      <c r="G504">
        <v>7</v>
      </c>
      <c r="H504">
        <v>3</v>
      </c>
      <c r="I504" s="7">
        <v>1.1216636267886</v>
      </c>
      <c r="J504" s="6">
        <v>4.0684867685426802</v>
      </c>
      <c r="K504" s="6">
        <v>1.8104406236178701</v>
      </c>
      <c r="L504">
        <v>2.6206285252345598</v>
      </c>
      <c r="M504">
        <v>0.173734934604864</v>
      </c>
    </row>
    <row r="505" spans="1:13" x14ac:dyDescent="0.25">
      <c r="A505">
        <v>2701</v>
      </c>
      <c r="B505" t="str">
        <f>"PTGES2"</f>
        <v>PTGES2</v>
      </c>
      <c r="C505" t="str">
        <f>""</f>
        <v/>
      </c>
      <c r="D505">
        <v>41.942999999999998</v>
      </c>
      <c r="E505">
        <v>10.6</v>
      </c>
      <c r="F505">
        <v>6</v>
      </c>
      <c r="G505">
        <v>4</v>
      </c>
      <c r="H505">
        <v>1</v>
      </c>
      <c r="I505" s="7">
        <v>3.3649908803658102</v>
      </c>
      <c r="J505" s="6">
        <v>2.32484958202439</v>
      </c>
      <c r="K505" s="6">
        <v>0.60348020787262302</v>
      </c>
      <c r="L505">
        <v>-2.2982321813446802</v>
      </c>
      <c r="M505">
        <v>0.177609402946733</v>
      </c>
    </row>
    <row r="506" spans="1:13" x14ac:dyDescent="0.25">
      <c r="A506">
        <v>1689</v>
      </c>
      <c r="B506" t="str">
        <f>"SEPT2"</f>
        <v>SEPT2</v>
      </c>
      <c r="C506" t="str">
        <f>""</f>
        <v/>
      </c>
      <c r="D506">
        <v>41.487000000000002</v>
      </c>
      <c r="E506">
        <v>16.899999999999999</v>
      </c>
      <c r="F506">
        <v>6</v>
      </c>
      <c r="G506">
        <v>3</v>
      </c>
      <c r="H506">
        <v>2</v>
      </c>
      <c r="I506" s="7">
        <v>3.3649908803658102</v>
      </c>
      <c r="J506" s="6">
        <v>1.74363718651829</v>
      </c>
      <c r="K506" s="6">
        <v>1.20696041574525</v>
      </c>
      <c r="L506">
        <v>-2.28088769392639</v>
      </c>
      <c r="M506">
        <v>0.178046076037678</v>
      </c>
    </row>
    <row r="507" spans="1:13" x14ac:dyDescent="0.25">
      <c r="A507">
        <v>645</v>
      </c>
      <c r="B507" t="str">
        <f>"LAMP1"</f>
        <v>LAMP1</v>
      </c>
      <c r="C507" t="str">
        <f>""</f>
        <v/>
      </c>
      <c r="D507">
        <v>44.881999999999998</v>
      </c>
      <c r="E507">
        <v>2.2000000000000002</v>
      </c>
      <c r="F507">
        <v>6</v>
      </c>
      <c r="G507">
        <v>2</v>
      </c>
      <c r="H507">
        <v>3</v>
      </c>
      <c r="I507" s="7">
        <v>3.3649908803658102</v>
      </c>
      <c r="J507" s="6">
        <v>1.1624247910121901</v>
      </c>
      <c r="K507" s="6">
        <v>1.8104406236178701</v>
      </c>
      <c r="L507">
        <v>-2.2638030391863899</v>
      </c>
      <c r="M507">
        <v>0.178046088067465</v>
      </c>
    </row>
    <row r="508" spans="1:13" x14ac:dyDescent="0.25">
      <c r="A508">
        <v>2478</v>
      </c>
      <c r="B508" t="str">
        <f>"NUP88"</f>
        <v>NUP88</v>
      </c>
      <c r="C508" t="str">
        <f>""</f>
        <v/>
      </c>
      <c r="D508">
        <v>83.540999999999997</v>
      </c>
      <c r="E508">
        <v>4.5999999999999996</v>
      </c>
      <c r="F508">
        <v>6</v>
      </c>
      <c r="G508">
        <v>2</v>
      </c>
      <c r="H508">
        <v>3</v>
      </c>
      <c r="I508" s="7">
        <v>3.3649908803658102</v>
      </c>
      <c r="J508" s="6">
        <v>1.1624247910121901</v>
      </c>
      <c r="K508" s="6">
        <v>1.8104406236178701</v>
      </c>
      <c r="L508">
        <v>-2.2638030391863899</v>
      </c>
      <c r="M508">
        <v>0.178046088067465</v>
      </c>
    </row>
    <row r="509" spans="1:13" x14ac:dyDescent="0.25">
      <c r="A509">
        <v>554</v>
      </c>
      <c r="B509" t="str">
        <f>"ENO1"</f>
        <v>ENO1</v>
      </c>
      <c r="C509" t="str">
        <f>""</f>
        <v/>
      </c>
      <c r="D509">
        <v>47.167999999999999</v>
      </c>
      <c r="E509">
        <v>35.5</v>
      </c>
      <c r="F509">
        <v>46</v>
      </c>
      <c r="G509">
        <v>58</v>
      </c>
      <c r="H509">
        <v>52</v>
      </c>
      <c r="I509" s="7">
        <v>25.7982634161379</v>
      </c>
      <c r="J509" s="6">
        <v>33.710318939353598</v>
      </c>
      <c r="K509" s="6">
        <v>31.3809708093764</v>
      </c>
      <c r="L509">
        <v>1.26154401749407</v>
      </c>
      <c r="M509">
        <v>0.179213289228075</v>
      </c>
    </row>
    <row r="510" spans="1:13" x14ac:dyDescent="0.25">
      <c r="A510">
        <v>858</v>
      </c>
      <c r="B510" t="str">
        <f>"PSMB4"</f>
        <v>PSMB4</v>
      </c>
      <c r="C510" t="str">
        <f>""</f>
        <v/>
      </c>
      <c r="D510">
        <v>29.204000000000001</v>
      </c>
      <c r="E510">
        <v>5.7</v>
      </c>
      <c r="F510">
        <v>9</v>
      </c>
      <c r="G510">
        <v>5</v>
      </c>
      <c r="H510">
        <v>4</v>
      </c>
      <c r="I510" s="7">
        <v>5.0474863205487202</v>
      </c>
      <c r="J510" s="6">
        <v>2.9060619775304799</v>
      </c>
      <c r="K510" s="6">
        <v>2.4139208314904899</v>
      </c>
      <c r="L510">
        <v>-1.8975573800689001</v>
      </c>
      <c r="M510">
        <v>0.18130841472610301</v>
      </c>
    </row>
    <row r="511" spans="1:13" x14ac:dyDescent="0.25">
      <c r="A511">
        <v>2592</v>
      </c>
      <c r="B511" t="str">
        <f>"AP1M1"</f>
        <v>AP1M1</v>
      </c>
      <c r="C511" t="str">
        <f>""</f>
        <v/>
      </c>
      <c r="D511">
        <v>48.585999999999999</v>
      </c>
      <c r="E511">
        <v>10.6</v>
      </c>
      <c r="F511">
        <v>9</v>
      </c>
      <c r="G511">
        <v>4</v>
      </c>
      <c r="H511">
        <v>5</v>
      </c>
      <c r="I511" s="7">
        <v>5.0474863205487202</v>
      </c>
      <c r="J511" s="6">
        <v>2.32484958202439</v>
      </c>
      <c r="K511" s="6">
        <v>3.0174010393631101</v>
      </c>
      <c r="L511">
        <v>-1.8896478949682001</v>
      </c>
      <c r="M511">
        <v>0.181308428831091</v>
      </c>
    </row>
    <row r="512" spans="1:13" x14ac:dyDescent="0.25">
      <c r="A512">
        <v>2622</v>
      </c>
      <c r="B512" t="str">
        <f>"UBE2O"</f>
        <v>UBE2O</v>
      </c>
      <c r="C512" t="str">
        <f>""</f>
        <v/>
      </c>
      <c r="D512">
        <v>141.29</v>
      </c>
      <c r="E512">
        <v>6.9</v>
      </c>
      <c r="F512">
        <v>5</v>
      </c>
      <c r="G512">
        <v>8</v>
      </c>
      <c r="H512">
        <v>10</v>
      </c>
      <c r="I512" s="7">
        <v>2.80415906697151</v>
      </c>
      <c r="J512" s="6">
        <v>4.6496991640487702</v>
      </c>
      <c r="K512" s="6">
        <v>6.03480207872623</v>
      </c>
      <c r="L512">
        <v>1.9051168260426601</v>
      </c>
      <c r="M512">
        <v>0.18148132805654901</v>
      </c>
    </row>
    <row r="513" spans="1:13" x14ac:dyDescent="0.25">
      <c r="A513">
        <v>3051</v>
      </c>
      <c r="B513" t="str">
        <f>"STK38L"</f>
        <v>STK38L</v>
      </c>
      <c r="C513" t="str">
        <f>"STK38L"</f>
        <v>STK38L</v>
      </c>
      <c r="D513">
        <v>54.002000000000002</v>
      </c>
      <c r="E513">
        <v>14.2</v>
      </c>
      <c r="F513">
        <v>5</v>
      </c>
      <c r="G513">
        <v>8</v>
      </c>
      <c r="H513">
        <v>10</v>
      </c>
      <c r="I513" s="7">
        <v>2.80415906697151</v>
      </c>
      <c r="J513" s="6">
        <v>4.6496991640487702</v>
      </c>
      <c r="K513" s="6">
        <v>6.03480207872623</v>
      </c>
      <c r="L513">
        <v>1.9051168260426601</v>
      </c>
      <c r="M513">
        <v>0.18148132805654901</v>
      </c>
    </row>
    <row r="514" spans="1:13" x14ac:dyDescent="0.25">
      <c r="A514">
        <v>953</v>
      </c>
      <c r="B514" t="str">
        <f>"MYH9"</f>
        <v>MYH9</v>
      </c>
      <c r="C514" t="str">
        <f>""</f>
        <v/>
      </c>
      <c r="D514">
        <v>226.53</v>
      </c>
      <c r="E514">
        <v>13.2</v>
      </c>
      <c r="F514">
        <v>29</v>
      </c>
      <c r="G514">
        <v>38</v>
      </c>
      <c r="H514">
        <v>35</v>
      </c>
      <c r="I514" s="7">
        <v>16.264122588434802</v>
      </c>
      <c r="J514" s="6">
        <v>22.0860710292317</v>
      </c>
      <c r="K514" s="6">
        <v>21.121807275541801</v>
      </c>
      <c r="L514">
        <v>1.32831876019854</v>
      </c>
      <c r="M514">
        <v>0.18833342523828001</v>
      </c>
    </row>
    <row r="515" spans="1:13" x14ac:dyDescent="0.25">
      <c r="A515">
        <v>790</v>
      </c>
      <c r="B515" t="str">
        <f>"UBA1"</f>
        <v>UBA1</v>
      </c>
      <c r="C515" t="str">
        <f>""</f>
        <v/>
      </c>
      <c r="D515">
        <v>113.8</v>
      </c>
      <c r="E515">
        <v>9.5</v>
      </c>
      <c r="F515">
        <v>31</v>
      </c>
      <c r="G515">
        <v>20</v>
      </c>
      <c r="H515">
        <v>23</v>
      </c>
      <c r="I515" s="7">
        <v>17.385786215223401</v>
      </c>
      <c r="J515" s="6">
        <v>11.6242479101219</v>
      </c>
      <c r="K515" s="6">
        <v>13.8800447810703</v>
      </c>
      <c r="L515">
        <v>-1.3633615662846801</v>
      </c>
      <c r="M515">
        <v>0.19245355479542001</v>
      </c>
    </row>
    <row r="516" spans="1:13" x14ac:dyDescent="0.25">
      <c r="A516">
        <v>52</v>
      </c>
      <c r="B516" t="str">
        <f>"KRT10"</f>
        <v>KRT10</v>
      </c>
      <c r="C516" t="str">
        <f>""</f>
        <v/>
      </c>
      <c r="D516">
        <v>59.51</v>
      </c>
      <c r="E516">
        <v>20.399999999999999</v>
      </c>
      <c r="F516">
        <v>17</v>
      </c>
      <c r="G516">
        <v>30</v>
      </c>
      <c r="H516">
        <v>18</v>
      </c>
      <c r="I516" s="7">
        <v>9.5341408277031405</v>
      </c>
      <c r="J516" s="6">
        <v>17.436371865182899</v>
      </c>
      <c r="K516" s="6">
        <v>10.862643741707201</v>
      </c>
      <c r="L516">
        <v>1.4840883996942</v>
      </c>
      <c r="M516">
        <v>0.192617028607138</v>
      </c>
    </row>
    <row r="517" spans="1:13" x14ac:dyDescent="0.25">
      <c r="A517">
        <v>2520</v>
      </c>
      <c r="B517" t="str">
        <f>"LPIN3"</f>
        <v>LPIN3</v>
      </c>
      <c r="C517" t="str">
        <f>""</f>
        <v/>
      </c>
      <c r="D517">
        <v>93.613</v>
      </c>
      <c r="E517">
        <v>1.1000000000000001</v>
      </c>
      <c r="F517">
        <v>0</v>
      </c>
      <c r="G517">
        <v>1</v>
      </c>
      <c r="H517">
        <v>1</v>
      </c>
      <c r="I517" s="7">
        <v>0</v>
      </c>
      <c r="J517" s="6">
        <v>0.58121239550609605</v>
      </c>
      <c r="K517" s="6">
        <v>0.60348020787262302</v>
      </c>
      <c r="L517">
        <v>10000</v>
      </c>
      <c r="M517">
        <v>0.19290812520203299</v>
      </c>
    </row>
    <row r="518" spans="1:13" x14ac:dyDescent="0.25">
      <c r="A518">
        <v>1891</v>
      </c>
      <c r="B518" t="str">
        <f>"RNF213"</f>
        <v>RNF213</v>
      </c>
      <c r="C518" t="str">
        <f>""</f>
        <v/>
      </c>
      <c r="D518">
        <v>591.4</v>
      </c>
      <c r="E518">
        <v>0.7</v>
      </c>
      <c r="F518">
        <v>0</v>
      </c>
      <c r="G518">
        <v>1</v>
      </c>
      <c r="H518">
        <v>1</v>
      </c>
      <c r="I518" s="7">
        <v>0</v>
      </c>
      <c r="J518" s="6">
        <v>0.58121239550609605</v>
      </c>
      <c r="K518" s="6">
        <v>0.60348020787262302</v>
      </c>
      <c r="L518">
        <v>10000</v>
      </c>
      <c r="M518">
        <v>0.19290812520203299</v>
      </c>
    </row>
    <row r="519" spans="1:13" x14ac:dyDescent="0.25">
      <c r="A519">
        <v>1369</v>
      </c>
      <c r="B519" t="str">
        <f>"H3F3C;HIST2H3A;HIST3H3;H3F3A;HIST1H3A"</f>
        <v>H3F3C;HIST2H3A;HIST3H3;H3F3A;HIST1H3A</v>
      </c>
      <c r="C519" t="str">
        <f>""</f>
        <v/>
      </c>
      <c r="D519">
        <v>15.214</v>
      </c>
      <c r="E519">
        <v>6.7</v>
      </c>
      <c r="F519">
        <v>0</v>
      </c>
      <c r="G519">
        <v>1</v>
      </c>
      <c r="H519">
        <v>1</v>
      </c>
      <c r="I519" s="7">
        <v>0</v>
      </c>
      <c r="J519" s="6">
        <v>0.58121239550609605</v>
      </c>
      <c r="K519" s="6">
        <v>0.60348020787262302</v>
      </c>
      <c r="L519">
        <v>10000</v>
      </c>
      <c r="M519">
        <v>0.19290812520203299</v>
      </c>
    </row>
    <row r="520" spans="1:13" x14ac:dyDescent="0.25">
      <c r="A520">
        <v>1773</v>
      </c>
      <c r="B520" t="str">
        <f>"DECR1"</f>
        <v>DECR1</v>
      </c>
      <c r="C520" t="str">
        <f>""</f>
        <v/>
      </c>
      <c r="D520">
        <v>34.994</v>
      </c>
      <c r="E520">
        <v>4</v>
      </c>
      <c r="F520">
        <v>0</v>
      </c>
      <c r="G520">
        <v>1</v>
      </c>
      <c r="H520">
        <v>1</v>
      </c>
      <c r="I520" s="7">
        <v>0</v>
      </c>
      <c r="J520" s="6">
        <v>0.58121239550609605</v>
      </c>
      <c r="K520" s="6">
        <v>0.60348020787262302</v>
      </c>
      <c r="L520">
        <v>10000</v>
      </c>
      <c r="M520">
        <v>0.19290812520203299</v>
      </c>
    </row>
    <row r="521" spans="1:13" x14ac:dyDescent="0.25">
      <c r="A521">
        <v>246</v>
      </c>
      <c r="B521" t="str">
        <f>"AKAP8"</f>
        <v>AKAP8</v>
      </c>
      <c r="C521" t="str">
        <f>""</f>
        <v/>
      </c>
      <c r="D521">
        <v>76.106999999999999</v>
      </c>
      <c r="E521">
        <v>4.2</v>
      </c>
      <c r="F521">
        <v>0</v>
      </c>
      <c r="G521">
        <v>1</v>
      </c>
      <c r="H521">
        <v>1</v>
      </c>
      <c r="I521" s="7">
        <v>0</v>
      </c>
      <c r="J521" s="6">
        <v>0.58121239550609605</v>
      </c>
      <c r="K521" s="6">
        <v>0.60348020787262302</v>
      </c>
      <c r="L521">
        <v>10000</v>
      </c>
      <c r="M521">
        <v>0.19290812520203299</v>
      </c>
    </row>
    <row r="522" spans="1:13" x14ac:dyDescent="0.25">
      <c r="A522">
        <v>2555</v>
      </c>
      <c r="B522" t="str">
        <f>"MMTAG2"</f>
        <v>MMTAG2</v>
      </c>
      <c r="C522" t="str">
        <f>""</f>
        <v/>
      </c>
      <c r="D522">
        <v>16.841999999999999</v>
      </c>
      <c r="E522">
        <v>8.4</v>
      </c>
      <c r="F522">
        <v>0</v>
      </c>
      <c r="G522">
        <v>1</v>
      </c>
      <c r="H522">
        <v>1</v>
      </c>
      <c r="I522" s="7">
        <v>0</v>
      </c>
      <c r="J522" s="6">
        <v>0.58121239550609605</v>
      </c>
      <c r="K522" s="6">
        <v>0.60348020787262302</v>
      </c>
      <c r="L522">
        <v>10000</v>
      </c>
      <c r="M522">
        <v>0.19290812520203299</v>
      </c>
    </row>
    <row r="523" spans="1:13" x14ac:dyDescent="0.25">
      <c r="A523">
        <v>349</v>
      </c>
      <c r="B523" t="str">
        <f>"EIF3J"</f>
        <v>EIF3J</v>
      </c>
      <c r="C523" t="str">
        <f>""</f>
        <v/>
      </c>
      <c r="D523">
        <v>23.026</v>
      </c>
      <c r="E523">
        <v>3.8</v>
      </c>
      <c r="F523">
        <v>0</v>
      </c>
      <c r="G523">
        <v>1</v>
      </c>
      <c r="H523">
        <v>1</v>
      </c>
      <c r="I523" s="7">
        <v>0</v>
      </c>
      <c r="J523" s="6">
        <v>0.58121239550609605</v>
      </c>
      <c r="K523" s="6">
        <v>0.60348020787262302</v>
      </c>
      <c r="L523">
        <v>10000</v>
      </c>
      <c r="M523">
        <v>0.19290812520203299</v>
      </c>
    </row>
    <row r="524" spans="1:13" x14ac:dyDescent="0.25">
      <c r="A524">
        <v>1352</v>
      </c>
      <c r="B524" t="str">
        <f>"VAMP3;VAMP2"</f>
        <v>VAMP3;VAMP2</v>
      </c>
      <c r="C524" t="str">
        <f>""</f>
        <v/>
      </c>
      <c r="D524">
        <v>11.308999999999999</v>
      </c>
      <c r="E524">
        <v>17</v>
      </c>
      <c r="F524">
        <v>0</v>
      </c>
      <c r="G524">
        <v>1</v>
      </c>
      <c r="H524">
        <v>1</v>
      </c>
      <c r="I524" s="7">
        <v>0</v>
      </c>
      <c r="J524" s="6">
        <v>0.58121239550609605</v>
      </c>
      <c r="K524" s="6">
        <v>0.60348020787262302</v>
      </c>
      <c r="L524">
        <v>10000</v>
      </c>
      <c r="M524">
        <v>0.19290812520203299</v>
      </c>
    </row>
    <row r="525" spans="1:13" x14ac:dyDescent="0.25">
      <c r="A525">
        <v>1613</v>
      </c>
      <c r="B525" t="str">
        <f>"CDK13"</f>
        <v>CDK13</v>
      </c>
      <c r="C525" t="str">
        <f>"CDK13"</f>
        <v>CDK13</v>
      </c>
      <c r="D525">
        <v>158.43</v>
      </c>
      <c r="E525">
        <v>1.4</v>
      </c>
      <c r="F525">
        <v>0</v>
      </c>
      <c r="G525">
        <v>1</v>
      </c>
      <c r="H525">
        <v>1</v>
      </c>
      <c r="I525" s="7">
        <v>0</v>
      </c>
      <c r="J525" s="6">
        <v>0.58121239550609605</v>
      </c>
      <c r="K525" s="6">
        <v>0.60348020787262302</v>
      </c>
      <c r="L525">
        <v>10000</v>
      </c>
      <c r="M525">
        <v>0.19290812520203299</v>
      </c>
    </row>
    <row r="526" spans="1:13" x14ac:dyDescent="0.25">
      <c r="A526">
        <v>3029</v>
      </c>
      <c r="B526" t="str">
        <f>"TBC1D2B"</f>
        <v>TBC1D2B</v>
      </c>
      <c r="C526" t="str">
        <f>""</f>
        <v/>
      </c>
      <c r="D526">
        <v>103.92</v>
      </c>
      <c r="E526">
        <v>2.2000000000000002</v>
      </c>
      <c r="F526">
        <v>0</v>
      </c>
      <c r="G526">
        <v>1</v>
      </c>
      <c r="H526">
        <v>1</v>
      </c>
      <c r="I526" s="7">
        <v>0</v>
      </c>
      <c r="J526" s="6">
        <v>0.58121239550609605</v>
      </c>
      <c r="K526" s="6">
        <v>0.60348020787262302</v>
      </c>
      <c r="L526">
        <v>10000</v>
      </c>
      <c r="M526">
        <v>0.19290812520203299</v>
      </c>
    </row>
    <row r="527" spans="1:13" x14ac:dyDescent="0.25">
      <c r="A527">
        <v>12</v>
      </c>
      <c r="B527" t="str">
        <f>"VWA8"</f>
        <v>VWA8</v>
      </c>
      <c r="C527" t="str">
        <f>""</f>
        <v/>
      </c>
      <c r="D527">
        <v>116.94</v>
      </c>
      <c r="E527">
        <v>1.9</v>
      </c>
      <c r="F527">
        <v>0</v>
      </c>
      <c r="G527">
        <v>1</v>
      </c>
      <c r="H527">
        <v>1</v>
      </c>
      <c r="I527" s="7">
        <v>0</v>
      </c>
      <c r="J527" s="6">
        <v>0.58121239550609605</v>
      </c>
      <c r="K527" s="6">
        <v>0.60348020787262302</v>
      </c>
      <c r="L527">
        <v>10000</v>
      </c>
      <c r="M527">
        <v>0.19290812520203299</v>
      </c>
    </row>
    <row r="528" spans="1:13" x14ac:dyDescent="0.25">
      <c r="A528">
        <v>14</v>
      </c>
      <c r="B528" t="str">
        <f>"ZNF804B;ZNF804A;GPATCH8"</f>
        <v>ZNF804B;ZNF804A;GPATCH8</v>
      </c>
      <c r="C528" t="str">
        <f>""</f>
        <v/>
      </c>
      <c r="D528">
        <v>152.57</v>
      </c>
      <c r="E528">
        <v>1.2</v>
      </c>
      <c r="F528">
        <v>0</v>
      </c>
      <c r="G528">
        <v>1</v>
      </c>
      <c r="H528">
        <v>1</v>
      </c>
      <c r="I528" s="7">
        <v>0</v>
      </c>
      <c r="J528" s="6">
        <v>0.58121239550609605</v>
      </c>
      <c r="K528" s="6">
        <v>0.60348020787262302</v>
      </c>
      <c r="L528">
        <v>10000</v>
      </c>
      <c r="M528">
        <v>0.19290812520203299</v>
      </c>
    </row>
    <row r="529" spans="1:13" x14ac:dyDescent="0.25">
      <c r="A529">
        <v>125</v>
      </c>
      <c r="B529" t="str">
        <f>"NFIB;NFIC;NFIA;NFIX"</f>
        <v>NFIB;NFIC;NFIA;NFIX</v>
      </c>
      <c r="C529" t="str">
        <f>""</f>
        <v/>
      </c>
      <c r="D529">
        <v>22.251000000000001</v>
      </c>
      <c r="E529">
        <v>5.9</v>
      </c>
      <c r="F529">
        <v>0</v>
      </c>
      <c r="G529">
        <v>1</v>
      </c>
      <c r="H529">
        <v>1</v>
      </c>
      <c r="I529" s="7">
        <v>0</v>
      </c>
      <c r="J529" s="6">
        <v>0.58121239550609605</v>
      </c>
      <c r="K529" s="6">
        <v>0.60348020787262302</v>
      </c>
      <c r="L529">
        <v>10000</v>
      </c>
      <c r="M529">
        <v>0.19290812520203299</v>
      </c>
    </row>
    <row r="530" spans="1:13" x14ac:dyDescent="0.25">
      <c r="A530">
        <v>138</v>
      </c>
      <c r="B530" t="str">
        <f>"KMT2D"</f>
        <v>KMT2D</v>
      </c>
      <c r="C530" t="str">
        <f>""</f>
        <v/>
      </c>
      <c r="D530">
        <v>593.38</v>
      </c>
      <c r="E530">
        <v>0.3</v>
      </c>
      <c r="F530">
        <v>0</v>
      </c>
      <c r="G530">
        <v>1</v>
      </c>
      <c r="H530">
        <v>1</v>
      </c>
      <c r="I530" s="7">
        <v>0</v>
      </c>
      <c r="J530" s="6">
        <v>0.58121239550609605</v>
      </c>
      <c r="K530" s="6">
        <v>0.60348020787262302</v>
      </c>
      <c r="L530">
        <v>10000</v>
      </c>
      <c r="M530">
        <v>0.19290812520203299</v>
      </c>
    </row>
    <row r="531" spans="1:13" x14ac:dyDescent="0.25">
      <c r="A531">
        <v>152</v>
      </c>
      <c r="B531" t="str">
        <f>"TAX1BP3"</f>
        <v>TAX1BP3</v>
      </c>
      <c r="C531" t="str">
        <f>""</f>
        <v/>
      </c>
      <c r="D531">
        <v>13.734999999999999</v>
      </c>
      <c r="E531">
        <v>11.3</v>
      </c>
      <c r="F531">
        <v>0</v>
      </c>
      <c r="G531">
        <v>1</v>
      </c>
      <c r="H531">
        <v>1</v>
      </c>
      <c r="I531" s="7">
        <v>0</v>
      </c>
      <c r="J531" s="6">
        <v>0.58121239550609605</v>
      </c>
      <c r="K531" s="6">
        <v>0.60348020787262302</v>
      </c>
      <c r="L531">
        <v>10000</v>
      </c>
      <c r="M531">
        <v>0.19290812520203299</v>
      </c>
    </row>
    <row r="532" spans="1:13" x14ac:dyDescent="0.25">
      <c r="A532">
        <v>155</v>
      </c>
      <c r="B532" t="str">
        <f>"MYL12A;MYL9;MYL12B"</f>
        <v>MYL12A;MYL9;MYL12B</v>
      </c>
      <c r="C532" t="str">
        <f>""</f>
        <v/>
      </c>
      <c r="D532">
        <v>19.794</v>
      </c>
      <c r="E532">
        <v>10.5</v>
      </c>
      <c r="F532">
        <v>0</v>
      </c>
      <c r="G532">
        <v>1</v>
      </c>
      <c r="H532">
        <v>1</v>
      </c>
      <c r="I532" s="7">
        <v>0</v>
      </c>
      <c r="J532" s="6">
        <v>0.58121239550609605</v>
      </c>
      <c r="K532" s="6">
        <v>0.60348020787262302</v>
      </c>
      <c r="L532">
        <v>10000</v>
      </c>
      <c r="M532">
        <v>0.19290812520203299</v>
      </c>
    </row>
    <row r="533" spans="1:13" x14ac:dyDescent="0.25">
      <c r="A533">
        <v>188</v>
      </c>
      <c r="B533" t="str">
        <f>"HMGB3"</f>
        <v>HMGB3</v>
      </c>
      <c r="C533" t="str">
        <f>""</f>
        <v/>
      </c>
      <c r="D533">
        <v>22.98</v>
      </c>
      <c r="E533">
        <v>14.5</v>
      </c>
      <c r="F533">
        <v>0</v>
      </c>
      <c r="G533">
        <v>1</v>
      </c>
      <c r="H533">
        <v>1</v>
      </c>
      <c r="I533" s="7">
        <v>0</v>
      </c>
      <c r="J533" s="6">
        <v>0.58121239550609605</v>
      </c>
      <c r="K533" s="6">
        <v>0.60348020787262302</v>
      </c>
      <c r="L533">
        <v>10000</v>
      </c>
      <c r="M533">
        <v>0.19290812520203299</v>
      </c>
    </row>
    <row r="534" spans="1:13" x14ac:dyDescent="0.25">
      <c r="A534">
        <v>227</v>
      </c>
      <c r="B534" t="str">
        <f>"TIMM44"</f>
        <v>TIMM44</v>
      </c>
      <c r="C534" t="str">
        <f>""</f>
        <v/>
      </c>
      <c r="D534">
        <v>51.354999999999997</v>
      </c>
      <c r="E534">
        <v>5.8</v>
      </c>
      <c r="F534">
        <v>0</v>
      </c>
      <c r="G534">
        <v>1</v>
      </c>
      <c r="H534">
        <v>1</v>
      </c>
      <c r="I534" s="7">
        <v>0</v>
      </c>
      <c r="J534" s="6">
        <v>0.58121239550609605</v>
      </c>
      <c r="K534" s="6">
        <v>0.60348020787262302</v>
      </c>
      <c r="L534">
        <v>10000</v>
      </c>
      <c r="M534">
        <v>0.19290812520203299</v>
      </c>
    </row>
    <row r="535" spans="1:13" x14ac:dyDescent="0.25">
      <c r="A535">
        <v>247</v>
      </c>
      <c r="B535" t="str">
        <f>"IDH3B"</f>
        <v>IDH3B</v>
      </c>
      <c r="C535" t="str">
        <f>""</f>
        <v/>
      </c>
      <c r="D535">
        <v>25.555</v>
      </c>
      <c r="E535">
        <v>6.4</v>
      </c>
      <c r="F535">
        <v>0</v>
      </c>
      <c r="G535">
        <v>1</v>
      </c>
      <c r="H535">
        <v>1</v>
      </c>
      <c r="I535" s="7">
        <v>0</v>
      </c>
      <c r="J535" s="6">
        <v>0.58121239550609605</v>
      </c>
      <c r="K535" s="6">
        <v>0.60348020787262302</v>
      </c>
      <c r="L535">
        <v>10000</v>
      </c>
      <c r="M535">
        <v>0.19290812520203299</v>
      </c>
    </row>
    <row r="536" spans="1:13" x14ac:dyDescent="0.25">
      <c r="A536">
        <v>290</v>
      </c>
      <c r="B536" t="str">
        <f>"DNAJA2"</f>
        <v>DNAJA2</v>
      </c>
      <c r="C536" t="str">
        <f>""</f>
        <v/>
      </c>
      <c r="D536">
        <v>45.744999999999997</v>
      </c>
      <c r="E536">
        <v>9.5</v>
      </c>
      <c r="F536">
        <v>0</v>
      </c>
      <c r="G536">
        <v>1</v>
      </c>
      <c r="H536">
        <v>1</v>
      </c>
      <c r="I536" s="7">
        <v>0</v>
      </c>
      <c r="J536" s="6">
        <v>0.58121239550609605</v>
      </c>
      <c r="K536" s="6">
        <v>0.60348020787262302</v>
      </c>
      <c r="L536">
        <v>10000</v>
      </c>
      <c r="M536">
        <v>0.19290812520203299</v>
      </c>
    </row>
    <row r="537" spans="1:13" x14ac:dyDescent="0.25">
      <c r="A537">
        <v>291</v>
      </c>
      <c r="B537" t="str">
        <f>"BRD4"</f>
        <v>BRD4</v>
      </c>
      <c r="C537" t="str">
        <f>"BRD4"</f>
        <v>BRD4</v>
      </c>
      <c r="D537">
        <v>152.22</v>
      </c>
      <c r="E537">
        <v>1.2</v>
      </c>
      <c r="F537">
        <v>0</v>
      </c>
      <c r="G537">
        <v>1</v>
      </c>
      <c r="H537">
        <v>1</v>
      </c>
      <c r="I537" s="7">
        <v>0</v>
      </c>
      <c r="J537" s="6">
        <v>0.58121239550609605</v>
      </c>
      <c r="K537" s="6">
        <v>0.60348020787262302</v>
      </c>
      <c r="L537">
        <v>10000</v>
      </c>
      <c r="M537">
        <v>0.19290812520203299</v>
      </c>
    </row>
    <row r="538" spans="1:13" x14ac:dyDescent="0.25">
      <c r="A538">
        <v>362</v>
      </c>
      <c r="B538" t="str">
        <f>"DDAH1"</f>
        <v>DDAH1</v>
      </c>
      <c r="C538" t="str">
        <f>""</f>
        <v/>
      </c>
      <c r="D538">
        <v>20.189</v>
      </c>
      <c r="E538">
        <v>7.7</v>
      </c>
      <c r="F538">
        <v>0</v>
      </c>
      <c r="G538">
        <v>1</v>
      </c>
      <c r="H538">
        <v>1</v>
      </c>
      <c r="I538" s="7">
        <v>0</v>
      </c>
      <c r="J538" s="6">
        <v>0.58121239550609605</v>
      </c>
      <c r="K538" s="6">
        <v>0.60348020787262302</v>
      </c>
      <c r="L538">
        <v>10000</v>
      </c>
      <c r="M538">
        <v>0.19290812520203299</v>
      </c>
    </row>
    <row r="539" spans="1:13" x14ac:dyDescent="0.25">
      <c r="A539">
        <v>369</v>
      </c>
      <c r="B539" t="str">
        <f>"SLIT2"</f>
        <v>SLIT2</v>
      </c>
      <c r="C539" t="str">
        <f>""</f>
        <v/>
      </c>
      <c r="D539">
        <v>168.89</v>
      </c>
      <c r="E539">
        <v>1.5</v>
      </c>
      <c r="F539">
        <v>0</v>
      </c>
      <c r="G539">
        <v>1</v>
      </c>
      <c r="H539">
        <v>1</v>
      </c>
      <c r="I539" s="7">
        <v>0</v>
      </c>
      <c r="J539" s="6">
        <v>0.58121239550609605</v>
      </c>
      <c r="K539" s="6">
        <v>0.60348020787262302</v>
      </c>
      <c r="L539">
        <v>10000</v>
      </c>
      <c r="M539">
        <v>0.19290812520203299</v>
      </c>
    </row>
    <row r="540" spans="1:13" x14ac:dyDescent="0.25">
      <c r="A540">
        <v>372</v>
      </c>
      <c r="B540" t="str">
        <f>"UBXN7"</f>
        <v>UBXN7</v>
      </c>
      <c r="C540" t="str">
        <f>""</f>
        <v/>
      </c>
      <c r="D540">
        <v>54.862000000000002</v>
      </c>
      <c r="E540">
        <v>2.9</v>
      </c>
      <c r="F540">
        <v>0</v>
      </c>
      <c r="G540">
        <v>1</v>
      </c>
      <c r="H540">
        <v>1</v>
      </c>
      <c r="I540" s="7">
        <v>0</v>
      </c>
      <c r="J540" s="6">
        <v>0.58121239550609605</v>
      </c>
      <c r="K540" s="6">
        <v>0.60348020787262302</v>
      </c>
      <c r="L540">
        <v>10000</v>
      </c>
      <c r="M540">
        <v>0.19290812520203299</v>
      </c>
    </row>
    <row r="541" spans="1:13" x14ac:dyDescent="0.25">
      <c r="A541">
        <v>401</v>
      </c>
      <c r="B541" t="str">
        <f>"ATG7"</f>
        <v>ATG7</v>
      </c>
      <c r="C541" t="str">
        <f>""</f>
        <v/>
      </c>
      <c r="D541">
        <v>68.617000000000004</v>
      </c>
      <c r="E541">
        <v>2.1</v>
      </c>
      <c r="F541">
        <v>0</v>
      </c>
      <c r="G541">
        <v>1</v>
      </c>
      <c r="H541">
        <v>1</v>
      </c>
      <c r="I541" s="7">
        <v>0</v>
      </c>
      <c r="J541" s="6">
        <v>0.58121239550609605</v>
      </c>
      <c r="K541" s="6">
        <v>0.60348020787262302</v>
      </c>
      <c r="L541">
        <v>10000</v>
      </c>
      <c r="M541">
        <v>0.19290812520203299</v>
      </c>
    </row>
    <row r="542" spans="1:13" x14ac:dyDescent="0.25">
      <c r="A542">
        <v>548</v>
      </c>
      <c r="B542" t="str">
        <f>"RB1"</f>
        <v>RB1</v>
      </c>
      <c r="C542" t="str">
        <f>""</f>
        <v/>
      </c>
      <c r="D542">
        <v>106.16</v>
      </c>
      <c r="E542">
        <v>3.8</v>
      </c>
      <c r="F542">
        <v>0</v>
      </c>
      <c r="G542">
        <v>1</v>
      </c>
      <c r="H542">
        <v>1</v>
      </c>
      <c r="I542" s="7">
        <v>0</v>
      </c>
      <c r="J542" s="6">
        <v>0.58121239550609605</v>
      </c>
      <c r="K542" s="6">
        <v>0.60348020787262302</v>
      </c>
      <c r="L542">
        <v>10000</v>
      </c>
      <c r="M542">
        <v>0.19290812520203299</v>
      </c>
    </row>
    <row r="543" spans="1:13" x14ac:dyDescent="0.25">
      <c r="A543">
        <v>744</v>
      </c>
      <c r="B543" t="str">
        <f>"XRCC1"</f>
        <v>XRCC1</v>
      </c>
      <c r="C543" t="str">
        <f>""</f>
        <v/>
      </c>
      <c r="D543">
        <v>69.475999999999999</v>
      </c>
      <c r="E543">
        <v>2.2000000000000002</v>
      </c>
      <c r="F543">
        <v>0</v>
      </c>
      <c r="G543">
        <v>1</v>
      </c>
      <c r="H543">
        <v>1</v>
      </c>
      <c r="I543" s="7">
        <v>0</v>
      </c>
      <c r="J543" s="6">
        <v>0.58121239550609605</v>
      </c>
      <c r="K543" s="6">
        <v>0.60348020787262302</v>
      </c>
      <c r="L543">
        <v>10000</v>
      </c>
      <c r="M543">
        <v>0.19290812520203299</v>
      </c>
    </row>
    <row r="544" spans="1:13" x14ac:dyDescent="0.25">
      <c r="A544">
        <v>779</v>
      </c>
      <c r="B544" t="str">
        <f>"ACO1"</f>
        <v>ACO1</v>
      </c>
      <c r="C544" t="str">
        <f>""</f>
        <v/>
      </c>
      <c r="D544">
        <v>98.397999999999996</v>
      </c>
      <c r="E544">
        <v>2.2000000000000002</v>
      </c>
      <c r="F544">
        <v>0</v>
      </c>
      <c r="G544">
        <v>1</v>
      </c>
      <c r="H544">
        <v>1</v>
      </c>
      <c r="I544" s="7">
        <v>0</v>
      </c>
      <c r="J544" s="6">
        <v>0.58121239550609605</v>
      </c>
      <c r="K544" s="6">
        <v>0.60348020787262302</v>
      </c>
      <c r="L544">
        <v>10000</v>
      </c>
      <c r="M544">
        <v>0.19290812520203299</v>
      </c>
    </row>
    <row r="545" spans="1:13" x14ac:dyDescent="0.25">
      <c r="A545">
        <v>813</v>
      </c>
      <c r="B545" t="str">
        <f>"DTYMK"</f>
        <v>DTYMK</v>
      </c>
      <c r="C545" t="str">
        <f>""</f>
        <v/>
      </c>
      <c r="D545">
        <v>21.064</v>
      </c>
      <c r="E545">
        <v>18.600000000000001</v>
      </c>
      <c r="F545">
        <v>0</v>
      </c>
      <c r="G545">
        <v>1</v>
      </c>
      <c r="H545">
        <v>1</v>
      </c>
      <c r="I545" s="7">
        <v>0</v>
      </c>
      <c r="J545" s="6">
        <v>0.58121239550609605</v>
      </c>
      <c r="K545" s="6">
        <v>0.60348020787262302</v>
      </c>
      <c r="L545">
        <v>10000</v>
      </c>
      <c r="M545">
        <v>0.19290812520203299</v>
      </c>
    </row>
    <row r="546" spans="1:13" x14ac:dyDescent="0.25">
      <c r="A546">
        <v>957</v>
      </c>
      <c r="B546" t="str">
        <f>"ADD2"</f>
        <v>ADD2</v>
      </c>
      <c r="C546" t="str">
        <f>""</f>
        <v/>
      </c>
      <c r="D546">
        <v>11.625</v>
      </c>
      <c r="E546">
        <v>10.199999999999999</v>
      </c>
      <c r="F546">
        <v>0</v>
      </c>
      <c r="G546">
        <v>1</v>
      </c>
      <c r="H546">
        <v>1</v>
      </c>
      <c r="I546" s="7">
        <v>0</v>
      </c>
      <c r="J546" s="6">
        <v>0.58121239550609605</v>
      </c>
      <c r="K546" s="6">
        <v>0.60348020787262302</v>
      </c>
      <c r="L546">
        <v>10000</v>
      </c>
      <c r="M546">
        <v>0.19290812520203299</v>
      </c>
    </row>
    <row r="547" spans="1:13" x14ac:dyDescent="0.25">
      <c r="A547">
        <v>963</v>
      </c>
      <c r="B547" t="str">
        <f>"PSMC2"</f>
        <v>PSMC2</v>
      </c>
      <c r="C547" t="str">
        <f>""</f>
        <v/>
      </c>
      <c r="D547">
        <v>48.633000000000003</v>
      </c>
      <c r="E547">
        <v>8.3000000000000007</v>
      </c>
      <c r="F547">
        <v>0</v>
      </c>
      <c r="G547">
        <v>1</v>
      </c>
      <c r="H547">
        <v>1</v>
      </c>
      <c r="I547" s="7">
        <v>0</v>
      </c>
      <c r="J547" s="6">
        <v>0.58121239550609605</v>
      </c>
      <c r="K547" s="6">
        <v>0.60348020787262302</v>
      </c>
      <c r="L547">
        <v>10000</v>
      </c>
      <c r="M547">
        <v>0.19290812520203299</v>
      </c>
    </row>
    <row r="548" spans="1:13" x14ac:dyDescent="0.25">
      <c r="A548">
        <v>1044</v>
      </c>
      <c r="B548" t="str">
        <f>"GATA4"</f>
        <v>GATA4</v>
      </c>
      <c r="C548" t="str">
        <f>""</f>
        <v/>
      </c>
      <c r="D548">
        <v>44.564999999999998</v>
      </c>
      <c r="E548">
        <v>4.3</v>
      </c>
      <c r="F548">
        <v>0</v>
      </c>
      <c r="G548">
        <v>1</v>
      </c>
      <c r="H548">
        <v>1</v>
      </c>
      <c r="I548" s="7">
        <v>0</v>
      </c>
      <c r="J548" s="6">
        <v>0.58121239550609605</v>
      </c>
      <c r="K548" s="6">
        <v>0.60348020787262302</v>
      </c>
      <c r="L548">
        <v>10000</v>
      </c>
      <c r="M548">
        <v>0.19290812520203299</v>
      </c>
    </row>
    <row r="549" spans="1:13" x14ac:dyDescent="0.25">
      <c r="A549">
        <v>1156</v>
      </c>
      <c r="B549" t="str">
        <f>"DNA2"</f>
        <v>DNA2</v>
      </c>
      <c r="C549" t="str">
        <f>""</f>
        <v/>
      </c>
      <c r="D549">
        <v>119.5</v>
      </c>
      <c r="E549">
        <v>3.6</v>
      </c>
      <c r="F549">
        <v>0</v>
      </c>
      <c r="G549">
        <v>1</v>
      </c>
      <c r="H549">
        <v>1</v>
      </c>
      <c r="I549" s="7">
        <v>0</v>
      </c>
      <c r="J549" s="6">
        <v>0.58121239550609605</v>
      </c>
      <c r="K549" s="6">
        <v>0.60348020787262302</v>
      </c>
      <c r="L549">
        <v>10000</v>
      </c>
      <c r="M549">
        <v>0.19290812520203299</v>
      </c>
    </row>
    <row r="550" spans="1:13" x14ac:dyDescent="0.25">
      <c r="A550">
        <v>1208</v>
      </c>
      <c r="B550" t="str">
        <f>"IST1"</f>
        <v>IST1</v>
      </c>
      <c r="C550" t="str">
        <f>""</f>
        <v/>
      </c>
      <c r="D550">
        <v>36.622</v>
      </c>
      <c r="E550">
        <v>3.9</v>
      </c>
      <c r="F550">
        <v>0</v>
      </c>
      <c r="G550">
        <v>1</v>
      </c>
      <c r="H550">
        <v>1</v>
      </c>
      <c r="I550" s="7">
        <v>0</v>
      </c>
      <c r="J550" s="6">
        <v>0.58121239550609605</v>
      </c>
      <c r="K550" s="6">
        <v>0.60348020787262302</v>
      </c>
      <c r="L550">
        <v>10000</v>
      </c>
      <c r="M550">
        <v>0.19290812520203299</v>
      </c>
    </row>
    <row r="551" spans="1:13" x14ac:dyDescent="0.25">
      <c r="A551">
        <v>1221</v>
      </c>
      <c r="B551" t="str">
        <f>"NAGLU"</f>
        <v>NAGLU</v>
      </c>
      <c r="C551" t="str">
        <f>""</f>
        <v/>
      </c>
      <c r="D551">
        <v>82.265000000000001</v>
      </c>
      <c r="E551">
        <v>2.4</v>
      </c>
      <c r="F551">
        <v>0</v>
      </c>
      <c r="G551">
        <v>1</v>
      </c>
      <c r="H551">
        <v>1</v>
      </c>
      <c r="I551" s="7">
        <v>0</v>
      </c>
      <c r="J551" s="6">
        <v>0.58121239550609605</v>
      </c>
      <c r="K551" s="6">
        <v>0.60348020787262302</v>
      </c>
      <c r="L551">
        <v>10000</v>
      </c>
      <c r="M551">
        <v>0.19290812520203299</v>
      </c>
    </row>
    <row r="552" spans="1:13" x14ac:dyDescent="0.25">
      <c r="A552">
        <v>1309</v>
      </c>
      <c r="B552" t="str">
        <f>"RPS15A"</f>
        <v>RPS15A</v>
      </c>
      <c r="C552" t="str">
        <f>""</f>
        <v/>
      </c>
      <c r="D552">
        <v>14.839</v>
      </c>
      <c r="E552">
        <v>6.9</v>
      </c>
      <c r="F552">
        <v>0</v>
      </c>
      <c r="G552">
        <v>1</v>
      </c>
      <c r="H552">
        <v>1</v>
      </c>
      <c r="I552" s="7">
        <v>0</v>
      </c>
      <c r="J552" s="6">
        <v>0.58121239550609605</v>
      </c>
      <c r="K552" s="6">
        <v>0.60348020787262302</v>
      </c>
      <c r="L552">
        <v>10000</v>
      </c>
      <c r="M552">
        <v>0.19290812520203299</v>
      </c>
    </row>
    <row r="553" spans="1:13" x14ac:dyDescent="0.25">
      <c r="A553">
        <v>1339</v>
      </c>
      <c r="B553" t="str">
        <f>"RBX1"</f>
        <v>RBX1</v>
      </c>
      <c r="C553" t="str">
        <f>""</f>
        <v/>
      </c>
      <c r="D553">
        <v>12.273999999999999</v>
      </c>
      <c r="E553">
        <v>16.7</v>
      </c>
      <c r="F553">
        <v>0</v>
      </c>
      <c r="G553">
        <v>1</v>
      </c>
      <c r="H553">
        <v>1</v>
      </c>
      <c r="I553" s="7">
        <v>0</v>
      </c>
      <c r="J553" s="6">
        <v>0.58121239550609605</v>
      </c>
      <c r="K553" s="6">
        <v>0.60348020787262302</v>
      </c>
      <c r="L553">
        <v>10000</v>
      </c>
      <c r="M553">
        <v>0.19290812520203299</v>
      </c>
    </row>
    <row r="554" spans="1:13" x14ac:dyDescent="0.25">
      <c r="A554">
        <v>1397</v>
      </c>
      <c r="B554" t="str">
        <f>"ARF5"</f>
        <v>ARF5</v>
      </c>
      <c r="C554" t="str">
        <f>""</f>
        <v/>
      </c>
      <c r="D554">
        <v>20.529</v>
      </c>
      <c r="E554">
        <v>33.299999999999997</v>
      </c>
      <c r="F554">
        <v>0</v>
      </c>
      <c r="G554">
        <v>1</v>
      </c>
      <c r="H554">
        <v>1</v>
      </c>
      <c r="I554" s="7">
        <v>0</v>
      </c>
      <c r="J554" s="6">
        <v>0.58121239550609605</v>
      </c>
      <c r="K554" s="6">
        <v>0.60348020787262302</v>
      </c>
      <c r="L554">
        <v>10000</v>
      </c>
      <c r="M554">
        <v>0.19290812520203299</v>
      </c>
    </row>
    <row r="555" spans="1:13" x14ac:dyDescent="0.25">
      <c r="A555">
        <v>1456</v>
      </c>
      <c r="B555" t="str">
        <f>"PTK2"</f>
        <v>PTK2</v>
      </c>
      <c r="C555" t="str">
        <f>"PTK2"</f>
        <v>PTK2</v>
      </c>
      <c r="D555">
        <v>114.25</v>
      </c>
      <c r="E555">
        <v>3.4</v>
      </c>
      <c r="F555">
        <v>0</v>
      </c>
      <c r="G555">
        <v>1</v>
      </c>
      <c r="H555">
        <v>1</v>
      </c>
      <c r="I555" s="7">
        <v>0</v>
      </c>
      <c r="J555" s="6">
        <v>0.58121239550609605</v>
      </c>
      <c r="K555" s="6">
        <v>0.60348020787262302</v>
      </c>
      <c r="L555">
        <v>10000</v>
      </c>
      <c r="M555">
        <v>0.19290812520203299</v>
      </c>
    </row>
    <row r="556" spans="1:13" x14ac:dyDescent="0.25">
      <c r="A556">
        <v>1457</v>
      </c>
      <c r="B556" t="str">
        <f>"PRKCZ"</f>
        <v>PRKCZ</v>
      </c>
      <c r="C556" t="str">
        <f>"PRKCZ"</f>
        <v>PRKCZ</v>
      </c>
      <c r="D556">
        <v>46.621000000000002</v>
      </c>
      <c r="E556">
        <v>3.4</v>
      </c>
      <c r="F556">
        <v>0</v>
      </c>
      <c r="G556">
        <v>1</v>
      </c>
      <c r="H556">
        <v>1</v>
      </c>
      <c r="I556" s="7">
        <v>0</v>
      </c>
      <c r="J556" s="6">
        <v>0.58121239550609605</v>
      </c>
      <c r="K556" s="6">
        <v>0.60348020787262302</v>
      </c>
      <c r="L556">
        <v>10000</v>
      </c>
      <c r="M556">
        <v>0.19290812520203299</v>
      </c>
    </row>
    <row r="557" spans="1:13" x14ac:dyDescent="0.25">
      <c r="A557">
        <v>1463</v>
      </c>
      <c r="B557" t="str">
        <f>"KDSR"</f>
        <v>KDSR</v>
      </c>
      <c r="C557" t="str">
        <f>""</f>
        <v/>
      </c>
      <c r="D557">
        <v>29.158999999999999</v>
      </c>
      <c r="E557">
        <v>6</v>
      </c>
      <c r="F557">
        <v>0</v>
      </c>
      <c r="G557">
        <v>1</v>
      </c>
      <c r="H557">
        <v>1</v>
      </c>
      <c r="I557" s="7">
        <v>0</v>
      </c>
      <c r="J557" s="6">
        <v>0.58121239550609605</v>
      </c>
      <c r="K557" s="6">
        <v>0.60348020787262302</v>
      </c>
      <c r="L557">
        <v>10000</v>
      </c>
      <c r="M557">
        <v>0.19290812520203299</v>
      </c>
    </row>
    <row r="558" spans="1:13" x14ac:dyDescent="0.25">
      <c r="A558">
        <v>1466</v>
      </c>
      <c r="B558" t="str">
        <f>"EXOSC9"</f>
        <v>EXOSC9</v>
      </c>
      <c r="C558" t="str">
        <f>""</f>
        <v/>
      </c>
      <c r="D558">
        <v>39.234000000000002</v>
      </c>
      <c r="E558">
        <v>3.9</v>
      </c>
      <c r="F558">
        <v>0</v>
      </c>
      <c r="G558">
        <v>1</v>
      </c>
      <c r="H558">
        <v>1</v>
      </c>
      <c r="I558" s="7">
        <v>0</v>
      </c>
      <c r="J558" s="6">
        <v>0.58121239550609605</v>
      </c>
      <c r="K558" s="6">
        <v>0.60348020787262302</v>
      </c>
      <c r="L558">
        <v>10000</v>
      </c>
      <c r="M558">
        <v>0.19290812520203299</v>
      </c>
    </row>
    <row r="559" spans="1:13" x14ac:dyDescent="0.25">
      <c r="A559">
        <v>1523</v>
      </c>
      <c r="B559" t="str">
        <f>"ANK3"</f>
        <v>ANK3</v>
      </c>
      <c r="C559" t="str">
        <f>""</f>
        <v/>
      </c>
      <c r="D559">
        <v>111.1</v>
      </c>
      <c r="E559">
        <v>1.3</v>
      </c>
      <c r="F559">
        <v>0</v>
      </c>
      <c r="G559">
        <v>1</v>
      </c>
      <c r="H559">
        <v>1</v>
      </c>
      <c r="I559" s="7">
        <v>0</v>
      </c>
      <c r="J559" s="6">
        <v>0.58121239550609605</v>
      </c>
      <c r="K559" s="6">
        <v>0.60348020787262302</v>
      </c>
      <c r="L559">
        <v>10000</v>
      </c>
      <c r="M559">
        <v>0.19290812520203299</v>
      </c>
    </row>
    <row r="560" spans="1:13" x14ac:dyDescent="0.25">
      <c r="A560">
        <v>1527</v>
      </c>
      <c r="B560" t="str">
        <f>"ABR"</f>
        <v>ABR</v>
      </c>
      <c r="C560" t="str">
        <f>"ABR"</f>
        <v>ABR</v>
      </c>
      <c r="D560">
        <v>92.424000000000007</v>
      </c>
      <c r="E560">
        <v>1.1000000000000001</v>
      </c>
      <c r="F560">
        <v>0</v>
      </c>
      <c r="G560">
        <v>1</v>
      </c>
      <c r="H560">
        <v>1</v>
      </c>
      <c r="I560" s="7">
        <v>0</v>
      </c>
      <c r="J560" s="6">
        <v>0.58121239550609605</v>
      </c>
      <c r="K560" s="6">
        <v>0.60348020787262302</v>
      </c>
      <c r="L560">
        <v>10000</v>
      </c>
      <c r="M560">
        <v>0.19290812520203299</v>
      </c>
    </row>
    <row r="561" spans="1:13" x14ac:dyDescent="0.25">
      <c r="A561">
        <v>1528</v>
      </c>
      <c r="B561" t="str">
        <f>"BNIP1"</f>
        <v>BNIP1</v>
      </c>
      <c r="C561" t="str">
        <f>""</f>
        <v/>
      </c>
      <c r="D561">
        <v>26.132000000000001</v>
      </c>
      <c r="E561">
        <v>13.2</v>
      </c>
      <c r="F561">
        <v>0</v>
      </c>
      <c r="G561">
        <v>1</v>
      </c>
      <c r="H561">
        <v>1</v>
      </c>
      <c r="I561" s="7">
        <v>0</v>
      </c>
      <c r="J561" s="6">
        <v>0.58121239550609605</v>
      </c>
      <c r="K561" s="6">
        <v>0.60348020787262302</v>
      </c>
      <c r="L561">
        <v>10000</v>
      </c>
      <c r="M561">
        <v>0.19290812520203299</v>
      </c>
    </row>
    <row r="562" spans="1:13" x14ac:dyDescent="0.25">
      <c r="A562">
        <v>1796</v>
      </c>
      <c r="B562" t="str">
        <f>"TYSND1"</f>
        <v>TYSND1</v>
      </c>
      <c r="C562" t="str">
        <f>""</f>
        <v/>
      </c>
      <c r="D562">
        <v>41.572000000000003</v>
      </c>
      <c r="E562">
        <v>4.5</v>
      </c>
      <c r="F562">
        <v>0</v>
      </c>
      <c r="G562">
        <v>1</v>
      </c>
      <c r="H562">
        <v>1</v>
      </c>
      <c r="I562" s="7">
        <v>0</v>
      </c>
      <c r="J562" s="6">
        <v>0.58121239550609605</v>
      </c>
      <c r="K562" s="6">
        <v>0.60348020787262302</v>
      </c>
      <c r="L562">
        <v>10000</v>
      </c>
      <c r="M562">
        <v>0.19290812520203299</v>
      </c>
    </row>
    <row r="563" spans="1:13" x14ac:dyDescent="0.25">
      <c r="A563">
        <v>1833</v>
      </c>
      <c r="B563" t="str">
        <f>"TSSC1"</f>
        <v>TSSC1</v>
      </c>
      <c r="C563" t="str">
        <f>""</f>
        <v/>
      </c>
      <c r="D563">
        <v>43.603000000000002</v>
      </c>
      <c r="E563">
        <v>8.8000000000000007</v>
      </c>
      <c r="F563">
        <v>0</v>
      </c>
      <c r="G563">
        <v>1</v>
      </c>
      <c r="H563">
        <v>1</v>
      </c>
      <c r="I563" s="7">
        <v>0</v>
      </c>
      <c r="J563" s="6">
        <v>0.58121239550609605</v>
      </c>
      <c r="K563" s="6">
        <v>0.60348020787262302</v>
      </c>
      <c r="L563">
        <v>10000</v>
      </c>
      <c r="M563">
        <v>0.19290812520203299</v>
      </c>
    </row>
    <row r="564" spans="1:13" x14ac:dyDescent="0.25">
      <c r="A564">
        <v>1853</v>
      </c>
      <c r="B564" t="str">
        <f>"ODR4"</f>
        <v>ODR4</v>
      </c>
      <c r="C564" t="str">
        <f>""</f>
        <v/>
      </c>
      <c r="D564">
        <v>37.773000000000003</v>
      </c>
      <c r="E564">
        <v>6</v>
      </c>
      <c r="F564">
        <v>0</v>
      </c>
      <c r="G564">
        <v>1</v>
      </c>
      <c r="H564">
        <v>1</v>
      </c>
      <c r="I564" s="7">
        <v>0</v>
      </c>
      <c r="J564" s="6">
        <v>0.58121239550609605</v>
      </c>
      <c r="K564" s="6">
        <v>0.60348020787262302</v>
      </c>
      <c r="L564">
        <v>10000</v>
      </c>
      <c r="M564">
        <v>0.19290812520203299</v>
      </c>
    </row>
    <row r="565" spans="1:13" x14ac:dyDescent="0.25">
      <c r="A565">
        <v>1885</v>
      </c>
      <c r="B565" t="str">
        <f>"ZNF318"</f>
        <v>ZNF318</v>
      </c>
      <c r="C565" t="str">
        <f>""</f>
        <v/>
      </c>
      <c r="D565">
        <v>251.11</v>
      </c>
      <c r="E565">
        <v>0.7</v>
      </c>
      <c r="F565">
        <v>0</v>
      </c>
      <c r="G565">
        <v>1</v>
      </c>
      <c r="H565">
        <v>1</v>
      </c>
      <c r="I565" s="7">
        <v>0</v>
      </c>
      <c r="J565" s="6">
        <v>0.58121239550609605</v>
      </c>
      <c r="K565" s="6">
        <v>0.60348020787262302</v>
      </c>
      <c r="L565">
        <v>10000</v>
      </c>
      <c r="M565">
        <v>0.19290812520203299</v>
      </c>
    </row>
    <row r="566" spans="1:13" x14ac:dyDescent="0.25">
      <c r="A566">
        <v>1896</v>
      </c>
      <c r="B566" t="str">
        <f>"ARID2"</f>
        <v>ARID2</v>
      </c>
      <c r="C566" t="str">
        <f>""</f>
        <v/>
      </c>
      <c r="D566">
        <v>191.42</v>
      </c>
      <c r="E566">
        <v>1</v>
      </c>
      <c r="F566">
        <v>0</v>
      </c>
      <c r="G566">
        <v>1</v>
      </c>
      <c r="H566">
        <v>1</v>
      </c>
      <c r="I566" s="7">
        <v>0</v>
      </c>
      <c r="J566" s="6">
        <v>0.58121239550609605</v>
      </c>
      <c r="K566" s="6">
        <v>0.60348020787262302</v>
      </c>
      <c r="L566">
        <v>10000</v>
      </c>
      <c r="M566">
        <v>0.19290812520203299</v>
      </c>
    </row>
    <row r="567" spans="1:13" x14ac:dyDescent="0.25">
      <c r="A567">
        <v>1911</v>
      </c>
      <c r="B567" t="str">
        <f>"LAMTOR1"</f>
        <v>LAMTOR1</v>
      </c>
      <c r="C567" t="str">
        <f>""</f>
        <v/>
      </c>
      <c r="D567">
        <v>17.745000000000001</v>
      </c>
      <c r="E567">
        <v>9.9</v>
      </c>
      <c r="F567">
        <v>0</v>
      </c>
      <c r="G567">
        <v>1</v>
      </c>
      <c r="H567">
        <v>1</v>
      </c>
      <c r="I567" s="7">
        <v>0</v>
      </c>
      <c r="J567" s="6">
        <v>0.58121239550609605</v>
      </c>
      <c r="K567" s="6">
        <v>0.60348020787262302</v>
      </c>
      <c r="L567">
        <v>10000</v>
      </c>
      <c r="M567">
        <v>0.19290812520203299</v>
      </c>
    </row>
    <row r="568" spans="1:13" x14ac:dyDescent="0.25">
      <c r="A568">
        <v>1938</v>
      </c>
      <c r="B568" t="str">
        <f>"MTFR2"</f>
        <v>MTFR2</v>
      </c>
      <c r="C568" t="str">
        <f>""</f>
        <v/>
      </c>
      <c r="D568">
        <v>43.384</v>
      </c>
      <c r="E568">
        <v>3.9</v>
      </c>
      <c r="F568">
        <v>0</v>
      </c>
      <c r="G568">
        <v>1</v>
      </c>
      <c r="H568">
        <v>1</v>
      </c>
      <c r="I568" s="7">
        <v>0</v>
      </c>
      <c r="J568" s="6">
        <v>0.58121239550609605</v>
      </c>
      <c r="K568" s="6">
        <v>0.60348020787262302</v>
      </c>
      <c r="L568">
        <v>10000</v>
      </c>
      <c r="M568">
        <v>0.19290812520203299</v>
      </c>
    </row>
    <row r="569" spans="1:13" x14ac:dyDescent="0.25">
      <c r="A569">
        <v>1982</v>
      </c>
      <c r="B569" t="str">
        <f>"RBM43"</f>
        <v>RBM43</v>
      </c>
      <c r="C569" t="str">
        <f>""</f>
        <v/>
      </c>
      <c r="D569">
        <v>40.665999999999997</v>
      </c>
      <c r="E569">
        <v>2</v>
      </c>
      <c r="F569">
        <v>0</v>
      </c>
      <c r="G569">
        <v>1</v>
      </c>
      <c r="H569">
        <v>1</v>
      </c>
      <c r="I569" s="7">
        <v>0</v>
      </c>
      <c r="J569" s="6">
        <v>0.58121239550609605</v>
      </c>
      <c r="K569" s="6">
        <v>0.60348020787262302</v>
      </c>
      <c r="L569">
        <v>10000</v>
      </c>
      <c r="M569">
        <v>0.19290812520203299</v>
      </c>
    </row>
    <row r="570" spans="1:13" x14ac:dyDescent="0.25">
      <c r="A570">
        <v>2067</v>
      </c>
      <c r="B570" t="str">
        <f>"METTL16"</f>
        <v>METTL16</v>
      </c>
      <c r="C570" t="str">
        <f>""</f>
        <v/>
      </c>
      <c r="D570">
        <v>63.62</v>
      </c>
      <c r="E570">
        <v>3.6</v>
      </c>
      <c r="F570">
        <v>0</v>
      </c>
      <c r="G570">
        <v>1</v>
      </c>
      <c r="H570">
        <v>1</v>
      </c>
      <c r="I570" s="7">
        <v>0</v>
      </c>
      <c r="J570" s="6">
        <v>0.58121239550609605</v>
      </c>
      <c r="K570" s="6">
        <v>0.60348020787262302</v>
      </c>
      <c r="L570">
        <v>10000</v>
      </c>
      <c r="M570">
        <v>0.19290812520203299</v>
      </c>
    </row>
    <row r="571" spans="1:13" x14ac:dyDescent="0.25">
      <c r="A571">
        <v>2118</v>
      </c>
      <c r="B571" t="str">
        <f>"ALDH16A1"</f>
        <v>ALDH16A1</v>
      </c>
      <c r="C571" t="str">
        <f>""</f>
        <v/>
      </c>
      <c r="D571">
        <v>79.917000000000002</v>
      </c>
      <c r="E571">
        <v>3.6</v>
      </c>
      <c r="F571">
        <v>0</v>
      </c>
      <c r="G571">
        <v>1</v>
      </c>
      <c r="H571">
        <v>1</v>
      </c>
      <c r="I571" s="7">
        <v>0</v>
      </c>
      <c r="J571" s="6">
        <v>0.58121239550609605</v>
      </c>
      <c r="K571" s="6">
        <v>0.60348020787262302</v>
      </c>
      <c r="L571">
        <v>10000</v>
      </c>
      <c r="M571">
        <v>0.19290812520203299</v>
      </c>
    </row>
    <row r="572" spans="1:13" x14ac:dyDescent="0.25">
      <c r="A572">
        <v>2133</v>
      </c>
      <c r="B572" t="str">
        <f>"GHDC"</f>
        <v>GHDC</v>
      </c>
      <c r="C572" t="str">
        <f>""</f>
        <v/>
      </c>
      <c r="D572">
        <v>51.459000000000003</v>
      </c>
      <c r="E572">
        <v>4.5999999999999996</v>
      </c>
      <c r="F572">
        <v>0</v>
      </c>
      <c r="G572">
        <v>1</v>
      </c>
      <c r="H572">
        <v>1</v>
      </c>
      <c r="I572" s="7">
        <v>0</v>
      </c>
      <c r="J572" s="6">
        <v>0.58121239550609605</v>
      </c>
      <c r="K572" s="6">
        <v>0.60348020787262302</v>
      </c>
      <c r="L572">
        <v>10000</v>
      </c>
      <c r="M572">
        <v>0.19290812520203299</v>
      </c>
    </row>
    <row r="573" spans="1:13" x14ac:dyDescent="0.25">
      <c r="A573">
        <v>2150</v>
      </c>
      <c r="B573" t="str">
        <f>"JAGN1"</f>
        <v>JAGN1</v>
      </c>
      <c r="C573" t="str">
        <f>""</f>
        <v/>
      </c>
      <c r="D573">
        <v>21.125</v>
      </c>
      <c r="E573">
        <v>7.1</v>
      </c>
      <c r="F573">
        <v>0</v>
      </c>
      <c r="G573">
        <v>1</v>
      </c>
      <c r="H573">
        <v>1</v>
      </c>
      <c r="I573" s="7">
        <v>0</v>
      </c>
      <c r="J573" s="6">
        <v>0.58121239550609605</v>
      </c>
      <c r="K573" s="6">
        <v>0.60348020787262302</v>
      </c>
      <c r="L573">
        <v>10000</v>
      </c>
      <c r="M573">
        <v>0.19290812520203299</v>
      </c>
    </row>
    <row r="574" spans="1:13" x14ac:dyDescent="0.25">
      <c r="A574">
        <v>2167</v>
      </c>
      <c r="B574" t="str">
        <f>"SPATA5"</f>
        <v>SPATA5</v>
      </c>
      <c r="C574" t="str">
        <f>""</f>
        <v/>
      </c>
      <c r="D574">
        <v>75.725999999999999</v>
      </c>
      <c r="E574">
        <v>2</v>
      </c>
      <c r="F574">
        <v>0</v>
      </c>
      <c r="G574">
        <v>1</v>
      </c>
      <c r="H574">
        <v>1</v>
      </c>
      <c r="I574" s="7">
        <v>0</v>
      </c>
      <c r="J574" s="6">
        <v>0.58121239550609605</v>
      </c>
      <c r="K574" s="6">
        <v>0.60348020787262302</v>
      </c>
      <c r="L574">
        <v>10000</v>
      </c>
      <c r="M574">
        <v>0.19290812520203299</v>
      </c>
    </row>
    <row r="575" spans="1:13" x14ac:dyDescent="0.25">
      <c r="A575">
        <v>2307</v>
      </c>
      <c r="B575" t="str">
        <f>"GCDH"</f>
        <v>GCDH</v>
      </c>
      <c r="C575" t="str">
        <f>""</f>
        <v/>
      </c>
      <c r="D575">
        <v>47.354999999999997</v>
      </c>
      <c r="E575">
        <v>5.8</v>
      </c>
      <c r="F575">
        <v>0</v>
      </c>
      <c r="G575">
        <v>1</v>
      </c>
      <c r="H575">
        <v>1</v>
      </c>
      <c r="I575" s="7">
        <v>0</v>
      </c>
      <c r="J575" s="6">
        <v>0.58121239550609605</v>
      </c>
      <c r="K575" s="6">
        <v>0.60348020787262302</v>
      </c>
      <c r="L575">
        <v>10000</v>
      </c>
      <c r="M575">
        <v>0.19290812520203299</v>
      </c>
    </row>
    <row r="576" spans="1:13" x14ac:dyDescent="0.25">
      <c r="A576">
        <v>2328</v>
      </c>
      <c r="B576" t="str">
        <f>"SYAP1"</f>
        <v>SYAP1</v>
      </c>
      <c r="C576" t="str">
        <f>""</f>
        <v/>
      </c>
      <c r="D576">
        <v>39.933</v>
      </c>
      <c r="E576">
        <v>4.3</v>
      </c>
      <c r="F576">
        <v>0</v>
      </c>
      <c r="G576">
        <v>1</v>
      </c>
      <c r="H576">
        <v>1</v>
      </c>
      <c r="I576" s="7">
        <v>0</v>
      </c>
      <c r="J576" s="6">
        <v>0.58121239550609605</v>
      </c>
      <c r="K576" s="6">
        <v>0.60348020787262302</v>
      </c>
      <c r="L576">
        <v>10000</v>
      </c>
      <c r="M576">
        <v>0.19290812520203299</v>
      </c>
    </row>
    <row r="577" spans="1:13" x14ac:dyDescent="0.25">
      <c r="A577">
        <v>2389</v>
      </c>
      <c r="B577" t="str">
        <f>"CHMP6"</f>
        <v>CHMP6</v>
      </c>
      <c r="C577" t="str">
        <f>""</f>
        <v/>
      </c>
      <c r="D577">
        <v>23.484999999999999</v>
      </c>
      <c r="E577">
        <v>6.5</v>
      </c>
      <c r="F577">
        <v>0</v>
      </c>
      <c r="G577">
        <v>1</v>
      </c>
      <c r="H577">
        <v>1</v>
      </c>
      <c r="I577" s="7">
        <v>0</v>
      </c>
      <c r="J577" s="6">
        <v>0.58121239550609605</v>
      </c>
      <c r="K577" s="6">
        <v>0.60348020787262302</v>
      </c>
      <c r="L577">
        <v>10000</v>
      </c>
      <c r="M577">
        <v>0.19290812520203299</v>
      </c>
    </row>
    <row r="578" spans="1:13" x14ac:dyDescent="0.25">
      <c r="A578">
        <v>2481</v>
      </c>
      <c r="B578" t="str">
        <f>"TSNAX"</f>
        <v>TSNAX</v>
      </c>
      <c r="C578" t="str">
        <f>""</f>
        <v/>
      </c>
      <c r="D578">
        <v>33.112000000000002</v>
      </c>
      <c r="E578">
        <v>13.1</v>
      </c>
      <c r="F578">
        <v>0</v>
      </c>
      <c r="G578">
        <v>1</v>
      </c>
      <c r="H578">
        <v>1</v>
      </c>
      <c r="I578" s="7">
        <v>0</v>
      </c>
      <c r="J578" s="6">
        <v>0.58121239550609605</v>
      </c>
      <c r="K578" s="6">
        <v>0.60348020787262302</v>
      </c>
      <c r="L578">
        <v>10000</v>
      </c>
      <c r="M578">
        <v>0.19290812520203299</v>
      </c>
    </row>
    <row r="579" spans="1:13" x14ac:dyDescent="0.25">
      <c r="A579">
        <v>2489</v>
      </c>
      <c r="B579" t="str">
        <f>"SMAD5"</f>
        <v>SMAD5</v>
      </c>
      <c r="C579" t="str">
        <f>""</f>
        <v/>
      </c>
      <c r="D579">
        <v>52.258000000000003</v>
      </c>
      <c r="E579">
        <v>3.2</v>
      </c>
      <c r="F579">
        <v>0</v>
      </c>
      <c r="G579">
        <v>1</v>
      </c>
      <c r="H579">
        <v>1</v>
      </c>
      <c r="I579" s="7">
        <v>0</v>
      </c>
      <c r="J579" s="6">
        <v>0.58121239550609605</v>
      </c>
      <c r="K579" s="6">
        <v>0.60348020787262302</v>
      </c>
      <c r="L579">
        <v>10000</v>
      </c>
      <c r="M579">
        <v>0.19290812520203299</v>
      </c>
    </row>
    <row r="580" spans="1:13" x14ac:dyDescent="0.25">
      <c r="A580">
        <v>2497</v>
      </c>
      <c r="B580" t="str">
        <f>"TSG101"</f>
        <v>TSG101</v>
      </c>
      <c r="C580" t="str">
        <f>""</f>
        <v/>
      </c>
      <c r="D580">
        <v>43.944000000000003</v>
      </c>
      <c r="E580">
        <v>2.6</v>
      </c>
      <c r="F580">
        <v>0</v>
      </c>
      <c r="G580">
        <v>1</v>
      </c>
      <c r="H580">
        <v>1</v>
      </c>
      <c r="I580" s="7">
        <v>0</v>
      </c>
      <c r="J580" s="6">
        <v>0.58121239550609605</v>
      </c>
      <c r="K580" s="6">
        <v>0.60348020787262302</v>
      </c>
      <c r="L580">
        <v>10000</v>
      </c>
      <c r="M580">
        <v>0.19290812520203299</v>
      </c>
    </row>
    <row r="581" spans="1:13" x14ac:dyDescent="0.25">
      <c r="A581">
        <v>2507</v>
      </c>
      <c r="B581" t="str">
        <f>"FAM118B"</f>
        <v>FAM118B</v>
      </c>
      <c r="C581" t="str">
        <f>""</f>
        <v/>
      </c>
      <c r="D581">
        <v>39.499000000000002</v>
      </c>
      <c r="E581">
        <v>3.7</v>
      </c>
      <c r="F581">
        <v>0</v>
      </c>
      <c r="G581">
        <v>1</v>
      </c>
      <c r="H581">
        <v>1</v>
      </c>
      <c r="I581" s="7">
        <v>0</v>
      </c>
      <c r="J581" s="6">
        <v>0.58121239550609605</v>
      </c>
      <c r="K581" s="6">
        <v>0.60348020787262302</v>
      </c>
      <c r="L581">
        <v>10000</v>
      </c>
      <c r="M581">
        <v>0.19290812520203299</v>
      </c>
    </row>
    <row r="582" spans="1:13" x14ac:dyDescent="0.25">
      <c r="A582">
        <v>2517</v>
      </c>
      <c r="B582" t="str">
        <f>"DPH2"</f>
        <v>DPH2</v>
      </c>
      <c r="C582" t="str">
        <f>""</f>
        <v/>
      </c>
      <c r="D582">
        <v>27.529</v>
      </c>
      <c r="E582">
        <v>7.3</v>
      </c>
      <c r="F582">
        <v>0</v>
      </c>
      <c r="G582">
        <v>1</v>
      </c>
      <c r="H582">
        <v>1</v>
      </c>
      <c r="I582" s="7">
        <v>0</v>
      </c>
      <c r="J582" s="6">
        <v>0.58121239550609605</v>
      </c>
      <c r="K582" s="6">
        <v>0.60348020787262302</v>
      </c>
      <c r="L582">
        <v>10000</v>
      </c>
      <c r="M582">
        <v>0.19290812520203299</v>
      </c>
    </row>
    <row r="583" spans="1:13" x14ac:dyDescent="0.25">
      <c r="A583">
        <v>2571</v>
      </c>
      <c r="B583" t="str">
        <f>"DPCD"</f>
        <v>DPCD</v>
      </c>
      <c r="C583" t="str">
        <f>""</f>
        <v/>
      </c>
      <c r="D583">
        <v>23.239000000000001</v>
      </c>
      <c r="E583">
        <v>9.9</v>
      </c>
      <c r="F583">
        <v>0</v>
      </c>
      <c r="G583">
        <v>1</v>
      </c>
      <c r="H583">
        <v>1</v>
      </c>
      <c r="I583" s="7">
        <v>0</v>
      </c>
      <c r="J583" s="6">
        <v>0.58121239550609605</v>
      </c>
      <c r="K583" s="6">
        <v>0.60348020787262302</v>
      </c>
      <c r="L583">
        <v>10000</v>
      </c>
      <c r="M583">
        <v>0.19290812520203299</v>
      </c>
    </row>
    <row r="584" spans="1:13" x14ac:dyDescent="0.25">
      <c r="A584">
        <v>2595</v>
      </c>
      <c r="B584" t="str">
        <f>"SCAPER"</f>
        <v>SCAPER</v>
      </c>
      <c r="C584" t="str">
        <f>""</f>
        <v/>
      </c>
      <c r="D584">
        <v>130.93</v>
      </c>
      <c r="E584">
        <v>2.2999999999999998</v>
      </c>
      <c r="F584">
        <v>0</v>
      </c>
      <c r="G584">
        <v>1</v>
      </c>
      <c r="H584">
        <v>1</v>
      </c>
      <c r="I584" s="7">
        <v>0</v>
      </c>
      <c r="J584" s="6">
        <v>0.58121239550609605</v>
      </c>
      <c r="K584" s="6">
        <v>0.60348020787262302</v>
      </c>
      <c r="L584">
        <v>10000</v>
      </c>
      <c r="M584">
        <v>0.19290812520203299</v>
      </c>
    </row>
    <row r="585" spans="1:13" x14ac:dyDescent="0.25">
      <c r="A585">
        <v>2620</v>
      </c>
      <c r="B585" t="str">
        <f>"TANGO6"</f>
        <v>TANGO6</v>
      </c>
      <c r="C585" t="str">
        <f>""</f>
        <v/>
      </c>
      <c r="D585">
        <v>120.75</v>
      </c>
      <c r="E585">
        <v>1.1000000000000001</v>
      </c>
      <c r="F585">
        <v>0</v>
      </c>
      <c r="G585">
        <v>1</v>
      </c>
      <c r="H585">
        <v>1</v>
      </c>
      <c r="I585" s="7">
        <v>0</v>
      </c>
      <c r="J585" s="6">
        <v>0.58121239550609605</v>
      </c>
      <c r="K585" s="6">
        <v>0.60348020787262302</v>
      </c>
      <c r="L585">
        <v>10000</v>
      </c>
      <c r="M585">
        <v>0.19290812520203299</v>
      </c>
    </row>
    <row r="586" spans="1:13" x14ac:dyDescent="0.25">
      <c r="A586">
        <v>2639</v>
      </c>
      <c r="B586" t="str">
        <f>"BTBD1"</f>
        <v>BTBD1</v>
      </c>
      <c r="C586" t="str">
        <f>""</f>
        <v/>
      </c>
      <c r="D586">
        <v>42.116999999999997</v>
      </c>
      <c r="E586">
        <v>2.6</v>
      </c>
      <c r="F586">
        <v>0</v>
      </c>
      <c r="G586">
        <v>1</v>
      </c>
      <c r="H586">
        <v>1</v>
      </c>
      <c r="I586" s="7">
        <v>0</v>
      </c>
      <c r="J586" s="6">
        <v>0.58121239550609605</v>
      </c>
      <c r="K586" s="6">
        <v>0.60348020787262302</v>
      </c>
      <c r="L586">
        <v>10000</v>
      </c>
      <c r="M586">
        <v>0.19290812520203299</v>
      </c>
    </row>
    <row r="587" spans="1:13" x14ac:dyDescent="0.25">
      <c r="A587">
        <v>2658</v>
      </c>
      <c r="B587" t="str">
        <f>"VPS11"</f>
        <v>VPS11</v>
      </c>
      <c r="C587" t="str">
        <f>""</f>
        <v/>
      </c>
      <c r="D587">
        <v>107.84</v>
      </c>
      <c r="E587">
        <v>3.1</v>
      </c>
      <c r="F587">
        <v>0</v>
      </c>
      <c r="G587">
        <v>1</v>
      </c>
      <c r="H587">
        <v>1</v>
      </c>
      <c r="I587" s="7">
        <v>0</v>
      </c>
      <c r="J587" s="6">
        <v>0.58121239550609605</v>
      </c>
      <c r="K587" s="6">
        <v>0.60348020787262302</v>
      </c>
      <c r="L587">
        <v>10000</v>
      </c>
      <c r="M587">
        <v>0.19290812520203299</v>
      </c>
    </row>
    <row r="588" spans="1:13" x14ac:dyDescent="0.25">
      <c r="A588">
        <v>2659</v>
      </c>
      <c r="B588" t="str">
        <f>"SH3BGRL3"</f>
        <v>SH3BGRL3</v>
      </c>
      <c r="C588" t="str">
        <f>""</f>
        <v/>
      </c>
      <c r="D588">
        <v>10.438000000000001</v>
      </c>
      <c r="E588">
        <v>20.399999999999999</v>
      </c>
      <c r="F588">
        <v>0</v>
      </c>
      <c r="G588">
        <v>1</v>
      </c>
      <c r="H588">
        <v>1</v>
      </c>
      <c r="I588" s="7">
        <v>0</v>
      </c>
      <c r="J588" s="6">
        <v>0.58121239550609605</v>
      </c>
      <c r="K588" s="6">
        <v>0.60348020787262302</v>
      </c>
      <c r="L588">
        <v>10000</v>
      </c>
      <c r="M588">
        <v>0.19290812520203299</v>
      </c>
    </row>
    <row r="589" spans="1:13" x14ac:dyDescent="0.25">
      <c r="A589">
        <v>2662</v>
      </c>
      <c r="B589" t="str">
        <f>"PPIL3"</f>
        <v>PPIL3</v>
      </c>
      <c r="C589" t="str">
        <f>""</f>
        <v/>
      </c>
      <c r="D589">
        <v>18.154</v>
      </c>
      <c r="E589">
        <v>6.8</v>
      </c>
      <c r="F589">
        <v>0</v>
      </c>
      <c r="G589">
        <v>1</v>
      </c>
      <c r="H589">
        <v>1</v>
      </c>
      <c r="I589" s="7">
        <v>0</v>
      </c>
      <c r="J589" s="6">
        <v>0.58121239550609605</v>
      </c>
      <c r="K589" s="6">
        <v>0.60348020787262302</v>
      </c>
      <c r="L589">
        <v>10000</v>
      </c>
      <c r="M589">
        <v>0.19290812520203299</v>
      </c>
    </row>
    <row r="590" spans="1:13" x14ac:dyDescent="0.25">
      <c r="A590">
        <v>2692</v>
      </c>
      <c r="B590" t="str">
        <f>"C2orf43"</f>
        <v>C2orf43</v>
      </c>
      <c r="C590" t="str">
        <f>""</f>
        <v/>
      </c>
      <c r="D590">
        <v>37.317999999999998</v>
      </c>
      <c r="E590">
        <v>4.3</v>
      </c>
      <c r="F590">
        <v>0</v>
      </c>
      <c r="G590">
        <v>1</v>
      </c>
      <c r="H590">
        <v>1</v>
      </c>
      <c r="I590" s="7">
        <v>0</v>
      </c>
      <c r="J590" s="6">
        <v>0.58121239550609605</v>
      </c>
      <c r="K590" s="6">
        <v>0.60348020787262302</v>
      </c>
      <c r="L590">
        <v>10000</v>
      </c>
      <c r="M590">
        <v>0.19290812520203299</v>
      </c>
    </row>
    <row r="591" spans="1:13" x14ac:dyDescent="0.25">
      <c r="A591">
        <v>2698</v>
      </c>
      <c r="B591" t="str">
        <f>"AAMDC"</f>
        <v>AAMDC</v>
      </c>
      <c r="C591" t="str">
        <f>""</f>
        <v/>
      </c>
      <c r="D591">
        <v>9.5637000000000008</v>
      </c>
      <c r="E591">
        <v>34.1</v>
      </c>
      <c r="F591">
        <v>0</v>
      </c>
      <c r="G591">
        <v>1</v>
      </c>
      <c r="H591">
        <v>1</v>
      </c>
      <c r="I591" s="7">
        <v>0</v>
      </c>
      <c r="J591" s="6">
        <v>0.58121239550609605</v>
      </c>
      <c r="K591" s="6">
        <v>0.60348020787262302</v>
      </c>
      <c r="L591">
        <v>10000</v>
      </c>
      <c r="M591">
        <v>0.19290812520203299</v>
      </c>
    </row>
    <row r="592" spans="1:13" x14ac:dyDescent="0.25">
      <c r="A592">
        <v>2721</v>
      </c>
      <c r="B592" t="str">
        <f>"POLR1B"</f>
        <v>POLR1B</v>
      </c>
      <c r="C592" t="str">
        <f>""</f>
        <v/>
      </c>
      <c r="D592">
        <v>104.5</v>
      </c>
      <c r="E592">
        <v>2.7</v>
      </c>
      <c r="F592">
        <v>0</v>
      </c>
      <c r="G592">
        <v>1</v>
      </c>
      <c r="H592">
        <v>1</v>
      </c>
      <c r="I592" s="7">
        <v>0</v>
      </c>
      <c r="J592" s="6">
        <v>0.58121239550609605</v>
      </c>
      <c r="K592" s="6">
        <v>0.60348020787262302</v>
      </c>
      <c r="L592">
        <v>10000</v>
      </c>
      <c r="M592">
        <v>0.19290812520203299</v>
      </c>
    </row>
    <row r="593" spans="1:13" x14ac:dyDescent="0.25">
      <c r="A593">
        <v>2722</v>
      </c>
      <c r="B593" t="str">
        <f>"CARS2"</f>
        <v>CARS2</v>
      </c>
      <c r="C593" t="str">
        <f>""</f>
        <v/>
      </c>
      <c r="D593">
        <v>62.222999999999999</v>
      </c>
      <c r="E593">
        <v>4.5999999999999996</v>
      </c>
      <c r="F593">
        <v>0</v>
      </c>
      <c r="G593">
        <v>1</v>
      </c>
      <c r="H593">
        <v>1</v>
      </c>
      <c r="I593" s="7">
        <v>0</v>
      </c>
      <c r="J593" s="6">
        <v>0.58121239550609605</v>
      </c>
      <c r="K593" s="6">
        <v>0.60348020787262302</v>
      </c>
      <c r="L593">
        <v>10000</v>
      </c>
      <c r="M593">
        <v>0.19290812520203299</v>
      </c>
    </row>
    <row r="594" spans="1:13" x14ac:dyDescent="0.25">
      <c r="A594">
        <v>2728</v>
      </c>
      <c r="B594" t="str">
        <f>"CLSPN"</f>
        <v>CLSPN</v>
      </c>
      <c r="C594" t="str">
        <f>""</f>
        <v/>
      </c>
      <c r="D594">
        <v>144.16999999999999</v>
      </c>
      <c r="E594">
        <v>3.3</v>
      </c>
      <c r="F594">
        <v>0</v>
      </c>
      <c r="G594">
        <v>1</v>
      </c>
      <c r="H594">
        <v>1</v>
      </c>
      <c r="I594" s="7">
        <v>0</v>
      </c>
      <c r="J594" s="6">
        <v>0.58121239550609605</v>
      </c>
      <c r="K594" s="6">
        <v>0.60348020787262302</v>
      </c>
      <c r="L594">
        <v>10000</v>
      </c>
      <c r="M594">
        <v>0.19290812520203299</v>
      </c>
    </row>
    <row r="595" spans="1:13" x14ac:dyDescent="0.25">
      <c r="A595">
        <v>2805</v>
      </c>
      <c r="B595" t="str">
        <f>"CUTC"</f>
        <v>CUTC</v>
      </c>
      <c r="C595" t="str">
        <f>""</f>
        <v/>
      </c>
      <c r="D595">
        <v>29.341000000000001</v>
      </c>
      <c r="E595">
        <v>9.9</v>
      </c>
      <c r="F595">
        <v>0</v>
      </c>
      <c r="G595">
        <v>1</v>
      </c>
      <c r="H595">
        <v>1</v>
      </c>
      <c r="I595" s="7">
        <v>0</v>
      </c>
      <c r="J595" s="6">
        <v>0.58121239550609605</v>
      </c>
      <c r="K595" s="6">
        <v>0.60348020787262302</v>
      </c>
      <c r="L595">
        <v>10000</v>
      </c>
      <c r="M595">
        <v>0.19290812520203299</v>
      </c>
    </row>
    <row r="596" spans="1:13" x14ac:dyDescent="0.25">
      <c r="A596">
        <v>2851</v>
      </c>
      <c r="B596" t="str">
        <f>"GDAP2"</f>
        <v>GDAP2</v>
      </c>
      <c r="C596" t="str">
        <f>""</f>
        <v/>
      </c>
      <c r="D596">
        <v>56.048000000000002</v>
      </c>
      <c r="E596">
        <v>4.5999999999999996</v>
      </c>
      <c r="F596">
        <v>0</v>
      </c>
      <c r="G596">
        <v>1</v>
      </c>
      <c r="H596">
        <v>1</v>
      </c>
      <c r="I596" s="7">
        <v>0</v>
      </c>
      <c r="J596" s="6">
        <v>0.58121239550609605</v>
      </c>
      <c r="K596" s="6">
        <v>0.60348020787262302</v>
      </c>
      <c r="L596">
        <v>10000</v>
      </c>
      <c r="M596">
        <v>0.19290812520203299</v>
      </c>
    </row>
    <row r="597" spans="1:13" x14ac:dyDescent="0.25">
      <c r="A597">
        <v>2880</v>
      </c>
      <c r="B597" t="str">
        <f>"MRPL15"</f>
        <v>MRPL15</v>
      </c>
      <c r="C597" t="str">
        <f>""</f>
        <v/>
      </c>
      <c r="D597">
        <v>33.418999999999997</v>
      </c>
      <c r="E597">
        <v>3.4</v>
      </c>
      <c r="F597">
        <v>0</v>
      </c>
      <c r="G597">
        <v>1</v>
      </c>
      <c r="H597">
        <v>1</v>
      </c>
      <c r="I597" s="7">
        <v>0</v>
      </c>
      <c r="J597" s="6">
        <v>0.58121239550609605</v>
      </c>
      <c r="K597" s="6">
        <v>0.60348020787262302</v>
      </c>
      <c r="L597">
        <v>10000</v>
      </c>
      <c r="M597">
        <v>0.19290812520203299</v>
      </c>
    </row>
    <row r="598" spans="1:13" x14ac:dyDescent="0.25">
      <c r="A598">
        <v>3026</v>
      </c>
      <c r="B598" t="str">
        <f>"SMG5"</f>
        <v>SMG5</v>
      </c>
      <c r="C598" t="str">
        <f>""</f>
        <v/>
      </c>
      <c r="D598">
        <v>113.93</v>
      </c>
      <c r="E598">
        <v>1.8</v>
      </c>
      <c r="F598">
        <v>0</v>
      </c>
      <c r="G598">
        <v>1</v>
      </c>
      <c r="H598">
        <v>1</v>
      </c>
      <c r="I598" s="7">
        <v>0</v>
      </c>
      <c r="J598" s="6">
        <v>0.58121239550609605</v>
      </c>
      <c r="K598" s="6">
        <v>0.60348020787262302</v>
      </c>
      <c r="L598">
        <v>10000</v>
      </c>
      <c r="M598">
        <v>0.19290812520203299</v>
      </c>
    </row>
    <row r="599" spans="1:13" x14ac:dyDescent="0.25">
      <c r="A599">
        <v>3120</v>
      </c>
      <c r="B599" t="str">
        <f>"LSM4"</f>
        <v>LSM4</v>
      </c>
      <c r="C599" t="str">
        <f>""</f>
        <v/>
      </c>
      <c r="D599">
        <v>15.35</v>
      </c>
      <c r="E599">
        <v>5</v>
      </c>
      <c r="F599">
        <v>0</v>
      </c>
      <c r="G599">
        <v>1</v>
      </c>
      <c r="H599">
        <v>1</v>
      </c>
      <c r="I599" s="7">
        <v>0</v>
      </c>
      <c r="J599" s="6">
        <v>0.58121239550609605</v>
      </c>
      <c r="K599" s="6">
        <v>0.60348020787262302</v>
      </c>
      <c r="L599">
        <v>10000</v>
      </c>
      <c r="M599">
        <v>0.19290812520203299</v>
      </c>
    </row>
    <row r="600" spans="1:13" x14ac:dyDescent="0.25">
      <c r="A600">
        <v>3134</v>
      </c>
      <c r="B600" t="str">
        <f>"CDC42BPB"</f>
        <v>CDC42BPB</v>
      </c>
      <c r="C600" t="str">
        <f>"CDC42BPB"</f>
        <v>CDC42BPB</v>
      </c>
      <c r="D600">
        <v>194.31</v>
      </c>
      <c r="E600">
        <v>2</v>
      </c>
      <c r="F600">
        <v>0</v>
      </c>
      <c r="G600">
        <v>1</v>
      </c>
      <c r="H600">
        <v>1</v>
      </c>
      <c r="I600" s="7">
        <v>0</v>
      </c>
      <c r="J600" s="6">
        <v>0.58121239550609605</v>
      </c>
      <c r="K600" s="6">
        <v>0.60348020787262302</v>
      </c>
      <c r="L600">
        <v>10000</v>
      </c>
      <c r="M600">
        <v>0.19290812520203299</v>
      </c>
    </row>
    <row r="601" spans="1:13" x14ac:dyDescent="0.25">
      <c r="A601">
        <v>3153</v>
      </c>
      <c r="B601" t="str">
        <f>"COMMD10"</f>
        <v>COMMD10</v>
      </c>
      <c r="C601" t="str">
        <f>""</f>
        <v/>
      </c>
      <c r="D601">
        <v>22.966000000000001</v>
      </c>
      <c r="E601">
        <v>4</v>
      </c>
      <c r="F601">
        <v>0</v>
      </c>
      <c r="G601">
        <v>1</v>
      </c>
      <c r="H601">
        <v>1</v>
      </c>
      <c r="I601" s="7">
        <v>0</v>
      </c>
      <c r="J601" s="6">
        <v>0.58121239550609605</v>
      </c>
      <c r="K601" s="6">
        <v>0.60348020787262302</v>
      </c>
      <c r="L601">
        <v>10000</v>
      </c>
      <c r="M601">
        <v>0.19290812520203299</v>
      </c>
    </row>
    <row r="602" spans="1:13" x14ac:dyDescent="0.25">
      <c r="A602">
        <v>1954</v>
      </c>
      <c r="B602" t="str">
        <f>"POTEE;POTEI;POTEJ"</f>
        <v>POTEE;POTEI;POTEJ</v>
      </c>
      <c r="C602" t="str">
        <f>""</f>
        <v/>
      </c>
      <c r="D602">
        <v>121.36</v>
      </c>
      <c r="E602">
        <v>5.8</v>
      </c>
      <c r="F602">
        <v>75</v>
      </c>
      <c r="G602">
        <v>62</v>
      </c>
      <c r="H602">
        <v>55</v>
      </c>
      <c r="I602" s="7">
        <v>42.062386004572701</v>
      </c>
      <c r="J602" s="6">
        <v>36.035168521377997</v>
      </c>
      <c r="K602" s="6">
        <v>33.1914114329943</v>
      </c>
      <c r="L602">
        <v>-1.2152091301432599</v>
      </c>
      <c r="M602">
        <v>0.19387885431525301</v>
      </c>
    </row>
    <row r="603" spans="1:13" x14ac:dyDescent="0.25">
      <c r="A603">
        <v>741</v>
      </c>
      <c r="B603" t="str">
        <f>"SON"</f>
        <v>SON</v>
      </c>
      <c r="C603" t="str">
        <f>""</f>
        <v/>
      </c>
      <c r="D603">
        <v>228.18</v>
      </c>
      <c r="E603">
        <v>2.8</v>
      </c>
      <c r="F603">
        <v>8</v>
      </c>
      <c r="G603">
        <v>6</v>
      </c>
      <c r="H603">
        <v>1</v>
      </c>
      <c r="I603" s="7">
        <v>4.4866545071544204</v>
      </c>
      <c r="J603" s="6">
        <v>3.4872743730365801</v>
      </c>
      <c r="K603" s="6">
        <v>0.60348020787262302</v>
      </c>
      <c r="L603">
        <v>-2.1935583855813801</v>
      </c>
      <c r="M603">
        <v>0.19672952693839499</v>
      </c>
    </row>
    <row r="604" spans="1:13" x14ac:dyDescent="0.25">
      <c r="A604">
        <v>33</v>
      </c>
      <c r="B604" t="str">
        <f>""</f>
        <v/>
      </c>
      <c r="C604" t="str">
        <f>""</f>
        <v/>
      </c>
      <c r="D604">
        <v>164.34</v>
      </c>
      <c r="E604">
        <v>3.7</v>
      </c>
      <c r="F604">
        <v>4</v>
      </c>
      <c r="G604">
        <v>7</v>
      </c>
      <c r="H604">
        <v>8</v>
      </c>
      <c r="I604" s="7">
        <v>2.2433272535772102</v>
      </c>
      <c r="J604" s="6">
        <v>4.0684867685426802</v>
      </c>
      <c r="K604" s="6">
        <v>4.8278416629809797</v>
      </c>
      <c r="L604">
        <v>1.98284231989282</v>
      </c>
      <c r="M604">
        <v>0.19946948502266401</v>
      </c>
    </row>
    <row r="605" spans="1:13" x14ac:dyDescent="0.25">
      <c r="A605">
        <v>815</v>
      </c>
      <c r="B605" t="str">
        <f>"EEF1B2"</f>
        <v>EEF1B2</v>
      </c>
      <c r="C605" t="str">
        <f>""</f>
        <v/>
      </c>
      <c r="D605">
        <v>24.763000000000002</v>
      </c>
      <c r="E605">
        <v>5.8</v>
      </c>
      <c r="F605">
        <v>4</v>
      </c>
      <c r="G605">
        <v>6</v>
      </c>
      <c r="H605">
        <v>9</v>
      </c>
      <c r="I605" s="7">
        <v>2.2433272535772102</v>
      </c>
      <c r="J605" s="6">
        <v>3.4872743730365801</v>
      </c>
      <c r="K605" s="6">
        <v>5.4313218708536004</v>
      </c>
      <c r="L605">
        <v>1.98780544159765</v>
      </c>
      <c r="M605">
        <v>0.19962444419027101</v>
      </c>
    </row>
    <row r="606" spans="1:13" x14ac:dyDescent="0.25">
      <c r="A606">
        <v>670</v>
      </c>
      <c r="B606" t="str">
        <f>"XRCC5"</f>
        <v>XRCC5</v>
      </c>
      <c r="C606" t="str">
        <f>""</f>
        <v/>
      </c>
      <c r="D606">
        <v>82.703999999999994</v>
      </c>
      <c r="E606">
        <v>9.6999999999999993</v>
      </c>
      <c r="F606">
        <v>29</v>
      </c>
      <c r="G606">
        <v>20</v>
      </c>
      <c r="H606">
        <v>20</v>
      </c>
      <c r="I606" s="7">
        <v>16.264122588434802</v>
      </c>
      <c r="J606" s="6">
        <v>11.6242479101219</v>
      </c>
      <c r="K606" s="6">
        <v>12.069604157452501</v>
      </c>
      <c r="L606">
        <v>-1.37285592414858</v>
      </c>
      <c r="M606">
        <v>0.199993044798074</v>
      </c>
    </row>
    <row r="607" spans="1:13" x14ac:dyDescent="0.25">
      <c r="A607">
        <v>88</v>
      </c>
      <c r="B607" t="str">
        <f>"PDLIM1"</f>
        <v>PDLIM1</v>
      </c>
      <c r="C607" t="str">
        <f>""</f>
        <v/>
      </c>
      <c r="D607">
        <v>36.070999999999998</v>
      </c>
      <c r="E607">
        <v>10.9</v>
      </c>
      <c r="F607">
        <v>5</v>
      </c>
      <c r="G607">
        <v>3</v>
      </c>
      <c r="H607">
        <v>1</v>
      </c>
      <c r="I607" s="7">
        <v>2.80415906697151</v>
      </c>
      <c r="J607" s="6">
        <v>1.74363718651829</v>
      </c>
      <c r="K607" s="6">
        <v>0.60348020787262302</v>
      </c>
      <c r="L607">
        <v>-2.3894493506569598</v>
      </c>
      <c r="M607">
        <v>0.20059377306498399</v>
      </c>
    </row>
    <row r="608" spans="1:13" x14ac:dyDescent="0.25">
      <c r="A608">
        <v>2719</v>
      </c>
      <c r="B608" t="str">
        <f>"MRPL44"</f>
        <v>MRPL44</v>
      </c>
      <c r="C608" t="str">
        <f>""</f>
        <v/>
      </c>
      <c r="D608">
        <v>37.534999999999997</v>
      </c>
      <c r="E608">
        <v>13.9</v>
      </c>
      <c r="F608">
        <v>5</v>
      </c>
      <c r="G608">
        <v>3</v>
      </c>
      <c r="H608">
        <v>1</v>
      </c>
      <c r="I608" s="7">
        <v>2.80415906697151</v>
      </c>
      <c r="J608" s="6">
        <v>1.74363718651829</v>
      </c>
      <c r="K608" s="6">
        <v>0.60348020787262302</v>
      </c>
      <c r="L608">
        <v>-2.3894493506569598</v>
      </c>
      <c r="M608">
        <v>0.20059377306498399</v>
      </c>
    </row>
    <row r="609" spans="1:13" x14ac:dyDescent="0.25">
      <c r="A609">
        <v>2997</v>
      </c>
      <c r="B609" t="str">
        <f>"TPX2"</f>
        <v>TPX2</v>
      </c>
      <c r="C609" t="str">
        <f>""</f>
        <v/>
      </c>
      <c r="D609">
        <v>85.652000000000001</v>
      </c>
      <c r="E609">
        <v>5.2</v>
      </c>
      <c r="F609">
        <v>5</v>
      </c>
      <c r="G609">
        <v>3</v>
      </c>
      <c r="H609">
        <v>1</v>
      </c>
      <c r="I609" s="7">
        <v>2.80415906697151</v>
      </c>
      <c r="J609" s="6">
        <v>1.74363718651829</v>
      </c>
      <c r="K609" s="6">
        <v>0.60348020787262302</v>
      </c>
      <c r="L609">
        <v>-2.3894493506569598</v>
      </c>
      <c r="M609">
        <v>0.20059377306498399</v>
      </c>
    </row>
    <row r="610" spans="1:13" x14ac:dyDescent="0.25">
      <c r="A610">
        <v>967</v>
      </c>
      <c r="B610" t="str">
        <f>"CPOX"</f>
        <v>CPOX</v>
      </c>
      <c r="C610" t="str">
        <f>""</f>
        <v/>
      </c>
      <c r="D610">
        <v>30.382000000000001</v>
      </c>
      <c r="E610">
        <v>17.100000000000001</v>
      </c>
      <c r="F610">
        <v>5</v>
      </c>
      <c r="G610">
        <v>1</v>
      </c>
      <c r="H610">
        <v>3</v>
      </c>
      <c r="I610" s="7">
        <v>2.80415906697151</v>
      </c>
      <c r="J610" s="6">
        <v>0.58121239550609605</v>
      </c>
      <c r="K610" s="6">
        <v>1.8104406236178701</v>
      </c>
      <c r="L610">
        <v>-2.3449547610369001</v>
      </c>
      <c r="M610">
        <v>0.20059379149443901</v>
      </c>
    </row>
    <row r="611" spans="1:13" x14ac:dyDescent="0.25">
      <c r="A611">
        <v>993</v>
      </c>
      <c r="B611" t="str">
        <f>"TXLNA"</f>
        <v>TXLNA</v>
      </c>
      <c r="C611" t="str">
        <f>""</f>
        <v/>
      </c>
      <c r="D611">
        <v>61.89</v>
      </c>
      <c r="E611">
        <v>3.8</v>
      </c>
      <c r="F611">
        <v>5</v>
      </c>
      <c r="G611">
        <v>1</v>
      </c>
      <c r="H611">
        <v>3</v>
      </c>
      <c r="I611" s="7">
        <v>2.80415906697151</v>
      </c>
      <c r="J611" s="6">
        <v>0.58121239550609605</v>
      </c>
      <c r="K611" s="6">
        <v>1.8104406236178701</v>
      </c>
      <c r="L611">
        <v>-2.3449547610369001</v>
      </c>
      <c r="M611">
        <v>0.20059379149443901</v>
      </c>
    </row>
    <row r="612" spans="1:13" x14ac:dyDescent="0.25">
      <c r="A612">
        <v>767</v>
      </c>
      <c r="B612" t="str">
        <f>"LMNB1"</f>
        <v>LMNB1</v>
      </c>
      <c r="C612" t="str">
        <f>""</f>
        <v/>
      </c>
      <c r="D612">
        <v>66.408000000000001</v>
      </c>
      <c r="E612">
        <v>5.5</v>
      </c>
      <c r="F612">
        <v>5</v>
      </c>
      <c r="G612">
        <v>2</v>
      </c>
      <c r="H612">
        <v>2</v>
      </c>
      <c r="I612" s="7">
        <v>2.80415906697151</v>
      </c>
      <c r="J612" s="6">
        <v>1.1624247910121901</v>
      </c>
      <c r="K612" s="6">
        <v>1.20696041574525</v>
      </c>
      <c r="L612">
        <v>-2.3669929726699599</v>
      </c>
      <c r="M612">
        <v>0.201050451232479</v>
      </c>
    </row>
    <row r="613" spans="1:13" x14ac:dyDescent="0.25">
      <c r="A613">
        <v>25</v>
      </c>
      <c r="B613" t="str">
        <f>"DDX11;DDX11L8;DDX12P"</f>
        <v>DDX11;DDX11L8;DDX12P</v>
      </c>
      <c r="C613" t="str">
        <f>""</f>
        <v/>
      </c>
      <c r="D613">
        <v>96.126999999999995</v>
      </c>
      <c r="E613">
        <v>6</v>
      </c>
      <c r="F613">
        <v>5</v>
      </c>
      <c r="G613">
        <v>2</v>
      </c>
      <c r="H613">
        <v>2</v>
      </c>
      <c r="I613" s="7">
        <v>2.80415906697151</v>
      </c>
      <c r="J613" s="6">
        <v>1.1624247910121901</v>
      </c>
      <c r="K613" s="6">
        <v>1.20696041574525</v>
      </c>
      <c r="L613">
        <v>-2.3669929726699599</v>
      </c>
      <c r="M613">
        <v>0.201050451232479</v>
      </c>
    </row>
    <row r="614" spans="1:13" x14ac:dyDescent="0.25">
      <c r="A614">
        <v>1444</v>
      </c>
      <c r="B614" t="str">
        <f>"SLC25A11"</f>
        <v>SLC25A11</v>
      </c>
      <c r="C614" t="str">
        <f>""</f>
        <v/>
      </c>
      <c r="D614">
        <v>28.494</v>
      </c>
      <c r="E614">
        <v>9.9</v>
      </c>
      <c r="F614">
        <v>5</v>
      </c>
      <c r="G614">
        <v>2</v>
      </c>
      <c r="H614">
        <v>2</v>
      </c>
      <c r="I614" s="7">
        <v>2.80415906697151</v>
      </c>
      <c r="J614" s="6">
        <v>1.1624247910121901</v>
      </c>
      <c r="K614" s="6">
        <v>1.20696041574525</v>
      </c>
      <c r="L614">
        <v>-2.3669929726699599</v>
      </c>
      <c r="M614">
        <v>0.201050451232479</v>
      </c>
    </row>
    <row r="615" spans="1:13" x14ac:dyDescent="0.25">
      <c r="A615">
        <v>663</v>
      </c>
      <c r="B615" t="str">
        <f>"TPR"</f>
        <v>TPR</v>
      </c>
      <c r="C615" t="str">
        <f>""</f>
        <v/>
      </c>
      <c r="D615">
        <v>267.29000000000002</v>
      </c>
      <c r="E615">
        <v>8.1</v>
      </c>
      <c r="F615">
        <v>14</v>
      </c>
      <c r="G615">
        <v>19</v>
      </c>
      <c r="H615">
        <v>20</v>
      </c>
      <c r="I615" s="7">
        <v>7.8516453875202297</v>
      </c>
      <c r="J615" s="6">
        <v>11.0430355146158</v>
      </c>
      <c r="K615" s="6">
        <v>12.069604157452501</v>
      </c>
      <c r="L615">
        <v>1.4718341526735701</v>
      </c>
      <c r="M615">
        <v>0.20492495752654399</v>
      </c>
    </row>
    <row r="616" spans="1:13" x14ac:dyDescent="0.25">
      <c r="A616">
        <v>1260</v>
      </c>
      <c r="B616" t="str">
        <f>"TPI1"</f>
        <v>TPI1</v>
      </c>
      <c r="C616" t="str">
        <f>""</f>
        <v/>
      </c>
      <c r="D616">
        <v>30.791</v>
      </c>
      <c r="E616">
        <v>23.4</v>
      </c>
      <c r="F616">
        <v>18</v>
      </c>
      <c r="G616">
        <v>22</v>
      </c>
      <c r="H616">
        <v>26</v>
      </c>
      <c r="I616" s="7">
        <v>10.094972641097399</v>
      </c>
      <c r="J616" s="6">
        <v>12.786672701134099</v>
      </c>
      <c r="K616" s="6">
        <v>15.6904854046882</v>
      </c>
      <c r="L616">
        <v>1.41046237163088</v>
      </c>
      <c r="M616">
        <v>0.206886119503082</v>
      </c>
    </row>
    <row r="617" spans="1:13" x14ac:dyDescent="0.25">
      <c r="A617">
        <v>1126</v>
      </c>
      <c r="B617" t="str">
        <f>"GMPS"</f>
        <v>GMPS</v>
      </c>
      <c r="C617" t="str">
        <f>""</f>
        <v/>
      </c>
      <c r="D617">
        <v>76.715000000000003</v>
      </c>
      <c r="E617">
        <v>10.1</v>
      </c>
      <c r="F617">
        <v>11</v>
      </c>
      <c r="G617">
        <v>17</v>
      </c>
      <c r="H617">
        <v>15</v>
      </c>
      <c r="I617" s="7">
        <v>6.1691499473373197</v>
      </c>
      <c r="J617" s="6">
        <v>9.88061072360364</v>
      </c>
      <c r="K617" s="6">
        <v>9.0522031180893396</v>
      </c>
      <c r="L617">
        <v>1.53447509002959</v>
      </c>
      <c r="M617">
        <v>0.20695176605294899</v>
      </c>
    </row>
    <row r="618" spans="1:13" x14ac:dyDescent="0.25">
      <c r="A618">
        <v>2293</v>
      </c>
      <c r="B618" t="str">
        <f>""</f>
        <v/>
      </c>
      <c r="C618" t="str">
        <f>""</f>
        <v/>
      </c>
      <c r="D618">
        <v>87.168000000000006</v>
      </c>
      <c r="E618">
        <v>3.1</v>
      </c>
      <c r="F618">
        <v>7</v>
      </c>
      <c r="G618">
        <v>18</v>
      </c>
      <c r="H618">
        <v>8</v>
      </c>
      <c r="I618" s="7">
        <v>3.9258226937601099</v>
      </c>
      <c r="J618" s="6">
        <v>10.461823119109701</v>
      </c>
      <c r="K618" s="6">
        <v>4.8278416629809797</v>
      </c>
      <c r="L618">
        <v>1.9473198326548</v>
      </c>
      <c r="M618">
        <v>0.20710499345583799</v>
      </c>
    </row>
    <row r="619" spans="1:13" x14ac:dyDescent="0.25">
      <c r="A619">
        <v>3035</v>
      </c>
      <c r="B619" t="str">
        <f>"SMC3"</f>
        <v>SMC3</v>
      </c>
      <c r="C619" t="str">
        <f>""</f>
        <v/>
      </c>
      <c r="D619">
        <v>141.54</v>
      </c>
      <c r="E619">
        <v>9</v>
      </c>
      <c r="F619">
        <v>8</v>
      </c>
      <c r="G619">
        <v>4</v>
      </c>
      <c r="H619">
        <v>4</v>
      </c>
      <c r="I619" s="7">
        <v>4.4866545071544204</v>
      </c>
      <c r="J619" s="6">
        <v>2.32484958202439</v>
      </c>
      <c r="K619" s="6">
        <v>2.4139208314904899</v>
      </c>
      <c r="L619">
        <v>-1.8935943781359701</v>
      </c>
      <c r="M619">
        <v>0.20761478078026299</v>
      </c>
    </row>
    <row r="620" spans="1:13" x14ac:dyDescent="0.25">
      <c r="A620">
        <v>1344</v>
      </c>
      <c r="B620" t="str">
        <f>"RPL32"</f>
        <v>RPL32</v>
      </c>
      <c r="C620" t="str">
        <f>""</f>
        <v/>
      </c>
      <c r="D620">
        <v>15.86</v>
      </c>
      <c r="E620">
        <v>22.2</v>
      </c>
      <c r="F620">
        <v>3</v>
      </c>
      <c r="G620">
        <v>7</v>
      </c>
      <c r="H620">
        <v>5</v>
      </c>
      <c r="I620" s="7">
        <v>1.68249544018291</v>
      </c>
      <c r="J620" s="6">
        <v>4.0684867685426802</v>
      </c>
      <c r="K620" s="6">
        <v>3.0174010393631101</v>
      </c>
      <c r="L620">
        <v>2.10576731403666</v>
      </c>
      <c r="M620">
        <v>0.21722157117775601</v>
      </c>
    </row>
    <row r="621" spans="1:13" x14ac:dyDescent="0.25">
      <c r="A621">
        <v>2995</v>
      </c>
      <c r="B621" t="str">
        <f>"HECTD1"</f>
        <v>HECTD1</v>
      </c>
      <c r="C621" t="str">
        <f>""</f>
        <v/>
      </c>
      <c r="D621">
        <v>289.38</v>
      </c>
      <c r="E621">
        <v>4.0999999999999996</v>
      </c>
      <c r="F621">
        <v>3</v>
      </c>
      <c r="G621">
        <v>8</v>
      </c>
      <c r="H621">
        <v>4</v>
      </c>
      <c r="I621" s="7">
        <v>1.68249544018291</v>
      </c>
      <c r="J621" s="6">
        <v>4.6496991640487702</v>
      </c>
      <c r="K621" s="6">
        <v>2.4139208314904899</v>
      </c>
      <c r="L621">
        <v>2.09914981843023</v>
      </c>
      <c r="M621">
        <v>0.21756832969319201</v>
      </c>
    </row>
    <row r="622" spans="1:13" x14ac:dyDescent="0.25">
      <c r="A622">
        <v>2227</v>
      </c>
      <c r="B622" t="str">
        <f>"GEMIN5"</f>
        <v>GEMIN5</v>
      </c>
      <c r="C622" t="str">
        <f>""</f>
        <v/>
      </c>
      <c r="D622">
        <v>168.59</v>
      </c>
      <c r="E622">
        <v>5.9</v>
      </c>
      <c r="F622">
        <v>9</v>
      </c>
      <c r="G622">
        <v>12</v>
      </c>
      <c r="H622">
        <v>15</v>
      </c>
      <c r="I622" s="7">
        <v>5.0474863205487202</v>
      </c>
      <c r="J622" s="6">
        <v>6.9745487460731601</v>
      </c>
      <c r="K622" s="6">
        <v>9.0522031180893396</v>
      </c>
      <c r="L622">
        <v>1.58759735503555</v>
      </c>
      <c r="M622">
        <v>0.21806239626917501</v>
      </c>
    </row>
    <row r="623" spans="1:13" x14ac:dyDescent="0.25">
      <c r="A623">
        <v>1324</v>
      </c>
      <c r="B623" t="str">
        <f>"RAB11A;RAB11B"</f>
        <v>RAB11A;RAB11B</v>
      </c>
      <c r="C623" t="str">
        <f>""</f>
        <v/>
      </c>
      <c r="D623">
        <v>17.658999999999999</v>
      </c>
      <c r="E623">
        <v>24.5</v>
      </c>
      <c r="F623">
        <v>3</v>
      </c>
      <c r="G623">
        <v>4</v>
      </c>
      <c r="H623">
        <v>8</v>
      </c>
      <c r="I623" s="7">
        <v>1.68249544018291</v>
      </c>
      <c r="J623" s="6">
        <v>2.32484958202439</v>
      </c>
      <c r="K623" s="6">
        <v>4.8278416629809797</v>
      </c>
      <c r="L623">
        <v>2.1256198008559801</v>
      </c>
      <c r="M623">
        <v>0.21807742154648899</v>
      </c>
    </row>
    <row r="624" spans="1:13" x14ac:dyDescent="0.25">
      <c r="A624">
        <v>1398</v>
      </c>
      <c r="B624" t="str">
        <f>"SRSF3"</f>
        <v>SRSF3</v>
      </c>
      <c r="C624" t="str">
        <f>""</f>
        <v/>
      </c>
      <c r="D624">
        <v>14.202999999999999</v>
      </c>
      <c r="E624">
        <v>24.2</v>
      </c>
      <c r="F624">
        <v>18</v>
      </c>
      <c r="G624">
        <v>12</v>
      </c>
      <c r="H624">
        <v>11</v>
      </c>
      <c r="I624" s="7">
        <v>10.094972641097399</v>
      </c>
      <c r="J624" s="6">
        <v>6.9745487460731601</v>
      </c>
      <c r="K624" s="6">
        <v>6.6382822865988498</v>
      </c>
      <c r="L624">
        <v>-1.48315550481286</v>
      </c>
      <c r="M624">
        <v>0.21824556113435201</v>
      </c>
    </row>
    <row r="625" spans="1:13" x14ac:dyDescent="0.25">
      <c r="A625">
        <v>1346</v>
      </c>
      <c r="B625" t="str">
        <f>"RPL8"</f>
        <v>RPL8</v>
      </c>
      <c r="C625" t="str">
        <f>""</f>
        <v/>
      </c>
      <c r="D625">
        <v>28.024000000000001</v>
      </c>
      <c r="E625">
        <v>24.1</v>
      </c>
      <c r="F625">
        <v>4</v>
      </c>
      <c r="G625">
        <v>2</v>
      </c>
      <c r="H625">
        <v>1</v>
      </c>
      <c r="I625" s="7">
        <v>2.2433272535772102</v>
      </c>
      <c r="J625" s="6">
        <v>1.1624247910121901</v>
      </c>
      <c r="K625" s="6">
        <v>0.60348020787262302</v>
      </c>
      <c r="L625">
        <v>-2.5407111424384499</v>
      </c>
      <c r="M625">
        <v>0.225502814410138</v>
      </c>
    </row>
    <row r="626" spans="1:13" x14ac:dyDescent="0.25">
      <c r="A626">
        <v>1992</v>
      </c>
      <c r="B626" t="str">
        <f>"IKBIP"</f>
        <v>IKBIP</v>
      </c>
      <c r="C626" t="str">
        <f>""</f>
        <v/>
      </c>
      <c r="D626">
        <v>27.768000000000001</v>
      </c>
      <c r="E626">
        <v>7</v>
      </c>
      <c r="F626">
        <v>4</v>
      </c>
      <c r="G626">
        <v>2</v>
      </c>
      <c r="H626">
        <v>1</v>
      </c>
      <c r="I626" s="7">
        <v>2.2433272535772102</v>
      </c>
      <c r="J626" s="6">
        <v>1.1624247910121901</v>
      </c>
      <c r="K626" s="6">
        <v>0.60348020787262302</v>
      </c>
      <c r="L626">
        <v>-2.5407111424384499</v>
      </c>
      <c r="M626">
        <v>0.225502814410138</v>
      </c>
    </row>
    <row r="627" spans="1:13" x14ac:dyDescent="0.25">
      <c r="A627">
        <v>1688</v>
      </c>
      <c r="B627" t="str">
        <f>"FAM175B"</f>
        <v>FAM175B</v>
      </c>
      <c r="C627" t="str">
        <f>""</f>
        <v/>
      </c>
      <c r="D627">
        <v>46.9</v>
      </c>
      <c r="E627">
        <v>11.3</v>
      </c>
      <c r="F627">
        <v>4</v>
      </c>
      <c r="G627">
        <v>1</v>
      </c>
      <c r="H627">
        <v>2</v>
      </c>
      <c r="I627" s="7">
        <v>2.2433272535772102</v>
      </c>
      <c r="J627" s="6">
        <v>0.58121239550609605</v>
      </c>
      <c r="K627" s="6">
        <v>1.20696041574525</v>
      </c>
      <c r="L627">
        <v>-2.50907209802318</v>
      </c>
      <c r="M627">
        <v>0.225502827351828</v>
      </c>
    </row>
    <row r="628" spans="1:13" x14ac:dyDescent="0.25">
      <c r="A628">
        <v>1829</v>
      </c>
      <c r="B628" t="str">
        <f>"USP39"</f>
        <v>USP39</v>
      </c>
      <c r="C628" t="str">
        <f>""</f>
        <v/>
      </c>
      <c r="D628">
        <v>53.51</v>
      </c>
      <c r="E628">
        <v>6.7</v>
      </c>
      <c r="F628">
        <v>4</v>
      </c>
      <c r="G628">
        <v>1</v>
      </c>
      <c r="H628">
        <v>2</v>
      </c>
      <c r="I628" s="7">
        <v>2.2433272535772102</v>
      </c>
      <c r="J628" s="6">
        <v>0.58121239550609605</v>
      </c>
      <c r="K628" s="6">
        <v>1.20696041574525</v>
      </c>
      <c r="L628">
        <v>-2.50907209802318</v>
      </c>
      <c r="M628">
        <v>0.225502827351828</v>
      </c>
    </row>
    <row r="629" spans="1:13" x14ac:dyDescent="0.25">
      <c r="A629">
        <v>2253</v>
      </c>
      <c r="B629" t="str">
        <f>"PALLD"</f>
        <v>PALLD</v>
      </c>
      <c r="C629" t="str">
        <f>""</f>
        <v/>
      </c>
      <c r="D629">
        <v>42.932000000000002</v>
      </c>
      <c r="E629">
        <v>7</v>
      </c>
      <c r="F629">
        <v>4</v>
      </c>
      <c r="G629">
        <v>1</v>
      </c>
      <c r="H629">
        <v>2</v>
      </c>
      <c r="I629" s="7">
        <v>2.2433272535772102</v>
      </c>
      <c r="J629" s="6">
        <v>0.58121239550609605</v>
      </c>
      <c r="K629" s="6">
        <v>1.20696041574525</v>
      </c>
      <c r="L629">
        <v>-2.50907209802318</v>
      </c>
      <c r="M629">
        <v>0.225502827351828</v>
      </c>
    </row>
    <row r="630" spans="1:13" x14ac:dyDescent="0.25">
      <c r="A630">
        <v>2621</v>
      </c>
      <c r="B630" t="str">
        <f>"TNKS1BP1"</f>
        <v>TNKS1BP1</v>
      </c>
      <c r="C630" t="str">
        <f>""</f>
        <v/>
      </c>
      <c r="D630">
        <v>181.79</v>
      </c>
      <c r="E630">
        <v>5</v>
      </c>
      <c r="F630">
        <v>4</v>
      </c>
      <c r="G630">
        <v>1</v>
      </c>
      <c r="H630">
        <v>2</v>
      </c>
      <c r="I630" s="7">
        <v>2.2433272535772102</v>
      </c>
      <c r="J630" s="6">
        <v>0.58121239550609605</v>
      </c>
      <c r="K630" s="6">
        <v>1.20696041574525</v>
      </c>
      <c r="L630">
        <v>-2.50907209802318</v>
      </c>
      <c r="M630">
        <v>0.225502827351828</v>
      </c>
    </row>
    <row r="631" spans="1:13" x14ac:dyDescent="0.25">
      <c r="A631">
        <v>3043</v>
      </c>
      <c r="B631" t="str">
        <f>"PLAA"</f>
        <v>PLAA</v>
      </c>
      <c r="C631" t="str">
        <f>""</f>
        <v/>
      </c>
      <c r="D631">
        <v>87.156000000000006</v>
      </c>
      <c r="E631">
        <v>3.9</v>
      </c>
      <c r="F631">
        <v>4</v>
      </c>
      <c r="G631">
        <v>1</v>
      </c>
      <c r="H631">
        <v>2</v>
      </c>
      <c r="I631" s="7">
        <v>2.2433272535772102</v>
      </c>
      <c r="J631" s="6">
        <v>0.58121239550609605</v>
      </c>
      <c r="K631" s="6">
        <v>1.20696041574525</v>
      </c>
      <c r="L631">
        <v>-2.50907209802318</v>
      </c>
      <c r="M631">
        <v>0.225502827351828</v>
      </c>
    </row>
    <row r="632" spans="1:13" x14ac:dyDescent="0.25">
      <c r="A632">
        <v>599</v>
      </c>
      <c r="B632" t="str">
        <f>"RPS17"</f>
        <v>RPS17</v>
      </c>
      <c r="C632" t="str">
        <f>""</f>
        <v/>
      </c>
      <c r="D632">
        <v>15.55</v>
      </c>
      <c r="E632">
        <v>34.799999999999997</v>
      </c>
      <c r="F632">
        <v>7</v>
      </c>
      <c r="G632">
        <v>12</v>
      </c>
      <c r="H632">
        <v>10</v>
      </c>
      <c r="I632" s="7">
        <v>3.9258226937601099</v>
      </c>
      <c r="J632" s="6">
        <v>6.9745487460731601</v>
      </c>
      <c r="K632" s="6">
        <v>6.03480207872623</v>
      </c>
      <c r="L632">
        <v>1.6568948523168201</v>
      </c>
      <c r="M632">
        <v>0.22673453306444899</v>
      </c>
    </row>
    <row r="633" spans="1:13" x14ac:dyDescent="0.25">
      <c r="A633">
        <v>1062</v>
      </c>
      <c r="B633" t="str">
        <f>"RPS10;RPS10P5"</f>
        <v>RPS10;RPS10P5</v>
      </c>
      <c r="C633" t="str">
        <f>""</f>
        <v/>
      </c>
      <c r="D633">
        <v>18.898</v>
      </c>
      <c r="E633">
        <v>9.6999999999999993</v>
      </c>
      <c r="F633">
        <v>7</v>
      </c>
      <c r="G633">
        <v>9</v>
      </c>
      <c r="H633">
        <v>13</v>
      </c>
      <c r="I633" s="7">
        <v>3.9258226937601099</v>
      </c>
      <c r="J633" s="6">
        <v>5.2309115595548699</v>
      </c>
      <c r="K633" s="6">
        <v>7.8452427023441</v>
      </c>
      <c r="L633">
        <v>1.6654030609536701</v>
      </c>
      <c r="M633">
        <v>0.22687679643176101</v>
      </c>
    </row>
    <row r="634" spans="1:13" x14ac:dyDescent="0.25">
      <c r="A634">
        <v>1041</v>
      </c>
      <c r="B634" t="str">
        <f>"NAMPT"</f>
        <v>NAMPT</v>
      </c>
      <c r="C634" t="str">
        <f>""</f>
        <v/>
      </c>
      <c r="D634">
        <v>55.52</v>
      </c>
      <c r="E634">
        <v>4.7</v>
      </c>
      <c r="F634">
        <v>1</v>
      </c>
      <c r="G634">
        <v>3</v>
      </c>
      <c r="H634">
        <v>3</v>
      </c>
      <c r="I634" s="7">
        <v>0.56083181339430199</v>
      </c>
      <c r="J634" s="6">
        <v>1.74363718651829</v>
      </c>
      <c r="K634" s="6">
        <v>1.8104406236178701</v>
      </c>
      <c r="L634">
        <v>3.16857721446465</v>
      </c>
      <c r="M634">
        <v>0.227380730550412</v>
      </c>
    </row>
    <row r="635" spans="1:13" x14ac:dyDescent="0.25">
      <c r="A635">
        <v>187</v>
      </c>
      <c r="B635" t="str">
        <f>"MID1"</f>
        <v>MID1</v>
      </c>
      <c r="C635" t="str">
        <f>""</f>
        <v/>
      </c>
      <c r="D635">
        <v>62.286999999999999</v>
      </c>
      <c r="E635">
        <v>4.7</v>
      </c>
      <c r="F635">
        <v>1</v>
      </c>
      <c r="G635">
        <v>3</v>
      </c>
      <c r="H635">
        <v>3</v>
      </c>
      <c r="I635" s="7">
        <v>0.56083181339430199</v>
      </c>
      <c r="J635" s="6">
        <v>1.74363718651829</v>
      </c>
      <c r="K635" s="6">
        <v>1.8104406236178701</v>
      </c>
      <c r="L635">
        <v>3.16857721446465</v>
      </c>
      <c r="M635">
        <v>0.227380730550412</v>
      </c>
    </row>
    <row r="636" spans="1:13" x14ac:dyDescent="0.25">
      <c r="A636">
        <v>397</v>
      </c>
      <c r="B636" t="str">
        <f>"SNAPIN"</f>
        <v>SNAPIN</v>
      </c>
      <c r="C636" t="str">
        <f>""</f>
        <v/>
      </c>
      <c r="D636">
        <v>14.874000000000001</v>
      </c>
      <c r="E636">
        <v>7.4</v>
      </c>
      <c r="F636">
        <v>1</v>
      </c>
      <c r="G636">
        <v>3</v>
      </c>
      <c r="H636">
        <v>3</v>
      </c>
      <c r="I636" s="7">
        <v>0.56083181339430199</v>
      </c>
      <c r="J636" s="6">
        <v>1.74363718651829</v>
      </c>
      <c r="K636" s="6">
        <v>1.8104406236178701</v>
      </c>
      <c r="L636">
        <v>3.16857721446465</v>
      </c>
      <c r="M636">
        <v>0.227380730550412</v>
      </c>
    </row>
    <row r="637" spans="1:13" x14ac:dyDescent="0.25">
      <c r="A637">
        <v>895</v>
      </c>
      <c r="B637" t="str">
        <f>"NMT1"</f>
        <v>NMT1</v>
      </c>
      <c r="C637" t="str">
        <f>""</f>
        <v/>
      </c>
      <c r="D637">
        <v>48.14</v>
      </c>
      <c r="E637">
        <v>11.1</v>
      </c>
      <c r="F637">
        <v>1</v>
      </c>
      <c r="G637">
        <v>3</v>
      </c>
      <c r="H637">
        <v>3</v>
      </c>
      <c r="I637" s="7">
        <v>0.56083181339430199</v>
      </c>
      <c r="J637" s="6">
        <v>1.74363718651829</v>
      </c>
      <c r="K637" s="6">
        <v>1.8104406236178701</v>
      </c>
      <c r="L637">
        <v>3.16857721446465</v>
      </c>
      <c r="M637">
        <v>0.227380730550412</v>
      </c>
    </row>
    <row r="638" spans="1:13" x14ac:dyDescent="0.25">
      <c r="A638">
        <v>1657</v>
      </c>
      <c r="B638" t="str">
        <f>"CLINT1"</f>
        <v>CLINT1</v>
      </c>
      <c r="C638" t="str">
        <f>""</f>
        <v/>
      </c>
      <c r="D638">
        <v>70.293999999999997</v>
      </c>
      <c r="E638">
        <v>4</v>
      </c>
      <c r="F638">
        <v>1</v>
      </c>
      <c r="G638">
        <v>3</v>
      </c>
      <c r="H638">
        <v>3</v>
      </c>
      <c r="I638" s="7">
        <v>0.56083181339430199</v>
      </c>
      <c r="J638" s="6">
        <v>1.74363718651829</v>
      </c>
      <c r="K638" s="6">
        <v>1.8104406236178701</v>
      </c>
      <c r="L638">
        <v>3.16857721446465</v>
      </c>
      <c r="M638">
        <v>0.227380730550412</v>
      </c>
    </row>
    <row r="639" spans="1:13" x14ac:dyDescent="0.25">
      <c r="A639">
        <v>1712</v>
      </c>
      <c r="B639" t="str">
        <f>"QPRT"</f>
        <v>QPRT</v>
      </c>
      <c r="C639" t="str">
        <f>""</f>
        <v/>
      </c>
      <c r="D639">
        <v>30.844999999999999</v>
      </c>
      <c r="E639">
        <v>4</v>
      </c>
      <c r="F639">
        <v>1</v>
      </c>
      <c r="G639">
        <v>3</v>
      </c>
      <c r="H639">
        <v>3</v>
      </c>
      <c r="I639" s="7">
        <v>0.56083181339430199</v>
      </c>
      <c r="J639" s="6">
        <v>1.74363718651829</v>
      </c>
      <c r="K639" s="6">
        <v>1.8104406236178701</v>
      </c>
      <c r="L639">
        <v>3.16857721446465</v>
      </c>
      <c r="M639">
        <v>0.227380730550412</v>
      </c>
    </row>
    <row r="640" spans="1:13" x14ac:dyDescent="0.25">
      <c r="A640">
        <v>1969</v>
      </c>
      <c r="B640" t="str">
        <f>"RAB11FIP1"</f>
        <v>RAB11FIP1</v>
      </c>
      <c r="C640" t="str">
        <f>""</f>
        <v/>
      </c>
      <c r="D640">
        <v>70.981999999999999</v>
      </c>
      <c r="E640">
        <v>3.5</v>
      </c>
      <c r="F640">
        <v>1</v>
      </c>
      <c r="G640">
        <v>3</v>
      </c>
      <c r="H640">
        <v>3</v>
      </c>
      <c r="I640" s="7">
        <v>0.56083181339430199</v>
      </c>
      <c r="J640" s="6">
        <v>1.74363718651829</v>
      </c>
      <c r="K640" s="6">
        <v>1.8104406236178701</v>
      </c>
      <c r="L640">
        <v>3.16857721446465</v>
      </c>
      <c r="M640">
        <v>0.227380730550412</v>
      </c>
    </row>
    <row r="641" spans="1:13" x14ac:dyDescent="0.25">
      <c r="A641">
        <v>1972</v>
      </c>
      <c r="B641" t="str">
        <f>"HSDL2"</f>
        <v>HSDL2</v>
      </c>
      <c r="C641" t="str">
        <f>""</f>
        <v/>
      </c>
      <c r="D641">
        <v>37.32</v>
      </c>
      <c r="E641">
        <v>6.4</v>
      </c>
      <c r="F641">
        <v>1</v>
      </c>
      <c r="G641">
        <v>3</v>
      </c>
      <c r="H641">
        <v>3</v>
      </c>
      <c r="I641" s="7">
        <v>0.56083181339430199</v>
      </c>
      <c r="J641" s="6">
        <v>1.74363718651829</v>
      </c>
      <c r="K641" s="6">
        <v>1.8104406236178701</v>
      </c>
      <c r="L641">
        <v>3.16857721446465</v>
      </c>
      <c r="M641">
        <v>0.227380730550412</v>
      </c>
    </row>
    <row r="642" spans="1:13" x14ac:dyDescent="0.25">
      <c r="A642">
        <v>2187</v>
      </c>
      <c r="B642" t="str">
        <f>"PIK3C3"</f>
        <v>PIK3C3</v>
      </c>
      <c r="C642" t="str">
        <f>""</f>
        <v/>
      </c>
      <c r="D642">
        <v>101.55</v>
      </c>
      <c r="E642">
        <v>4.5999999999999996</v>
      </c>
      <c r="F642">
        <v>1</v>
      </c>
      <c r="G642">
        <v>3</v>
      </c>
      <c r="H642">
        <v>3</v>
      </c>
      <c r="I642" s="7">
        <v>0.56083181339430199</v>
      </c>
      <c r="J642" s="6">
        <v>1.74363718651829</v>
      </c>
      <c r="K642" s="6">
        <v>1.8104406236178701</v>
      </c>
      <c r="L642">
        <v>3.16857721446465</v>
      </c>
      <c r="M642">
        <v>0.227380730550412</v>
      </c>
    </row>
    <row r="643" spans="1:13" x14ac:dyDescent="0.25">
      <c r="A643">
        <v>2275</v>
      </c>
      <c r="B643" t="str">
        <f>"UBXN4"</f>
        <v>UBXN4</v>
      </c>
      <c r="C643" t="str">
        <f>""</f>
        <v/>
      </c>
      <c r="D643">
        <v>56.777000000000001</v>
      </c>
      <c r="E643">
        <v>2.8</v>
      </c>
      <c r="F643">
        <v>1</v>
      </c>
      <c r="G643">
        <v>3</v>
      </c>
      <c r="H643">
        <v>3</v>
      </c>
      <c r="I643" s="7">
        <v>0.56083181339430199</v>
      </c>
      <c r="J643" s="6">
        <v>1.74363718651829</v>
      </c>
      <c r="K643" s="6">
        <v>1.8104406236178701</v>
      </c>
      <c r="L643">
        <v>3.16857721446465</v>
      </c>
      <c r="M643">
        <v>0.227380730550412</v>
      </c>
    </row>
    <row r="644" spans="1:13" x14ac:dyDescent="0.25">
      <c r="A644">
        <v>2445</v>
      </c>
      <c r="B644" t="str">
        <f>"SLC38A2"</f>
        <v>SLC38A2</v>
      </c>
      <c r="C644" t="str">
        <f>""</f>
        <v/>
      </c>
      <c r="D644">
        <v>56.024999999999999</v>
      </c>
      <c r="E644">
        <v>6.3</v>
      </c>
      <c r="F644">
        <v>1</v>
      </c>
      <c r="G644">
        <v>3</v>
      </c>
      <c r="H644">
        <v>3</v>
      </c>
      <c r="I644" s="7">
        <v>0.56083181339430199</v>
      </c>
      <c r="J644" s="6">
        <v>1.74363718651829</v>
      </c>
      <c r="K644" s="6">
        <v>1.8104406236178701</v>
      </c>
      <c r="L644">
        <v>3.16857721446465</v>
      </c>
      <c r="M644">
        <v>0.227380730550412</v>
      </c>
    </row>
    <row r="645" spans="1:13" x14ac:dyDescent="0.25">
      <c r="A645">
        <v>2755</v>
      </c>
      <c r="B645" t="str">
        <f>"UBE2T"</f>
        <v>UBE2T</v>
      </c>
      <c r="C645" t="str">
        <f>""</f>
        <v/>
      </c>
      <c r="D645">
        <v>22.521000000000001</v>
      </c>
      <c r="E645">
        <v>10.7</v>
      </c>
      <c r="F645">
        <v>1</v>
      </c>
      <c r="G645">
        <v>3</v>
      </c>
      <c r="H645">
        <v>3</v>
      </c>
      <c r="I645" s="7">
        <v>0.56083181339430199</v>
      </c>
      <c r="J645" s="6">
        <v>1.74363718651829</v>
      </c>
      <c r="K645" s="6">
        <v>1.8104406236178701</v>
      </c>
      <c r="L645">
        <v>3.16857721446465</v>
      </c>
      <c r="M645">
        <v>0.227380730550412</v>
      </c>
    </row>
    <row r="646" spans="1:13" x14ac:dyDescent="0.25">
      <c r="A646">
        <v>1028</v>
      </c>
      <c r="B646" t="str">
        <f>"CDKN2A"</f>
        <v>CDKN2A</v>
      </c>
      <c r="C646" t="str">
        <f>""</f>
        <v/>
      </c>
      <c r="D646">
        <v>11.215</v>
      </c>
      <c r="E646">
        <v>37.1</v>
      </c>
      <c r="F646">
        <v>1</v>
      </c>
      <c r="G646">
        <v>2</v>
      </c>
      <c r="H646">
        <v>4</v>
      </c>
      <c r="I646" s="7">
        <v>0.56083181339430199</v>
      </c>
      <c r="J646" s="6">
        <v>1.1624247910121901</v>
      </c>
      <c r="K646" s="6">
        <v>2.4139208314904899</v>
      </c>
      <c r="L646">
        <v>3.1884297012839702</v>
      </c>
      <c r="M646">
        <v>0.22772093894857001</v>
      </c>
    </row>
    <row r="647" spans="1:13" x14ac:dyDescent="0.25">
      <c r="A647">
        <v>1899</v>
      </c>
      <c r="B647" t="str">
        <f>"INTS3"</f>
        <v>INTS3</v>
      </c>
      <c r="C647" t="str">
        <f>""</f>
        <v/>
      </c>
      <c r="D647">
        <v>103.15</v>
      </c>
      <c r="E647">
        <v>3.3</v>
      </c>
      <c r="F647">
        <v>1</v>
      </c>
      <c r="G647">
        <v>2</v>
      </c>
      <c r="H647">
        <v>4</v>
      </c>
      <c r="I647" s="7">
        <v>0.56083181339430199</v>
      </c>
      <c r="J647" s="6">
        <v>1.1624247910121901</v>
      </c>
      <c r="K647" s="6">
        <v>2.4139208314904899</v>
      </c>
      <c r="L647">
        <v>3.1884297012839702</v>
      </c>
      <c r="M647">
        <v>0.22772093894857001</v>
      </c>
    </row>
    <row r="648" spans="1:13" x14ac:dyDescent="0.25">
      <c r="A648">
        <v>2735</v>
      </c>
      <c r="B648" t="str">
        <f>"RNMTL1"</f>
        <v>RNMTL1</v>
      </c>
      <c r="C648" t="str">
        <f>""</f>
        <v/>
      </c>
      <c r="D648">
        <v>47.018999999999998</v>
      </c>
      <c r="E648">
        <v>5</v>
      </c>
      <c r="F648">
        <v>1</v>
      </c>
      <c r="G648">
        <v>2</v>
      </c>
      <c r="H648">
        <v>4</v>
      </c>
      <c r="I648" s="7">
        <v>0.56083181339430199</v>
      </c>
      <c r="J648" s="6">
        <v>1.1624247910121901</v>
      </c>
      <c r="K648" s="6">
        <v>2.4139208314904899</v>
      </c>
      <c r="L648">
        <v>3.1884297012839702</v>
      </c>
      <c r="M648">
        <v>0.22772093894857001</v>
      </c>
    </row>
    <row r="649" spans="1:13" x14ac:dyDescent="0.25">
      <c r="A649">
        <v>2824</v>
      </c>
      <c r="B649" t="str">
        <f>"PANK4"</f>
        <v>PANK4</v>
      </c>
      <c r="C649" t="str">
        <f>""</f>
        <v/>
      </c>
      <c r="D649">
        <v>85.99</v>
      </c>
      <c r="E649">
        <v>6.2</v>
      </c>
      <c r="F649">
        <v>1</v>
      </c>
      <c r="G649">
        <v>2</v>
      </c>
      <c r="H649">
        <v>4</v>
      </c>
      <c r="I649" s="7">
        <v>0.56083181339430199</v>
      </c>
      <c r="J649" s="6">
        <v>1.1624247910121901</v>
      </c>
      <c r="K649" s="6">
        <v>2.4139208314904899</v>
      </c>
      <c r="L649">
        <v>3.1884297012839702</v>
      </c>
      <c r="M649">
        <v>0.22772093894857001</v>
      </c>
    </row>
    <row r="650" spans="1:13" x14ac:dyDescent="0.25">
      <c r="A650">
        <v>615</v>
      </c>
      <c r="B650" t="str">
        <f>"POLA1"</f>
        <v>POLA1</v>
      </c>
      <c r="C650" t="str">
        <f>""</f>
        <v/>
      </c>
      <c r="D650">
        <v>165.91</v>
      </c>
      <c r="E650">
        <v>5.2</v>
      </c>
      <c r="F650">
        <v>5</v>
      </c>
      <c r="G650">
        <v>8</v>
      </c>
      <c r="H650">
        <v>9</v>
      </c>
      <c r="I650" s="7">
        <v>2.80415906697151</v>
      </c>
      <c r="J650" s="6">
        <v>4.6496991640487702</v>
      </c>
      <c r="K650" s="6">
        <v>5.4313218708536004</v>
      </c>
      <c r="L650">
        <v>1.7975123368785699</v>
      </c>
      <c r="M650">
        <v>0.22952383165496201</v>
      </c>
    </row>
    <row r="651" spans="1:13" x14ac:dyDescent="0.25">
      <c r="A651">
        <v>1928</v>
      </c>
      <c r="B651" t="str">
        <f>"JMJD6"</f>
        <v>JMJD6</v>
      </c>
      <c r="C651" t="str">
        <f>""</f>
        <v/>
      </c>
      <c r="D651">
        <v>43.109000000000002</v>
      </c>
      <c r="E651">
        <v>8.1</v>
      </c>
      <c r="F651">
        <v>2</v>
      </c>
      <c r="G651">
        <v>5</v>
      </c>
      <c r="H651">
        <v>4</v>
      </c>
      <c r="I651" s="7">
        <v>1.1216636267886</v>
      </c>
      <c r="J651" s="6">
        <v>2.9060619775304799</v>
      </c>
      <c r="K651" s="6">
        <v>2.4139208314904899</v>
      </c>
      <c r="L651">
        <v>2.37146978914366</v>
      </c>
      <c r="M651">
        <v>0.23076563183446699</v>
      </c>
    </row>
    <row r="652" spans="1:13" x14ac:dyDescent="0.25">
      <c r="A652">
        <v>558</v>
      </c>
      <c r="B652" t="str">
        <f>"TPM3"</f>
        <v>TPM3</v>
      </c>
      <c r="C652" t="str">
        <f>""</f>
        <v/>
      </c>
      <c r="D652">
        <v>28.792999999999999</v>
      </c>
      <c r="E652">
        <v>19.8</v>
      </c>
      <c r="F652">
        <v>2</v>
      </c>
      <c r="G652">
        <v>6</v>
      </c>
      <c r="H652">
        <v>3</v>
      </c>
      <c r="I652" s="7">
        <v>1.1216636267886</v>
      </c>
      <c r="J652" s="6">
        <v>3.4872743730365801</v>
      </c>
      <c r="K652" s="6">
        <v>1.8104406236178701</v>
      </c>
      <c r="L652">
        <v>2.3615435457339999</v>
      </c>
      <c r="M652">
        <v>0.23113850896808899</v>
      </c>
    </row>
    <row r="653" spans="1:13" x14ac:dyDescent="0.25">
      <c r="A653">
        <v>851</v>
      </c>
      <c r="B653" t="str">
        <f>"RPA1"</f>
        <v>RPA1</v>
      </c>
      <c r="C653" t="str">
        <f>""</f>
        <v/>
      </c>
      <c r="D653">
        <v>68.137</v>
      </c>
      <c r="E653">
        <v>6.3</v>
      </c>
      <c r="F653">
        <v>10</v>
      </c>
      <c r="G653">
        <v>16</v>
      </c>
      <c r="H653">
        <v>13</v>
      </c>
      <c r="I653" s="7">
        <v>5.6083181339430199</v>
      </c>
      <c r="J653" s="6">
        <v>9.2993983280975403</v>
      </c>
      <c r="K653" s="6">
        <v>7.8452427023441</v>
      </c>
      <c r="L653">
        <v>1.52850111396835</v>
      </c>
      <c r="M653">
        <v>0.23269348284191299</v>
      </c>
    </row>
    <row r="654" spans="1:13" x14ac:dyDescent="0.25">
      <c r="A654">
        <v>702</v>
      </c>
      <c r="B654" t="str">
        <f>"JUP"</f>
        <v>JUP</v>
      </c>
      <c r="C654" t="str">
        <f>""</f>
        <v/>
      </c>
      <c r="D654">
        <v>81.744</v>
      </c>
      <c r="E654">
        <v>5.4</v>
      </c>
      <c r="F654">
        <v>0</v>
      </c>
      <c r="G654">
        <v>2</v>
      </c>
      <c r="H654">
        <v>0</v>
      </c>
      <c r="I654" s="7">
        <v>0</v>
      </c>
      <c r="J654" s="6">
        <v>1.1624247910121901</v>
      </c>
      <c r="K654" s="6">
        <v>0</v>
      </c>
      <c r="L654">
        <v>10000</v>
      </c>
      <c r="M654">
        <v>0.235736473754768</v>
      </c>
    </row>
    <row r="655" spans="1:13" x14ac:dyDescent="0.25">
      <c r="A655">
        <v>1135</v>
      </c>
      <c r="B655" t="str">
        <f>"SERPINB9"</f>
        <v>SERPINB9</v>
      </c>
      <c r="C655" t="str">
        <f>""</f>
        <v/>
      </c>
      <c r="D655">
        <v>42.402999999999999</v>
      </c>
      <c r="E655">
        <v>10.9</v>
      </c>
      <c r="F655">
        <v>0</v>
      </c>
      <c r="G655">
        <v>2</v>
      </c>
      <c r="H655">
        <v>0</v>
      </c>
      <c r="I655" s="7">
        <v>0</v>
      </c>
      <c r="J655" s="6">
        <v>1.1624247910121901</v>
      </c>
      <c r="K655" s="6">
        <v>0</v>
      </c>
      <c r="L655">
        <v>10000</v>
      </c>
      <c r="M655">
        <v>0.235736473754768</v>
      </c>
    </row>
    <row r="656" spans="1:13" x14ac:dyDescent="0.25">
      <c r="A656">
        <v>671</v>
      </c>
      <c r="B656" t="str">
        <f>"IFITM1;IFITM2;IFITM3"</f>
        <v>IFITM1;IFITM2;IFITM3</v>
      </c>
      <c r="C656" t="str">
        <f>""</f>
        <v/>
      </c>
      <c r="D656">
        <v>13.964</v>
      </c>
      <c r="E656">
        <v>12.8</v>
      </c>
      <c r="F656">
        <v>0</v>
      </c>
      <c r="G656">
        <v>2</v>
      </c>
      <c r="H656">
        <v>0</v>
      </c>
      <c r="I656" s="7">
        <v>0</v>
      </c>
      <c r="J656" s="6">
        <v>1.1624247910121901</v>
      </c>
      <c r="K656" s="6">
        <v>0</v>
      </c>
      <c r="L656">
        <v>10000</v>
      </c>
      <c r="M656">
        <v>0.235736473754768</v>
      </c>
    </row>
    <row r="657" spans="1:13" x14ac:dyDescent="0.25">
      <c r="A657">
        <v>568</v>
      </c>
      <c r="B657" t="str">
        <f>"CTSD"</f>
        <v>CTSD</v>
      </c>
      <c r="C657" t="str">
        <f>""</f>
        <v/>
      </c>
      <c r="D657">
        <v>44.552</v>
      </c>
      <c r="E657">
        <v>6.6</v>
      </c>
      <c r="F657">
        <v>0</v>
      </c>
      <c r="G657">
        <v>2</v>
      </c>
      <c r="H657">
        <v>0</v>
      </c>
      <c r="I657" s="7">
        <v>0</v>
      </c>
      <c r="J657" s="6">
        <v>1.1624247910121901</v>
      </c>
      <c r="K657" s="6">
        <v>0</v>
      </c>
      <c r="L657">
        <v>10000</v>
      </c>
      <c r="M657">
        <v>0.235736473754768</v>
      </c>
    </row>
    <row r="658" spans="1:13" x14ac:dyDescent="0.25">
      <c r="A658">
        <v>2400</v>
      </c>
      <c r="B658" t="str">
        <f>"SNF8"</f>
        <v>SNF8</v>
      </c>
      <c r="C658" t="str">
        <f>""</f>
        <v/>
      </c>
      <c r="D658">
        <v>28.736000000000001</v>
      </c>
      <c r="E658">
        <v>16</v>
      </c>
      <c r="F658">
        <v>0</v>
      </c>
      <c r="G658">
        <v>2</v>
      </c>
      <c r="H658">
        <v>0</v>
      </c>
      <c r="I658" s="7">
        <v>0</v>
      </c>
      <c r="J658" s="6">
        <v>1.1624247910121901</v>
      </c>
      <c r="K658" s="6">
        <v>0</v>
      </c>
      <c r="L658">
        <v>10000</v>
      </c>
      <c r="M658">
        <v>0.235736473754768</v>
      </c>
    </row>
    <row r="659" spans="1:13" x14ac:dyDescent="0.25">
      <c r="A659">
        <v>2903</v>
      </c>
      <c r="B659" t="str">
        <f>"CPSF2"</f>
        <v>CPSF2</v>
      </c>
      <c r="C659" t="str">
        <f>""</f>
        <v/>
      </c>
      <c r="D659">
        <v>88.486000000000004</v>
      </c>
      <c r="E659">
        <v>4.9000000000000004</v>
      </c>
      <c r="F659">
        <v>0</v>
      </c>
      <c r="G659">
        <v>2</v>
      </c>
      <c r="H659">
        <v>0</v>
      </c>
      <c r="I659" s="7">
        <v>0</v>
      </c>
      <c r="J659" s="6">
        <v>1.1624247910121901</v>
      </c>
      <c r="K659" s="6">
        <v>0</v>
      </c>
      <c r="L659">
        <v>10000</v>
      </c>
      <c r="M659">
        <v>0.235736473754768</v>
      </c>
    </row>
    <row r="660" spans="1:13" x14ac:dyDescent="0.25">
      <c r="A660">
        <v>182</v>
      </c>
      <c r="B660" t="str">
        <f>"SURF4"</f>
        <v>SURF4</v>
      </c>
      <c r="C660" t="str">
        <f>""</f>
        <v/>
      </c>
      <c r="D660">
        <v>14.853999999999999</v>
      </c>
      <c r="E660">
        <v>21.1</v>
      </c>
      <c r="F660">
        <v>0</v>
      </c>
      <c r="G660">
        <v>2</v>
      </c>
      <c r="H660">
        <v>0</v>
      </c>
      <c r="I660" s="7">
        <v>0</v>
      </c>
      <c r="J660" s="6">
        <v>1.1624247910121901</v>
      </c>
      <c r="K660" s="6">
        <v>0</v>
      </c>
      <c r="L660">
        <v>10000</v>
      </c>
      <c r="M660">
        <v>0.235736473754768</v>
      </c>
    </row>
    <row r="661" spans="1:13" x14ac:dyDescent="0.25">
      <c r="A661">
        <v>510</v>
      </c>
      <c r="B661" t="str">
        <f>"OAT"</f>
        <v>OAT</v>
      </c>
      <c r="C661" t="str">
        <f>""</f>
        <v/>
      </c>
      <c r="D661">
        <v>48.533999999999999</v>
      </c>
      <c r="E661">
        <v>9.8000000000000007</v>
      </c>
      <c r="F661">
        <v>0</v>
      </c>
      <c r="G661">
        <v>2</v>
      </c>
      <c r="H661">
        <v>0</v>
      </c>
      <c r="I661" s="7">
        <v>0</v>
      </c>
      <c r="J661" s="6">
        <v>1.1624247910121901</v>
      </c>
      <c r="K661" s="6">
        <v>0</v>
      </c>
      <c r="L661">
        <v>10000</v>
      </c>
      <c r="M661">
        <v>0.235736473754768</v>
      </c>
    </row>
    <row r="662" spans="1:13" x14ac:dyDescent="0.25">
      <c r="A662">
        <v>848</v>
      </c>
      <c r="B662" t="str">
        <f>"ATP6V0C"</f>
        <v>ATP6V0C</v>
      </c>
      <c r="C662" t="str">
        <f>""</f>
        <v/>
      </c>
      <c r="D662">
        <v>15.736000000000001</v>
      </c>
      <c r="E662">
        <v>11.6</v>
      </c>
      <c r="F662">
        <v>0</v>
      </c>
      <c r="G662">
        <v>2</v>
      </c>
      <c r="H662">
        <v>0</v>
      </c>
      <c r="I662" s="7">
        <v>0</v>
      </c>
      <c r="J662" s="6">
        <v>1.1624247910121901</v>
      </c>
      <c r="K662" s="6">
        <v>0</v>
      </c>
      <c r="L662">
        <v>10000</v>
      </c>
      <c r="M662">
        <v>0.235736473754768</v>
      </c>
    </row>
    <row r="663" spans="1:13" x14ac:dyDescent="0.25">
      <c r="A663">
        <v>908</v>
      </c>
      <c r="B663" t="str">
        <f>"MAT2A"</f>
        <v>MAT2A</v>
      </c>
      <c r="C663" t="str">
        <f>""</f>
        <v/>
      </c>
      <c r="D663">
        <v>43.66</v>
      </c>
      <c r="E663">
        <v>5.6</v>
      </c>
      <c r="F663">
        <v>0</v>
      </c>
      <c r="G663">
        <v>2</v>
      </c>
      <c r="H663">
        <v>0</v>
      </c>
      <c r="I663" s="7">
        <v>0</v>
      </c>
      <c r="J663" s="6">
        <v>1.1624247910121901</v>
      </c>
      <c r="K663" s="6">
        <v>0</v>
      </c>
      <c r="L663">
        <v>10000</v>
      </c>
      <c r="M663">
        <v>0.235736473754768</v>
      </c>
    </row>
    <row r="664" spans="1:13" x14ac:dyDescent="0.25">
      <c r="A664">
        <v>956</v>
      </c>
      <c r="B664" t="str">
        <f>"ADD1"</f>
        <v>ADD1</v>
      </c>
      <c r="C664" t="str">
        <f>""</f>
        <v/>
      </c>
      <c r="D664">
        <v>56.284999999999997</v>
      </c>
      <c r="E664">
        <v>2.9</v>
      </c>
      <c r="F664">
        <v>0</v>
      </c>
      <c r="G664">
        <v>2</v>
      </c>
      <c r="H664">
        <v>0</v>
      </c>
      <c r="I664" s="7">
        <v>0</v>
      </c>
      <c r="J664" s="6">
        <v>1.1624247910121901</v>
      </c>
      <c r="K664" s="6">
        <v>0</v>
      </c>
      <c r="L664">
        <v>10000</v>
      </c>
      <c r="M664">
        <v>0.235736473754768</v>
      </c>
    </row>
    <row r="665" spans="1:13" x14ac:dyDescent="0.25">
      <c r="A665">
        <v>1103</v>
      </c>
      <c r="B665" t="str">
        <f>"CENPF"</f>
        <v>CENPF</v>
      </c>
      <c r="C665" t="str">
        <f>""</f>
        <v/>
      </c>
      <c r="D665">
        <v>357.52</v>
      </c>
      <c r="E665">
        <v>0.8</v>
      </c>
      <c r="F665">
        <v>0</v>
      </c>
      <c r="G665">
        <v>2</v>
      </c>
      <c r="H665">
        <v>0</v>
      </c>
      <c r="I665" s="7">
        <v>0</v>
      </c>
      <c r="J665" s="6">
        <v>1.1624247910121901</v>
      </c>
      <c r="K665" s="6">
        <v>0</v>
      </c>
      <c r="L665">
        <v>10000</v>
      </c>
      <c r="M665">
        <v>0.235736473754768</v>
      </c>
    </row>
    <row r="666" spans="1:13" x14ac:dyDescent="0.25">
      <c r="A666">
        <v>1580</v>
      </c>
      <c r="B666" t="str">
        <f>"TUBB3"</f>
        <v>TUBB3</v>
      </c>
      <c r="C666" t="str">
        <f>""</f>
        <v/>
      </c>
      <c r="D666">
        <v>50.432000000000002</v>
      </c>
      <c r="E666">
        <v>22.9</v>
      </c>
      <c r="F666">
        <v>0</v>
      </c>
      <c r="G666">
        <v>2</v>
      </c>
      <c r="H666">
        <v>0</v>
      </c>
      <c r="I666" s="7">
        <v>0</v>
      </c>
      <c r="J666" s="6">
        <v>1.1624247910121901</v>
      </c>
      <c r="K666" s="6">
        <v>0</v>
      </c>
      <c r="L666">
        <v>10000</v>
      </c>
      <c r="M666">
        <v>0.235736473754768</v>
      </c>
    </row>
    <row r="667" spans="1:13" x14ac:dyDescent="0.25">
      <c r="A667">
        <v>2197</v>
      </c>
      <c r="B667" t="str">
        <f>"DBF4B"</f>
        <v>DBF4B</v>
      </c>
      <c r="C667" t="str">
        <f>""</f>
        <v/>
      </c>
      <c r="D667">
        <v>18.391999999999999</v>
      </c>
      <c r="E667">
        <v>5.9</v>
      </c>
      <c r="F667">
        <v>0</v>
      </c>
      <c r="G667">
        <v>2</v>
      </c>
      <c r="H667">
        <v>0</v>
      </c>
      <c r="I667" s="7">
        <v>0</v>
      </c>
      <c r="J667" s="6">
        <v>1.1624247910121901</v>
      </c>
      <c r="K667" s="6">
        <v>0</v>
      </c>
      <c r="L667">
        <v>10000</v>
      </c>
      <c r="M667">
        <v>0.235736473754768</v>
      </c>
    </row>
    <row r="668" spans="1:13" x14ac:dyDescent="0.25">
      <c r="A668">
        <v>2209</v>
      </c>
      <c r="B668" t="str">
        <f>"PIP4K2C"</f>
        <v>PIP4K2C</v>
      </c>
      <c r="C668" t="str">
        <f>""</f>
        <v/>
      </c>
      <c r="D668">
        <v>47.298999999999999</v>
      </c>
      <c r="E668">
        <v>11.6</v>
      </c>
      <c r="F668">
        <v>0</v>
      </c>
      <c r="G668">
        <v>2</v>
      </c>
      <c r="H668">
        <v>0</v>
      </c>
      <c r="I668" s="7">
        <v>0</v>
      </c>
      <c r="J668" s="6">
        <v>1.1624247910121901</v>
      </c>
      <c r="K668" s="6">
        <v>0</v>
      </c>
      <c r="L668">
        <v>10000</v>
      </c>
      <c r="M668">
        <v>0.235736473754768</v>
      </c>
    </row>
    <row r="669" spans="1:13" x14ac:dyDescent="0.25">
      <c r="A669">
        <v>2317</v>
      </c>
      <c r="B669" t="str">
        <f>"RFK"</f>
        <v>RFK</v>
      </c>
      <c r="C669" t="str">
        <f>""</f>
        <v/>
      </c>
      <c r="D669">
        <v>17.623000000000001</v>
      </c>
      <c r="E669">
        <v>7.1</v>
      </c>
      <c r="F669">
        <v>0</v>
      </c>
      <c r="G669">
        <v>2</v>
      </c>
      <c r="H669">
        <v>0</v>
      </c>
      <c r="I669" s="7">
        <v>0</v>
      </c>
      <c r="J669" s="6">
        <v>1.1624247910121901</v>
      </c>
      <c r="K669" s="6">
        <v>0</v>
      </c>
      <c r="L669">
        <v>10000</v>
      </c>
      <c r="M669">
        <v>0.235736473754768</v>
      </c>
    </row>
    <row r="670" spans="1:13" x14ac:dyDescent="0.25">
      <c r="A670">
        <v>2468</v>
      </c>
      <c r="B670" t="str">
        <f>"FAM129B"</f>
        <v>FAM129B</v>
      </c>
      <c r="C670" t="str">
        <f>""</f>
        <v/>
      </c>
      <c r="D670">
        <v>82.682000000000002</v>
      </c>
      <c r="E670">
        <v>2.7</v>
      </c>
      <c r="F670">
        <v>0</v>
      </c>
      <c r="G670">
        <v>2</v>
      </c>
      <c r="H670">
        <v>0</v>
      </c>
      <c r="I670" s="7">
        <v>0</v>
      </c>
      <c r="J670" s="6">
        <v>1.1624247910121901</v>
      </c>
      <c r="K670" s="6">
        <v>0</v>
      </c>
      <c r="L670">
        <v>10000</v>
      </c>
      <c r="M670">
        <v>0.235736473754768</v>
      </c>
    </row>
    <row r="671" spans="1:13" x14ac:dyDescent="0.25">
      <c r="A671">
        <v>2536</v>
      </c>
      <c r="B671" t="str">
        <f>"PELO"</f>
        <v>PELO</v>
      </c>
      <c r="C671" t="str">
        <f>""</f>
        <v/>
      </c>
      <c r="D671">
        <v>43.359000000000002</v>
      </c>
      <c r="E671">
        <v>5.2</v>
      </c>
      <c r="F671">
        <v>0</v>
      </c>
      <c r="G671">
        <v>2</v>
      </c>
      <c r="H671">
        <v>0</v>
      </c>
      <c r="I671" s="7">
        <v>0</v>
      </c>
      <c r="J671" s="6">
        <v>1.1624247910121901</v>
      </c>
      <c r="K671" s="6">
        <v>0</v>
      </c>
      <c r="L671">
        <v>10000</v>
      </c>
      <c r="M671">
        <v>0.235736473754768</v>
      </c>
    </row>
    <row r="672" spans="1:13" x14ac:dyDescent="0.25">
      <c r="A672">
        <v>2562</v>
      </c>
      <c r="B672" t="str">
        <f>"MRI1"</f>
        <v>MRI1</v>
      </c>
      <c r="C672" t="str">
        <f>""</f>
        <v/>
      </c>
      <c r="D672">
        <v>34.529000000000003</v>
      </c>
      <c r="E672">
        <v>11.5</v>
      </c>
      <c r="F672">
        <v>0</v>
      </c>
      <c r="G672">
        <v>2</v>
      </c>
      <c r="H672">
        <v>0</v>
      </c>
      <c r="I672" s="7">
        <v>0</v>
      </c>
      <c r="J672" s="6">
        <v>1.1624247910121901</v>
      </c>
      <c r="K672" s="6">
        <v>0</v>
      </c>
      <c r="L672">
        <v>10000</v>
      </c>
      <c r="M672">
        <v>0.235736473754768</v>
      </c>
    </row>
    <row r="673" spans="1:13" x14ac:dyDescent="0.25">
      <c r="A673">
        <v>2740</v>
      </c>
      <c r="B673" t="str">
        <f>"CHD8"</f>
        <v>CHD8</v>
      </c>
      <c r="C673" t="str">
        <f>""</f>
        <v/>
      </c>
      <c r="D673">
        <v>262.33999999999997</v>
      </c>
      <c r="E673">
        <v>2.9</v>
      </c>
      <c r="F673">
        <v>0</v>
      </c>
      <c r="G673">
        <v>2</v>
      </c>
      <c r="H673">
        <v>0</v>
      </c>
      <c r="I673" s="7">
        <v>0</v>
      </c>
      <c r="J673" s="6">
        <v>1.1624247910121901</v>
      </c>
      <c r="K673" s="6">
        <v>0</v>
      </c>
      <c r="L673">
        <v>10000</v>
      </c>
      <c r="M673">
        <v>0.235736473754768</v>
      </c>
    </row>
    <row r="674" spans="1:13" x14ac:dyDescent="0.25">
      <c r="A674">
        <v>2798</v>
      </c>
      <c r="B674" t="str">
        <f>"IARS2"</f>
        <v>IARS2</v>
      </c>
      <c r="C674" t="str">
        <f>""</f>
        <v/>
      </c>
      <c r="D674">
        <v>113.79</v>
      </c>
      <c r="E674">
        <v>4.7</v>
      </c>
      <c r="F674">
        <v>0</v>
      </c>
      <c r="G674">
        <v>2</v>
      </c>
      <c r="H674">
        <v>0</v>
      </c>
      <c r="I674" s="7">
        <v>0</v>
      </c>
      <c r="J674" s="6">
        <v>1.1624247910121901</v>
      </c>
      <c r="K674" s="6">
        <v>0</v>
      </c>
      <c r="L674">
        <v>10000</v>
      </c>
      <c r="M674">
        <v>0.235736473754768</v>
      </c>
    </row>
    <row r="675" spans="1:13" x14ac:dyDescent="0.25">
      <c r="A675">
        <v>2813</v>
      </c>
      <c r="B675" t="str">
        <f>"UFSP2"</f>
        <v>UFSP2</v>
      </c>
      <c r="C675" t="str">
        <f>""</f>
        <v/>
      </c>
      <c r="D675">
        <v>53.261000000000003</v>
      </c>
      <c r="E675">
        <v>3.2</v>
      </c>
      <c r="F675">
        <v>0</v>
      </c>
      <c r="G675">
        <v>2</v>
      </c>
      <c r="H675">
        <v>0</v>
      </c>
      <c r="I675" s="7">
        <v>0</v>
      </c>
      <c r="J675" s="6">
        <v>1.1624247910121901</v>
      </c>
      <c r="K675" s="6">
        <v>0</v>
      </c>
      <c r="L675">
        <v>10000</v>
      </c>
      <c r="M675">
        <v>0.235736473754768</v>
      </c>
    </row>
    <row r="676" spans="1:13" x14ac:dyDescent="0.25">
      <c r="A676">
        <v>2818</v>
      </c>
      <c r="B676" t="str">
        <f>"NUDT15"</f>
        <v>NUDT15</v>
      </c>
      <c r="C676" t="str">
        <f>""</f>
        <v/>
      </c>
      <c r="D676">
        <v>18.609000000000002</v>
      </c>
      <c r="E676">
        <v>7.3</v>
      </c>
      <c r="F676">
        <v>0</v>
      </c>
      <c r="G676">
        <v>2</v>
      </c>
      <c r="H676">
        <v>0</v>
      </c>
      <c r="I676" s="7">
        <v>0</v>
      </c>
      <c r="J676" s="6">
        <v>1.1624247910121901</v>
      </c>
      <c r="K676" s="6">
        <v>0</v>
      </c>
      <c r="L676">
        <v>10000</v>
      </c>
      <c r="M676">
        <v>0.235736473754768</v>
      </c>
    </row>
    <row r="677" spans="1:13" x14ac:dyDescent="0.25">
      <c r="A677">
        <v>2913</v>
      </c>
      <c r="B677" t="str">
        <f>"EPS15L1"</f>
        <v>EPS15L1</v>
      </c>
      <c r="C677" t="str">
        <f>""</f>
        <v/>
      </c>
      <c r="D677">
        <v>83.247</v>
      </c>
      <c r="E677">
        <v>3.7</v>
      </c>
      <c r="F677">
        <v>0</v>
      </c>
      <c r="G677">
        <v>2</v>
      </c>
      <c r="H677">
        <v>0</v>
      </c>
      <c r="I677" s="7">
        <v>0</v>
      </c>
      <c r="J677" s="6">
        <v>1.1624247910121901</v>
      </c>
      <c r="K677" s="6">
        <v>0</v>
      </c>
      <c r="L677">
        <v>10000</v>
      </c>
      <c r="M677">
        <v>0.235736473754768</v>
      </c>
    </row>
    <row r="678" spans="1:13" x14ac:dyDescent="0.25">
      <c r="A678">
        <v>3061</v>
      </c>
      <c r="B678" t="str">
        <f>"LAMTOR2"</f>
        <v>LAMTOR2</v>
      </c>
      <c r="C678" t="str">
        <f>""</f>
        <v/>
      </c>
      <c r="D678">
        <v>13.507</v>
      </c>
      <c r="E678">
        <v>16.8</v>
      </c>
      <c r="F678">
        <v>0</v>
      </c>
      <c r="G678">
        <v>2</v>
      </c>
      <c r="H678">
        <v>0</v>
      </c>
      <c r="I678" s="7">
        <v>0</v>
      </c>
      <c r="J678" s="6">
        <v>1.1624247910121901</v>
      </c>
      <c r="K678" s="6">
        <v>0</v>
      </c>
      <c r="L678">
        <v>10000</v>
      </c>
      <c r="M678">
        <v>0.235736473754768</v>
      </c>
    </row>
    <row r="679" spans="1:13" x14ac:dyDescent="0.25">
      <c r="A679">
        <v>3143</v>
      </c>
      <c r="B679" t="str">
        <f>"NCOR2"</f>
        <v>NCOR2</v>
      </c>
      <c r="C679" t="str">
        <f>""</f>
        <v/>
      </c>
      <c r="D679">
        <v>267.20999999999998</v>
      </c>
      <c r="E679">
        <v>1.2</v>
      </c>
      <c r="F679">
        <v>0</v>
      </c>
      <c r="G679">
        <v>2</v>
      </c>
      <c r="H679">
        <v>0</v>
      </c>
      <c r="I679" s="7">
        <v>0</v>
      </c>
      <c r="J679" s="6">
        <v>1.1624247910121901</v>
      </c>
      <c r="K679" s="6">
        <v>0</v>
      </c>
      <c r="L679">
        <v>10000</v>
      </c>
      <c r="M679">
        <v>0.235736473754768</v>
      </c>
    </row>
    <row r="680" spans="1:13" x14ac:dyDescent="0.25">
      <c r="A680">
        <v>162</v>
      </c>
      <c r="B680" t="str">
        <f>"SPTBN2"</f>
        <v>SPTBN2</v>
      </c>
      <c r="C680" t="str">
        <f>""</f>
        <v/>
      </c>
      <c r="D680">
        <v>268.31</v>
      </c>
      <c r="E680">
        <v>2.8</v>
      </c>
      <c r="F680">
        <v>7</v>
      </c>
      <c r="G680">
        <v>5</v>
      </c>
      <c r="H680">
        <v>2</v>
      </c>
      <c r="I680" s="7">
        <v>3.9258226937601099</v>
      </c>
      <c r="J680" s="6">
        <v>2.9060619775304799</v>
      </c>
      <c r="K680" s="6">
        <v>1.20696041574525</v>
      </c>
      <c r="L680">
        <v>-1.9089721953268901</v>
      </c>
      <c r="M680">
        <v>0.23797844718591901</v>
      </c>
    </row>
    <row r="681" spans="1:13" x14ac:dyDescent="0.25">
      <c r="A681">
        <v>1224</v>
      </c>
      <c r="B681" t="str">
        <f>"NAPA"</f>
        <v>NAPA</v>
      </c>
      <c r="C681" t="str">
        <f>""</f>
        <v/>
      </c>
      <c r="D681">
        <v>33.231999999999999</v>
      </c>
      <c r="E681">
        <v>25.8</v>
      </c>
      <c r="F681">
        <v>7</v>
      </c>
      <c r="G681">
        <v>4</v>
      </c>
      <c r="H681">
        <v>3</v>
      </c>
      <c r="I681" s="7">
        <v>3.9258226937601099</v>
      </c>
      <c r="J681" s="6">
        <v>2.32484958202439</v>
      </c>
      <c r="K681" s="6">
        <v>1.8104406236178701</v>
      </c>
      <c r="L681">
        <v>-1.8986927149169199</v>
      </c>
      <c r="M681">
        <v>0.23844885097632201</v>
      </c>
    </row>
    <row r="682" spans="1:13" x14ac:dyDescent="0.25">
      <c r="A682">
        <v>2234</v>
      </c>
      <c r="B682" t="str">
        <f>"ZC3H15"</f>
        <v>ZC3H15</v>
      </c>
      <c r="C682" t="str">
        <f>""</f>
        <v/>
      </c>
      <c r="D682">
        <v>48.601999999999997</v>
      </c>
      <c r="E682">
        <v>8.1999999999999993</v>
      </c>
      <c r="F682">
        <v>7</v>
      </c>
      <c r="G682">
        <v>4</v>
      </c>
      <c r="H682">
        <v>3</v>
      </c>
      <c r="I682" s="7">
        <v>3.9258226937601099</v>
      </c>
      <c r="J682" s="6">
        <v>2.32484958202439</v>
      </c>
      <c r="K682" s="6">
        <v>1.8104406236178701</v>
      </c>
      <c r="L682">
        <v>-1.8986927149169199</v>
      </c>
      <c r="M682">
        <v>0.23844885097632201</v>
      </c>
    </row>
    <row r="683" spans="1:13" x14ac:dyDescent="0.25">
      <c r="A683">
        <v>637</v>
      </c>
      <c r="B683" t="str">
        <f>"HSPA8"</f>
        <v>HSPA8</v>
      </c>
      <c r="C683" t="str">
        <f>""</f>
        <v/>
      </c>
      <c r="D683">
        <v>70.897000000000006</v>
      </c>
      <c r="E683">
        <v>23.1</v>
      </c>
      <c r="F683">
        <v>80</v>
      </c>
      <c r="G683">
        <v>63</v>
      </c>
      <c r="H683">
        <v>65</v>
      </c>
      <c r="I683" s="7">
        <v>44.866545071544202</v>
      </c>
      <c r="J683" s="6">
        <v>36.616380916884097</v>
      </c>
      <c r="K683" s="6">
        <v>39.226213511720502</v>
      </c>
      <c r="L683">
        <v>-1.1831490051089899</v>
      </c>
      <c r="M683">
        <v>0.240532345367477</v>
      </c>
    </row>
    <row r="684" spans="1:13" x14ac:dyDescent="0.25">
      <c r="A684">
        <v>703</v>
      </c>
      <c r="B684" t="str">
        <f>"AKR1B1"</f>
        <v>AKR1B1</v>
      </c>
      <c r="C684" t="str">
        <f>""</f>
        <v/>
      </c>
      <c r="D684">
        <v>35.853000000000002</v>
      </c>
      <c r="E684">
        <v>15.2</v>
      </c>
      <c r="F684">
        <v>8</v>
      </c>
      <c r="G684">
        <v>14</v>
      </c>
      <c r="H684">
        <v>10</v>
      </c>
      <c r="I684" s="7">
        <v>4.4866545071544204</v>
      </c>
      <c r="J684" s="6">
        <v>8.1369735370853498</v>
      </c>
      <c r="K684" s="6">
        <v>6.03480207872623</v>
      </c>
      <c r="L684">
        <v>1.5793254855275001</v>
      </c>
      <c r="M684">
        <v>0.24566379997691601</v>
      </c>
    </row>
    <row r="685" spans="1:13" x14ac:dyDescent="0.25">
      <c r="A685">
        <v>919</v>
      </c>
      <c r="B685" t="str">
        <f>"STIP1"</f>
        <v>STIP1</v>
      </c>
      <c r="C685" t="str">
        <f>""</f>
        <v/>
      </c>
      <c r="D685">
        <v>62.639000000000003</v>
      </c>
      <c r="E685">
        <v>22.1</v>
      </c>
      <c r="F685">
        <v>8</v>
      </c>
      <c r="G685">
        <v>14</v>
      </c>
      <c r="H685">
        <v>10</v>
      </c>
      <c r="I685" s="7">
        <v>4.4866545071544204</v>
      </c>
      <c r="J685" s="6">
        <v>8.1369735370853498</v>
      </c>
      <c r="K685" s="6">
        <v>6.03480207872623</v>
      </c>
      <c r="L685">
        <v>1.5793254855275001</v>
      </c>
      <c r="M685">
        <v>0.24566379997691601</v>
      </c>
    </row>
    <row r="686" spans="1:13" x14ac:dyDescent="0.25">
      <c r="A686">
        <v>641</v>
      </c>
      <c r="B686" t="str">
        <f>"PYGB"</f>
        <v>PYGB</v>
      </c>
      <c r="C686" t="str">
        <f>""</f>
        <v/>
      </c>
      <c r="D686">
        <v>96.694999999999993</v>
      </c>
      <c r="E686">
        <v>7.5</v>
      </c>
      <c r="F686">
        <v>0</v>
      </c>
      <c r="G686">
        <v>0</v>
      </c>
      <c r="H686">
        <v>2</v>
      </c>
      <c r="I686" s="7">
        <v>0</v>
      </c>
      <c r="J686" s="6">
        <v>0</v>
      </c>
      <c r="K686" s="6">
        <v>1.20696041574525</v>
      </c>
      <c r="L686">
        <v>10000</v>
      </c>
      <c r="M686">
        <v>0.24757322785479399</v>
      </c>
    </row>
    <row r="687" spans="1:13" x14ac:dyDescent="0.25">
      <c r="A687">
        <v>184</v>
      </c>
      <c r="B687" t="str">
        <f>"SPTLC2"</f>
        <v>SPTLC2</v>
      </c>
      <c r="C687" t="str">
        <f>""</f>
        <v/>
      </c>
      <c r="D687">
        <v>62.923999999999999</v>
      </c>
      <c r="E687">
        <v>2</v>
      </c>
      <c r="F687">
        <v>0</v>
      </c>
      <c r="G687">
        <v>0</v>
      </c>
      <c r="H687">
        <v>2</v>
      </c>
      <c r="I687" s="7">
        <v>0</v>
      </c>
      <c r="J687" s="6">
        <v>0</v>
      </c>
      <c r="K687" s="6">
        <v>1.20696041574525</v>
      </c>
      <c r="L687">
        <v>10000</v>
      </c>
      <c r="M687">
        <v>0.24757322785479399</v>
      </c>
    </row>
    <row r="688" spans="1:13" x14ac:dyDescent="0.25">
      <c r="A688">
        <v>350</v>
      </c>
      <c r="B688" t="str">
        <f>"AP1G2"</f>
        <v>AP1G2</v>
      </c>
      <c r="C688" t="str">
        <f>""</f>
        <v/>
      </c>
      <c r="D688">
        <v>87.116</v>
      </c>
      <c r="E688">
        <v>1.1000000000000001</v>
      </c>
      <c r="F688">
        <v>0</v>
      </c>
      <c r="G688">
        <v>0</v>
      </c>
      <c r="H688">
        <v>2</v>
      </c>
      <c r="I688" s="7">
        <v>0</v>
      </c>
      <c r="J688" s="6">
        <v>0</v>
      </c>
      <c r="K688" s="6">
        <v>1.20696041574525</v>
      </c>
      <c r="L688">
        <v>10000</v>
      </c>
      <c r="M688">
        <v>0.24757322785479399</v>
      </c>
    </row>
    <row r="689" spans="1:13" x14ac:dyDescent="0.25">
      <c r="A689">
        <v>448</v>
      </c>
      <c r="B689" t="str">
        <f>"AK1"</f>
        <v>AK1</v>
      </c>
      <c r="C689" t="str">
        <f>""</f>
        <v/>
      </c>
      <c r="D689">
        <v>21.635000000000002</v>
      </c>
      <c r="E689">
        <v>6.2</v>
      </c>
      <c r="F689">
        <v>0</v>
      </c>
      <c r="G689">
        <v>0</v>
      </c>
      <c r="H689">
        <v>2</v>
      </c>
      <c r="I689" s="7">
        <v>0</v>
      </c>
      <c r="J689" s="6">
        <v>0</v>
      </c>
      <c r="K689" s="6">
        <v>1.20696041574525</v>
      </c>
      <c r="L689">
        <v>10000</v>
      </c>
      <c r="M689">
        <v>0.24757322785479399</v>
      </c>
    </row>
    <row r="690" spans="1:13" x14ac:dyDescent="0.25">
      <c r="A690">
        <v>1025</v>
      </c>
      <c r="B690" t="str">
        <f>"HELZ"</f>
        <v>HELZ</v>
      </c>
      <c r="C690" t="str">
        <f>""</f>
        <v/>
      </c>
      <c r="D690">
        <v>133.06</v>
      </c>
      <c r="E690">
        <v>1.7</v>
      </c>
      <c r="F690">
        <v>0</v>
      </c>
      <c r="G690">
        <v>0</v>
      </c>
      <c r="H690">
        <v>2</v>
      </c>
      <c r="I690" s="7">
        <v>0</v>
      </c>
      <c r="J690" s="6">
        <v>0</v>
      </c>
      <c r="K690" s="6">
        <v>1.20696041574525</v>
      </c>
      <c r="L690">
        <v>10000</v>
      </c>
      <c r="M690">
        <v>0.24757322785479399</v>
      </c>
    </row>
    <row r="691" spans="1:13" x14ac:dyDescent="0.25">
      <c r="A691">
        <v>1196</v>
      </c>
      <c r="B691" t="str">
        <f>"PPP5C"</f>
        <v>PPP5C</v>
      </c>
      <c r="C691" t="str">
        <f>""</f>
        <v/>
      </c>
      <c r="D691">
        <v>56.878</v>
      </c>
      <c r="E691">
        <v>7.6</v>
      </c>
      <c r="F691">
        <v>0</v>
      </c>
      <c r="G691">
        <v>0</v>
      </c>
      <c r="H691">
        <v>2</v>
      </c>
      <c r="I691" s="7">
        <v>0</v>
      </c>
      <c r="J691" s="6">
        <v>0</v>
      </c>
      <c r="K691" s="6">
        <v>1.20696041574525</v>
      </c>
      <c r="L691">
        <v>10000</v>
      </c>
      <c r="M691">
        <v>0.24757322785479399</v>
      </c>
    </row>
    <row r="692" spans="1:13" x14ac:dyDescent="0.25">
      <c r="A692">
        <v>1685</v>
      </c>
      <c r="B692" t="str">
        <f>"WTAP"</f>
        <v>WTAP</v>
      </c>
      <c r="C692" t="str">
        <f>""</f>
        <v/>
      </c>
      <c r="D692">
        <v>44.243000000000002</v>
      </c>
      <c r="E692">
        <v>2.8</v>
      </c>
      <c r="F692">
        <v>0</v>
      </c>
      <c r="G692">
        <v>0</v>
      </c>
      <c r="H692">
        <v>2</v>
      </c>
      <c r="I692" s="7">
        <v>0</v>
      </c>
      <c r="J692" s="6">
        <v>0</v>
      </c>
      <c r="K692" s="6">
        <v>1.20696041574525</v>
      </c>
      <c r="L692">
        <v>10000</v>
      </c>
      <c r="M692">
        <v>0.24757322785479399</v>
      </c>
    </row>
    <row r="693" spans="1:13" x14ac:dyDescent="0.25">
      <c r="A693">
        <v>1860</v>
      </c>
      <c r="B693" t="str">
        <f>"IBA57"</f>
        <v>IBA57</v>
      </c>
      <c r="C693" t="str">
        <f>""</f>
        <v/>
      </c>
      <c r="D693">
        <v>38.155000000000001</v>
      </c>
      <c r="E693">
        <v>6.2</v>
      </c>
      <c r="F693">
        <v>0</v>
      </c>
      <c r="G693">
        <v>0</v>
      </c>
      <c r="H693">
        <v>2</v>
      </c>
      <c r="I693" s="7">
        <v>0</v>
      </c>
      <c r="J693" s="6">
        <v>0</v>
      </c>
      <c r="K693" s="6">
        <v>1.20696041574525</v>
      </c>
      <c r="L693">
        <v>10000</v>
      </c>
      <c r="M693">
        <v>0.24757322785479399</v>
      </c>
    </row>
    <row r="694" spans="1:13" x14ac:dyDescent="0.25">
      <c r="A694">
        <v>1960</v>
      </c>
      <c r="B694" t="str">
        <f>"UQCC3"</f>
        <v>UQCC3</v>
      </c>
      <c r="C694" t="str">
        <f>""</f>
        <v/>
      </c>
      <c r="D694">
        <v>10.081</v>
      </c>
      <c r="E694">
        <v>14</v>
      </c>
      <c r="F694">
        <v>0</v>
      </c>
      <c r="G694">
        <v>0</v>
      </c>
      <c r="H694">
        <v>2</v>
      </c>
      <c r="I694" s="7">
        <v>0</v>
      </c>
      <c r="J694" s="6">
        <v>0</v>
      </c>
      <c r="K694" s="6">
        <v>1.20696041574525</v>
      </c>
      <c r="L694">
        <v>10000</v>
      </c>
      <c r="M694">
        <v>0.24757322785479399</v>
      </c>
    </row>
    <row r="695" spans="1:13" x14ac:dyDescent="0.25">
      <c r="A695">
        <v>2127</v>
      </c>
      <c r="B695" t="str">
        <f>"VPS52"</f>
        <v>VPS52</v>
      </c>
      <c r="C695" t="str">
        <f>""</f>
        <v/>
      </c>
      <c r="D695">
        <v>82.22</v>
      </c>
      <c r="E695">
        <v>7.2</v>
      </c>
      <c r="F695">
        <v>0</v>
      </c>
      <c r="G695">
        <v>0</v>
      </c>
      <c r="H695">
        <v>2</v>
      </c>
      <c r="I695" s="7">
        <v>0</v>
      </c>
      <c r="J695" s="6">
        <v>0</v>
      </c>
      <c r="K695" s="6">
        <v>1.20696041574525</v>
      </c>
      <c r="L695">
        <v>10000</v>
      </c>
      <c r="M695">
        <v>0.24757322785479399</v>
      </c>
    </row>
    <row r="696" spans="1:13" x14ac:dyDescent="0.25">
      <c r="A696">
        <v>2175</v>
      </c>
      <c r="B696" t="str">
        <f>"NECAP1"</f>
        <v>NECAP1</v>
      </c>
      <c r="C696" t="str">
        <f>""</f>
        <v/>
      </c>
      <c r="D696">
        <v>29.736999999999998</v>
      </c>
      <c r="E696">
        <v>11.6</v>
      </c>
      <c r="F696">
        <v>0</v>
      </c>
      <c r="G696">
        <v>0</v>
      </c>
      <c r="H696">
        <v>2</v>
      </c>
      <c r="I696" s="7">
        <v>0</v>
      </c>
      <c r="J696" s="6">
        <v>0</v>
      </c>
      <c r="K696" s="6">
        <v>1.20696041574525</v>
      </c>
      <c r="L696">
        <v>10000</v>
      </c>
      <c r="M696">
        <v>0.24757322785479399</v>
      </c>
    </row>
    <row r="697" spans="1:13" x14ac:dyDescent="0.25">
      <c r="A697">
        <v>2430</v>
      </c>
      <c r="B697" t="str">
        <f>"WDR92"</f>
        <v>WDR92</v>
      </c>
      <c r="C697" t="str">
        <f>""</f>
        <v/>
      </c>
      <c r="D697">
        <v>39.74</v>
      </c>
      <c r="E697">
        <v>5.9</v>
      </c>
      <c r="F697">
        <v>0</v>
      </c>
      <c r="G697">
        <v>0</v>
      </c>
      <c r="H697">
        <v>2</v>
      </c>
      <c r="I697" s="7">
        <v>0</v>
      </c>
      <c r="J697" s="6">
        <v>0</v>
      </c>
      <c r="K697" s="6">
        <v>1.20696041574525</v>
      </c>
      <c r="L697">
        <v>10000</v>
      </c>
      <c r="M697">
        <v>0.24757322785479399</v>
      </c>
    </row>
    <row r="698" spans="1:13" x14ac:dyDescent="0.25">
      <c r="A698">
        <v>2672</v>
      </c>
      <c r="B698" t="str">
        <f>"MFSD1"</f>
        <v>MFSD1</v>
      </c>
      <c r="C698" t="str">
        <f>""</f>
        <v/>
      </c>
      <c r="D698">
        <v>8.4575999999999993</v>
      </c>
      <c r="E698">
        <v>15.4</v>
      </c>
      <c r="F698">
        <v>0</v>
      </c>
      <c r="G698">
        <v>0</v>
      </c>
      <c r="H698">
        <v>2</v>
      </c>
      <c r="I698" s="7">
        <v>0</v>
      </c>
      <c r="J698" s="6">
        <v>0</v>
      </c>
      <c r="K698" s="6">
        <v>1.20696041574525</v>
      </c>
      <c r="L698">
        <v>10000</v>
      </c>
      <c r="M698">
        <v>0.24757322785479399</v>
      </c>
    </row>
    <row r="699" spans="1:13" x14ac:dyDescent="0.25">
      <c r="A699">
        <v>2822</v>
      </c>
      <c r="B699" t="str">
        <f>"SEPT11"</f>
        <v>SEPT11</v>
      </c>
      <c r="C699" t="str">
        <f>""</f>
        <v/>
      </c>
      <c r="D699">
        <v>49.398000000000003</v>
      </c>
      <c r="E699">
        <v>4.4000000000000004</v>
      </c>
      <c r="F699">
        <v>0</v>
      </c>
      <c r="G699">
        <v>0</v>
      </c>
      <c r="H699">
        <v>2</v>
      </c>
      <c r="I699" s="7">
        <v>0</v>
      </c>
      <c r="J699" s="6">
        <v>0</v>
      </c>
      <c r="K699" s="6">
        <v>1.20696041574525</v>
      </c>
      <c r="L699">
        <v>10000</v>
      </c>
      <c r="M699">
        <v>0.24757322785479399</v>
      </c>
    </row>
    <row r="700" spans="1:13" x14ac:dyDescent="0.25">
      <c r="A700">
        <v>2881</v>
      </c>
      <c r="B700" t="str">
        <f>"NDUFAF4"</f>
        <v>NDUFAF4</v>
      </c>
      <c r="C700" t="str">
        <f>""</f>
        <v/>
      </c>
      <c r="D700">
        <v>20.265999999999998</v>
      </c>
      <c r="E700">
        <v>8</v>
      </c>
      <c r="F700">
        <v>0</v>
      </c>
      <c r="G700">
        <v>0</v>
      </c>
      <c r="H700">
        <v>2</v>
      </c>
      <c r="I700" s="7">
        <v>0</v>
      </c>
      <c r="J700" s="6">
        <v>0</v>
      </c>
      <c r="K700" s="6">
        <v>1.20696041574525</v>
      </c>
      <c r="L700">
        <v>10000</v>
      </c>
      <c r="M700">
        <v>0.24757322785479399</v>
      </c>
    </row>
    <row r="701" spans="1:13" x14ac:dyDescent="0.25">
      <c r="A701">
        <v>2892</v>
      </c>
      <c r="B701" t="str">
        <f>"CAMSAP3"</f>
        <v>CAMSAP3</v>
      </c>
      <c r="C701" t="str">
        <f>""</f>
        <v/>
      </c>
      <c r="D701">
        <v>134.75</v>
      </c>
      <c r="E701">
        <v>1.4</v>
      </c>
      <c r="F701">
        <v>0</v>
      </c>
      <c r="G701">
        <v>0</v>
      </c>
      <c r="H701">
        <v>2</v>
      </c>
      <c r="I701" s="7">
        <v>0</v>
      </c>
      <c r="J701" s="6">
        <v>0</v>
      </c>
      <c r="K701" s="6">
        <v>1.20696041574525</v>
      </c>
      <c r="L701">
        <v>10000</v>
      </c>
      <c r="M701">
        <v>0.24757322785479399</v>
      </c>
    </row>
    <row r="702" spans="1:13" x14ac:dyDescent="0.25">
      <c r="A702">
        <v>2968</v>
      </c>
      <c r="B702" t="str">
        <f>"ANAPC7"</f>
        <v>ANAPC7</v>
      </c>
      <c r="C702" t="str">
        <f>""</f>
        <v/>
      </c>
      <c r="D702">
        <v>60.002000000000002</v>
      </c>
      <c r="E702">
        <v>6.5</v>
      </c>
      <c r="F702">
        <v>0</v>
      </c>
      <c r="G702">
        <v>0</v>
      </c>
      <c r="H702">
        <v>2</v>
      </c>
      <c r="I702" s="7">
        <v>0</v>
      </c>
      <c r="J702" s="6">
        <v>0</v>
      </c>
      <c r="K702" s="6">
        <v>1.20696041574525</v>
      </c>
      <c r="L702">
        <v>10000</v>
      </c>
      <c r="M702">
        <v>0.24757322785479399</v>
      </c>
    </row>
    <row r="703" spans="1:13" x14ac:dyDescent="0.25">
      <c r="A703">
        <v>3030</v>
      </c>
      <c r="B703" t="str">
        <f>"DICER1"</f>
        <v>DICER1</v>
      </c>
      <c r="C703" t="str">
        <f>""</f>
        <v/>
      </c>
      <c r="D703">
        <v>218.68</v>
      </c>
      <c r="E703">
        <v>2.2999999999999998</v>
      </c>
      <c r="F703">
        <v>0</v>
      </c>
      <c r="G703">
        <v>0</v>
      </c>
      <c r="H703">
        <v>2</v>
      </c>
      <c r="I703" s="7">
        <v>0</v>
      </c>
      <c r="J703" s="6">
        <v>0</v>
      </c>
      <c r="K703" s="6">
        <v>1.20696041574525</v>
      </c>
      <c r="L703">
        <v>10000</v>
      </c>
      <c r="M703">
        <v>0.24757322785479399</v>
      </c>
    </row>
    <row r="704" spans="1:13" x14ac:dyDescent="0.25">
      <c r="A704">
        <v>3048</v>
      </c>
      <c r="B704" t="str">
        <f>"MRPS33"</f>
        <v>MRPS33</v>
      </c>
      <c r="C704" t="str">
        <f>""</f>
        <v/>
      </c>
      <c r="D704">
        <v>12.629</v>
      </c>
      <c r="E704">
        <v>19.8</v>
      </c>
      <c r="F704">
        <v>0</v>
      </c>
      <c r="G704">
        <v>0</v>
      </c>
      <c r="H704">
        <v>2</v>
      </c>
      <c r="I704" s="7">
        <v>0</v>
      </c>
      <c r="J704" s="6">
        <v>0</v>
      </c>
      <c r="K704" s="6">
        <v>1.20696041574525</v>
      </c>
      <c r="L704">
        <v>10000</v>
      </c>
      <c r="M704">
        <v>0.24757322785479399</v>
      </c>
    </row>
    <row r="705" spans="1:13" x14ac:dyDescent="0.25">
      <c r="A705">
        <v>541</v>
      </c>
      <c r="B705" t="str">
        <f>"ITGB1"</f>
        <v>ITGB1</v>
      </c>
      <c r="C705" t="str">
        <f>""</f>
        <v/>
      </c>
      <c r="D705">
        <v>87.444999999999993</v>
      </c>
      <c r="E705">
        <v>4.5999999999999996</v>
      </c>
      <c r="F705">
        <v>3</v>
      </c>
      <c r="G705">
        <v>2</v>
      </c>
      <c r="H705">
        <v>0</v>
      </c>
      <c r="I705" s="7">
        <v>1.68249544018291</v>
      </c>
      <c r="J705" s="6">
        <v>1.1624247910121901</v>
      </c>
      <c r="K705" s="6">
        <v>0</v>
      </c>
      <c r="L705">
        <v>-2.8948030929688899</v>
      </c>
      <c r="M705">
        <v>0.24796919919629001</v>
      </c>
    </row>
    <row r="706" spans="1:13" x14ac:dyDescent="0.25">
      <c r="A706">
        <v>690</v>
      </c>
      <c r="B706" t="str">
        <f>"PRKCSH"</f>
        <v>PRKCSH</v>
      </c>
      <c r="C706" t="str">
        <f>""</f>
        <v/>
      </c>
      <c r="D706">
        <v>59.177</v>
      </c>
      <c r="E706">
        <v>2.2999999999999998</v>
      </c>
      <c r="F706">
        <v>3</v>
      </c>
      <c r="G706">
        <v>2</v>
      </c>
      <c r="H706">
        <v>0</v>
      </c>
      <c r="I706" s="7">
        <v>1.68249544018291</v>
      </c>
      <c r="J706" s="6">
        <v>1.1624247910121901</v>
      </c>
      <c r="K706" s="6">
        <v>0</v>
      </c>
      <c r="L706">
        <v>-2.8948030929688899</v>
      </c>
      <c r="M706">
        <v>0.24796919919629001</v>
      </c>
    </row>
    <row r="707" spans="1:13" x14ac:dyDescent="0.25">
      <c r="A707">
        <v>1372</v>
      </c>
      <c r="B707" t="str">
        <f>"IGBP1"</f>
        <v>IGBP1</v>
      </c>
      <c r="C707" t="str">
        <f>""</f>
        <v/>
      </c>
      <c r="D707">
        <v>39.220999999999997</v>
      </c>
      <c r="E707">
        <v>6.2</v>
      </c>
      <c r="F707">
        <v>3</v>
      </c>
      <c r="G707">
        <v>2</v>
      </c>
      <c r="H707">
        <v>0</v>
      </c>
      <c r="I707" s="7">
        <v>1.68249544018291</v>
      </c>
      <c r="J707" s="6">
        <v>1.1624247910121901</v>
      </c>
      <c r="K707" s="6">
        <v>0</v>
      </c>
      <c r="L707">
        <v>-2.8948030929688899</v>
      </c>
      <c r="M707">
        <v>0.24796919919629001</v>
      </c>
    </row>
    <row r="708" spans="1:13" x14ac:dyDescent="0.25">
      <c r="A708">
        <v>2754</v>
      </c>
      <c r="B708" t="str">
        <f>"EXOSC4"</f>
        <v>EXOSC4</v>
      </c>
      <c r="C708" t="str">
        <f>""</f>
        <v/>
      </c>
      <c r="D708">
        <v>26.382999999999999</v>
      </c>
      <c r="E708">
        <v>15.1</v>
      </c>
      <c r="F708">
        <v>3</v>
      </c>
      <c r="G708">
        <v>0</v>
      </c>
      <c r="H708">
        <v>2</v>
      </c>
      <c r="I708" s="7">
        <v>1.68249544018291</v>
      </c>
      <c r="J708" s="6">
        <v>0</v>
      </c>
      <c r="K708" s="6">
        <v>1.20696041574525</v>
      </c>
      <c r="L708">
        <v>-2.78798777198346</v>
      </c>
      <c r="M708">
        <v>0.247969215036457</v>
      </c>
    </row>
    <row r="709" spans="1:13" x14ac:dyDescent="0.25">
      <c r="A709">
        <v>48</v>
      </c>
      <c r="B709" t="str">
        <f>"KRT8"</f>
        <v>KRT8</v>
      </c>
      <c r="C709" t="str">
        <f>""</f>
        <v/>
      </c>
      <c r="D709">
        <v>53.704000000000001</v>
      </c>
      <c r="E709">
        <v>9.9</v>
      </c>
      <c r="F709">
        <v>3</v>
      </c>
      <c r="G709">
        <v>0</v>
      </c>
      <c r="H709">
        <v>2</v>
      </c>
      <c r="I709" s="7">
        <v>1.68249544018291</v>
      </c>
      <c r="J709" s="6">
        <v>0</v>
      </c>
      <c r="K709" s="6">
        <v>1.20696041574525</v>
      </c>
      <c r="L709">
        <v>-2.78798777198346</v>
      </c>
      <c r="M709">
        <v>0.247969215036457</v>
      </c>
    </row>
    <row r="710" spans="1:13" x14ac:dyDescent="0.25">
      <c r="A710">
        <v>678</v>
      </c>
      <c r="B710" t="str">
        <f>"ALAD"</f>
        <v>ALAD</v>
      </c>
      <c r="C710" t="str">
        <f>""</f>
        <v/>
      </c>
      <c r="D710">
        <v>36.293999999999997</v>
      </c>
      <c r="E710">
        <v>5.8</v>
      </c>
      <c r="F710">
        <v>3</v>
      </c>
      <c r="G710">
        <v>1</v>
      </c>
      <c r="H710">
        <v>1</v>
      </c>
      <c r="I710" s="7">
        <v>1.68249544018291</v>
      </c>
      <c r="J710" s="6">
        <v>0.58121239550609605</v>
      </c>
      <c r="K710" s="6">
        <v>0.60348020787262302</v>
      </c>
      <c r="L710">
        <v>-2.8403915672039499</v>
      </c>
      <c r="M710">
        <v>0.24940569871764301</v>
      </c>
    </row>
    <row r="711" spans="1:13" x14ac:dyDescent="0.25">
      <c r="A711">
        <v>531</v>
      </c>
      <c r="B711" t="str">
        <f>"SLC25A5;SLC25A6"</f>
        <v>SLC25A5;SLC25A6</v>
      </c>
      <c r="C711" t="str">
        <f>""</f>
        <v/>
      </c>
      <c r="D711">
        <v>32.851999999999997</v>
      </c>
      <c r="E711">
        <v>3.4</v>
      </c>
      <c r="F711">
        <v>3</v>
      </c>
      <c r="G711">
        <v>1</v>
      </c>
      <c r="H711">
        <v>1</v>
      </c>
      <c r="I711" s="7">
        <v>1.68249544018291</v>
      </c>
      <c r="J711" s="6">
        <v>0.58121239550609605</v>
      </c>
      <c r="K711" s="6">
        <v>0.60348020787262302</v>
      </c>
      <c r="L711">
        <v>-2.8403915672039499</v>
      </c>
      <c r="M711">
        <v>0.24940569871764301</v>
      </c>
    </row>
    <row r="712" spans="1:13" x14ac:dyDescent="0.25">
      <c r="A712">
        <v>564</v>
      </c>
      <c r="B712" t="str">
        <f>"GPX1"</f>
        <v>GPX1</v>
      </c>
      <c r="C712" t="str">
        <f>""</f>
        <v/>
      </c>
      <c r="D712">
        <v>22.088000000000001</v>
      </c>
      <c r="E712">
        <v>4.4000000000000004</v>
      </c>
      <c r="F712">
        <v>3</v>
      </c>
      <c r="G712">
        <v>1</v>
      </c>
      <c r="H712">
        <v>1</v>
      </c>
      <c r="I712" s="7">
        <v>1.68249544018291</v>
      </c>
      <c r="J712" s="6">
        <v>0.58121239550609605</v>
      </c>
      <c r="K712" s="6">
        <v>0.60348020787262302</v>
      </c>
      <c r="L712">
        <v>-2.8403915672039499</v>
      </c>
      <c r="M712">
        <v>0.24940569871764301</v>
      </c>
    </row>
    <row r="713" spans="1:13" x14ac:dyDescent="0.25">
      <c r="A713">
        <v>873</v>
      </c>
      <c r="B713" t="str">
        <f>"MPG"</f>
        <v>MPG</v>
      </c>
      <c r="C713" t="str">
        <f>""</f>
        <v/>
      </c>
      <c r="D713">
        <v>30.824000000000002</v>
      </c>
      <c r="E713">
        <v>14.6</v>
      </c>
      <c r="F713">
        <v>3</v>
      </c>
      <c r="G713">
        <v>1</v>
      </c>
      <c r="H713">
        <v>1</v>
      </c>
      <c r="I713" s="7">
        <v>1.68249544018291</v>
      </c>
      <c r="J713" s="6">
        <v>0.58121239550609605</v>
      </c>
      <c r="K713" s="6">
        <v>0.60348020787262302</v>
      </c>
      <c r="L713">
        <v>-2.8403915672039499</v>
      </c>
      <c r="M713">
        <v>0.24940569871764301</v>
      </c>
    </row>
    <row r="714" spans="1:13" x14ac:dyDescent="0.25">
      <c r="A714">
        <v>906</v>
      </c>
      <c r="B714" t="str">
        <f>"SDHA"</f>
        <v>SDHA</v>
      </c>
      <c r="C714" t="str">
        <f>""</f>
        <v/>
      </c>
      <c r="D714">
        <v>56.65</v>
      </c>
      <c r="E714">
        <v>6.6</v>
      </c>
      <c r="F714">
        <v>3</v>
      </c>
      <c r="G714">
        <v>1</v>
      </c>
      <c r="H714">
        <v>1</v>
      </c>
      <c r="I714" s="7">
        <v>1.68249544018291</v>
      </c>
      <c r="J714" s="6">
        <v>0.58121239550609605</v>
      </c>
      <c r="K714" s="6">
        <v>0.60348020787262302</v>
      </c>
      <c r="L714">
        <v>-2.8403915672039499</v>
      </c>
      <c r="M714">
        <v>0.24940569871764301</v>
      </c>
    </row>
    <row r="715" spans="1:13" x14ac:dyDescent="0.25">
      <c r="A715">
        <v>1215</v>
      </c>
      <c r="B715" t="str">
        <f>"USP14"</f>
        <v>USP14</v>
      </c>
      <c r="C715" t="str">
        <f>""</f>
        <v/>
      </c>
      <c r="D715">
        <v>52.384999999999998</v>
      </c>
      <c r="E715">
        <v>13.7</v>
      </c>
      <c r="F715">
        <v>3</v>
      </c>
      <c r="G715">
        <v>1</v>
      </c>
      <c r="H715">
        <v>1</v>
      </c>
      <c r="I715" s="7">
        <v>1.68249544018291</v>
      </c>
      <c r="J715" s="6">
        <v>0.58121239550609605</v>
      </c>
      <c r="K715" s="6">
        <v>0.60348020787262302</v>
      </c>
      <c r="L715">
        <v>-2.8403915672039499</v>
      </c>
      <c r="M715">
        <v>0.24940569871764301</v>
      </c>
    </row>
    <row r="716" spans="1:13" x14ac:dyDescent="0.25">
      <c r="A716">
        <v>1263</v>
      </c>
      <c r="B716" t="str">
        <f>"PPP4C"</f>
        <v>PPP4C</v>
      </c>
      <c r="C716" t="str">
        <f>""</f>
        <v/>
      </c>
      <c r="D716">
        <v>35.08</v>
      </c>
      <c r="E716">
        <v>10.7</v>
      </c>
      <c r="F716">
        <v>3</v>
      </c>
      <c r="G716">
        <v>1</v>
      </c>
      <c r="H716">
        <v>1</v>
      </c>
      <c r="I716" s="7">
        <v>1.68249544018291</v>
      </c>
      <c r="J716" s="6">
        <v>0.58121239550609605</v>
      </c>
      <c r="K716" s="6">
        <v>0.60348020787262302</v>
      </c>
      <c r="L716">
        <v>-2.8403915672039499</v>
      </c>
      <c r="M716">
        <v>0.24940569871764301</v>
      </c>
    </row>
    <row r="717" spans="1:13" x14ac:dyDescent="0.25">
      <c r="A717">
        <v>1394</v>
      </c>
      <c r="B717" t="str">
        <f>"SARNP"</f>
        <v>SARNP</v>
      </c>
      <c r="C717" t="str">
        <f>""</f>
        <v/>
      </c>
      <c r="D717">
        <v>23.670999999999999</v>
      </c>
      <c r="E717">
        <v>21.9</v>
      </c>
      <c r="F717">
        <v>3</v>
      </c>
      <c r="G717">
        <v>1</v>
      </c>
      <c r="H717">
        <v>1</v>
      </c>
      <c r="I717" s="7">
        <v>1.68249544018291</v>
      </c>
      <c r="J717" s="6">
        <v>0.58121239550609605</v>
      </c>
      <c r="K717" s="6">
        <v>0.60348020787262302</v>
      </c>
      <c r="L717">
        <v>-2.8403915672039499</v>
      </c>
      <c r="M717">
        <v>0.24940569871764301</v>
      </c>
    </row>
    <row r="718" spans="1:13" x14ac:dyDescent="0.25">
      <c r="A718">
        <v>1704</v>
      </c>
      <c r="B718" t="str">
        <f>"PAFAH1B3"</f>
        <v>PAFAH1B3</v>
      </c>
      <c r="C718" t="str">
        <f>""</f>
        <v/>
      </c>
      <c r="D718">
        <v>25.734000000000002</v>
      </c>
      <c r="E718">
        <v>3.9</v>
      </c>
      <c r="F718">
        <v>3</v>
      </c>
      <c r="G718">
        <v>1</v>
      </c>
      <c r="H718">
        <v>1</v>
      </c>
      <c r="I718" s="7">
        <v>1.68249544018291</v>
      </c>
      <c r="J718" s="6">
        <v>0.58121239550609605</v>
      </c>
      <c r="K718" s="6">
        <v>0.60348020787262302</v>
      </c>
      <c r="L718">
        <v>-2.8403915672039499</v>
      </c>
      <c r="M718">
        <v>0.24940569871764301</v>
      </c>
    </row>
    <row r="719" spans="1:13" x14ac:dyDescent="0.25">
      <c r="A719">
        <v>1913</v>
      </c>
      <c r="B719" t="str">
        <f>"TWF2"</f>
        <v>TWF2</v>
      </c>
      <c r="C719" t="str">
        <f>""</f>
        <v/>
      </c>
      <c r="D719">
        <v>39.548000000000002</v>
      </c>
      <c r="E719">
        <v>7.2</v>
      </c>
      <c r="F719">
        <v>3</v>
      </c>
      <c r="G719">
        <v>1</v>
      </c>
      <c r="H719">
        <v>1</v>
      </c>
      <c r="I719" s="7">
        <v>1.68249544018291</v>
      </c>
      <c r="J719" s="6">
        <v>0.58121239550609605</v>
      </c>
      <c r="K719" s="6">
        <v>0.60348020787262302</v>
      </c>
      <c r="L719">
        <v>-2.8403915672039499</v>
      </c>
      <c r="M719">
        <v>0.24940569871764301</v>
      </c>
    </row>
    <row r="720" spans="1:13" x14ac:dyDescent="0.25">
      <c r="A720">
        <v>2388</v>
      </c>
      <c r="B720" t="str">
        <f>"HMCES"</f>
        <v>HMCES</v>
      </c>
      <c r="C720" t="str">
        <f>""</f>
        <v/>
      </c>
      <c r="D720">
        <v>40.573999999999998</v>
      </c>
      <c r="E720">
        <v>4.2</v>
      </c>
      <c r="F720">
        <v>3</v>
      </c>
      <c r="G720">
        <v>1</v>
      </c>
      <c r="H720">
        <v>1</v>
      </c>
      <c r="I720" s="7">
        <v>1.68249544018291</v>
      </c>
      <c r="J720" s="6">
        <v>0.58121239550609605</v>
      </c>
      <c r="K720" s="6">
        <v>0.60348020787262302</v>
      </c>
      <c r="L720">
        <v>-2.8403915672039499</v>
      </c>
      <c r="M720">
        <v>0.24940569871764301</v>
      </c>
    </row>
    <row r="721" spans="1:13" x14ac:dyDescent="0.25">
      <c r="A721">
        <v>2604</v>
      </c>
      <c r="B721" t="str">
        <f>"YTHDF1"</f>
        <v>YTHDF1</v>
      </c>
      <c r="C721" t="str">
        <f>""</f>
        <v/>
      </c>
      <c r="D721">
        <v>60.872999999999998</v>
      </c>
      <c r="E721">
        <v>8.4</v>
      </c>
      <c r="F721">
        <v>3</v>
      </c>
      <c r="G721">
        <v>1</v>
      </c>
      <c r="H721">
        <v>1</v>
      </c>
      <c r="I721" s="7">
        <v>1.68249544018291</v>
      </c>
      <c r="J721" s="6">
        <v>0.58121239550609605</v>
      </c>
      <c r="K721" s="6">
        <v>0.60348020787262302</v>
      </c>
      <c r="L721">
        <v>-2.8403915672039499</v>
      </c>
      <c r="M721">
        <v>0.24940569871764301</v>
      </c>
    </row>
    <row r="722" spans="1:13" x14ac:dyDescent="0.25">
      <c r="A722">
        <v>2633</v>
      </c>
      <c r="B722" t="str">
        <f>"FAM192A"</f>
        <v>FAM192A</v>
      </c>
      <c r="C722" t="str">
        <f>""</f>
        <v/>
      </c>
      <c r="D722">
        <v>28.911999999999999</v>
      </c>
      <c r="E722">
        <v>3.9</v>
      </c>
      <c r="F722">
        <v>3</v>
      </c>
      <c r="G722">
        <v>1</v>
      </c>
      <c r="H722">
        <v>1</v>
      </c>
      <c r="I722" s="7">
        <v>1.68249544018291</v>
      </c>
      <c r="J722" s="6">
        <v>0.58121239550609605</v>
      </c>
      <c r="K722" s="6">
        <v>0.60348020787262302</v>
      </c>
      <c r="L722">
        <v>-2.8403915672039499</v>
      </c>
      <c r="M722">
        <v>0.24940569871764301</v>
      </c>
    </row>
    <row r="723" spans="1:13" x14ac:dyDescent="0.25">
      <c r="A723">
        <v>2668</v>
      </c>
      <c r="B723" t="str">
        <f>"BOLA2"</f>
        <v>BOLA2</v>
      </c>
      <c r="C723" t="str">
        <f>""</f>
        <v/>
      </c>
      <c r="D723">
        <v>10.116</v>
      </c>
      <c r="E723">
        <v>22.1</v>
      </c>
      <c r="F723">
        <v>3</v>
      </c>
      <c r="G723">
        <v>1</v>
      </c>
      <c r="H723">
        <v>1</v>
      </c>
      <c r="I723" s="7">
        <v>1.68249544018291</v>
      </c>
      <c r="J723" s="6">
        <v>0.58121239550609605</v>
      </c>
      <c r="K723" s="6">
        <v>0.60348020787262302</v>
      </c>
      <c r="L723">
        <v>-2.8403915672039499</v>
      </c>
      <c r="M723">
        <v>0.24940569871764301</v>
      </c>
    </row>
    <row r="724" spans="1:13" x14ac:dyDescent="0.25">
      <c r="A724">
        <v>2716</v>
      </c>
      <c r="B724" t="str">
        <f>"LRRC40"</f>
        <v>LRRC40</v>
      </c>
      <c r="C724" t="str">
        <f>""</f>
        <v/>
      </c>
      <c r="D724">
        <v>68.248999999999995</v>
      </c>
      <c r="E724">
        <v>5.0999999999999996</v>
      </c>
      <c r="F724">
        <v>3</v>
      </c>
      <c r="G724">
        <v>1</v>
      </c>
      <c r="H724">
        <v>1</v>
      </c>
      <c r="I724" s="7">
        <v>1.68249544018291</v>
      </c>
      <c r="J724" s="6">
        <v>0.58121239550609605</v>
      </c>
      <c r="K724" s="6">
        <v>0.60348020787262302</v>
      </c>
      <c r="L724">
        <v>-2.8403915672039499</v>
      </c>
      <c r="M724">
        <v>0.24940569871764301</v>
      </c>
    </row>
    <row r="725" spans="1:13" x14ac:dyDescent="0.25">
      <c r="A725">
        <v>2938</v>
      </c>
      <c r="B725" t="str">
        <f>"SEC63"</f>
        <v>SEC63</v>
      </c>
      <c r="C725" t="str">
        <f>""</f>
        <v/>
      </c>
      <c r="D725">
        <v>87.995999999999995</v>
      </c>
      <c r="E725">
        <v>5.7</v>
      </c>
      <c r="F725">
        <v>3</v>
      </c>
      <c r="G725">
        <v>1</v>
      </c>
      <c r="H725">
        <v>1</v>
      </c>
      <c r="I725" s="7">
        <v>1.68249544018291</v>
      </c>
      <c r="J725" s="6">
        <v>0.58121239550609605</v>
      </c>
      <c r="K725" s="6">
        <v>0.60348020787262302</v>
      </c>
      <c r="L725">
        <v>-2.8403915672039499</v>
      </c>
      <c r="M725">
        <v>0.24940569871764301</v>
      </c>
    </row>
    <row r="726" spans="1:13" x14ac:dyDescent="0.25">
      <c r="A726">
        <v>3108</v>
      </c>
      <c r="B726" t="str">
        <f>"VPRBP"</f>
        <v>VPRBP</v>
      </c>
      <c r="C726" t="str">
        <f>""</f>
        <v/>
      </c>
      <c r="D726">
        <v>118.23</v>
      </c>
      <c r="E726">
        <v>1.9</v>
      </c>
      <c r="F726">
        <v>3</v>
      </c>
      <c r="G726">
        <v>1</v>
      </c>
      <c r="H726">
        <v>1</v>
      </c>
      <c r="I726" s="7">
        <v>1.68249544018291</v>
      </c>
      <c r="J726" s="6">
        <v>0.58121239550609605</v>
      </c>
      <c r="K726" s="6">
        <v>0.60348020787262302</v>
      </c>
      <c r="L726">
        <v>-2.8403915672039499</v>
      </c>
      <c r="M726">
        <v>0.24940569871764301</v>
      </c>
    </row>
    <row r="727" spans="1:13" x14ac:dyDescent="0.25">
      <c r="A727">
        <v>3126</v>
      </c>
      <c r="B727" t="str">
        <f>"NME7"</f>
        <v>NME7</v>
      </c>
      <c r="C727" t="str">
        <f>"NME7"</f>
        <v>NME7</v>
      </c>
      <c r="D727">
        <v>38.186999999999998</v>
      </c>
      <c r="E727">
        <v>3.5</v>
      </c>
      <c r="F727">
        <v>3</v>
      </c>
      <c r="G727">
        <v>1</v>
      </c>
      <c r="H727">
        <v>1</v>
      </c>
      <c r="I727" s="7">
        <v>1.68249544018291</v>
      </c>
      <c r="J727" s="6">
        <v>0.58121239550609605</v>
      </c>
      <c r="K727" s="6">
        <v>0.60348020787262302</v>
      </c>
      <c r="L727">
        <v>-2.8403915672039499</v>
      </c>
      <c r="M727">
        <v>0.24940569871764301</v>
      </c>
    </row>
    <row r="728" spans="1:13" x14ac:dyDescent="0.25">
      <c r="A728">
        <v>1481</v>
      </c>
      <c r="B728" t="str">
        <f>"TGM3"</f>
        <v>TGM3</v>
      </c>
      <c r="C728" t="str">
        <f>""</f>
        <v/>
      </c>
      <c r="D728">
        <v>76.631</v>
      </c>
      <c r="E728">
        <v>7.9</v>
      </c>
      <c r="F728">
        <v>0</v>
      </c>
      <c r="G728">
        <v>3</v>
      </c>
      <c r="H728">
        <v>0</v>
      </c>
      <c r="I728" s="7">
        <v>0</v>
      </c>
      <c r="J728" s="6">
        <v>1.74363718651829</v>
      </c>
      <c r="K728" s="6">
        <v>0</v>
      </c>
      <c r="L728">
        <v>10000</v>
      </c>
      <c r="M728">
        <v>0.24977822133152799</v>
      </c>
    </row>
    <row r="729" spans="1:13" x14ac:dyDescent="0.25">
      <c r="A729">
        <v>75</v>
      </c>
      <c r="B729" t="str">
        <f>"KRT77"</f>
        <v>KRT77</v>
      </c>
      <c r="C729" t="str">
        <f>""</f>
        <v/>
      </c>
      <c r="D729">
        <v>61.802</v>
      </c>
      <c r="E729">
        <v>3.5</v>
      </c>
      <c r="F729">
        <v>0</v>
      </c>
      <c r="G729">
        <v>3</v>
      </c>
      <c r="H729">
        <v>0</v>
      </c>
      <c r="I729" s="7">
        <v>0</v>
      </c>
      <c r="J729" s="6">
        <v>1.74363718651829</v>
      </c>
      <c r="K729" s="6">
        <v>0</v>
      </c>
      <c r="L729">
        <v>10000</v>
      </c>
      <c r="M729">
        <v>0.24977822133152799</v>
      </c>
    </row>
    <row r="730" spans="1:13" x14ac:dyDescent="0.25">
      <c r="A730">
        <v>1024</v>
      </c>
      <c r="B730" t="str">
        <f>"ABL2"</f>
        <v>ABL2</v>
      </c>
      <c r="C730" t="str">
        <f>"ABL2"</f>
        <v>ABL2</v>
      </c>
      <c r="D730">
        <v>116.28</v>
      </c>
      <c r="E730">
        <v>6.9</v>
      </c>
      <c r="F730">
        <v>0</v>
      </c>
      <c r="G730">
        <v>3</v>
      </c>
      <c r="H730">
        <v>0</v>
      </c>
      <c r="I730" s="7">
        <v>0</v>
      </c>
      <c r="J730" s="6">
        <v>1.74363718651829</v>
      </c>
      <c r="K730" s="6">
        <v>0</v>
      </c>
      <c r="L730">
        <v>10000</v>
      </c>
      <c r="M730">
        <v>0.24977822133152799</v>
      </c>
    </row>
    <row r="731" spans="1:13" x14ac:dyDescent="0.25">
      <c r="A731">
        <v>1639</v>
      </c>
      <c r="B731" t="str">
        <f>"TCEB3"</f>
        <v>TCEB3</v>
      </c>
      <c r="C731" t="str">
        <f>""</f>
        <v/>
      </c>
      <c r="D731">
        <v>89.908000000000001</v>
      </c>
      <c r="E731">
        <v>1.4</v>
      </c>
      <c r="F731">
        <v>0</v>
      </c>
      <c r="G731">
        <v>3</v>
      </c>
      <c r="H731">
        <v>0</v>
      </c>
      <c r="I731" s="7">
        <v>0</v>
      </c>
      <c r="J731" s="6">
        <v>1.74363718651829</v>
      </c>
      <c r="K731" s="6">
        <v>0</v>
      </c>
      <c r="L731">
        <v>10000</v>
      </c>
      <c r="M731">
        <v>0.24977822133152799</v>
      </c>
    </row>
    <row r="732" spans="1:13" x14ac:dyDescent="0.25">
      <c r="A732">
        <v>2223</v>
      </c>
      <c r="B732" t="str">
        <f>"NSUN6"</f>
        <v>NSUN6</v>
      </c>
      <c r="C732" t="str">
        <f>""</f>
        <v/>
      </c>
      <c r="D732">
        <v>51.77</v>
      </c>
      <c r="E732">
        <v>5.8</v>
      </c>
      <c r="F732">
        <v>0</v>
      </c>
      <c r="G732">
        <v>3</v>
      </c>
      <c r="H732">
        <v>0</v>
      </c>
      <c r="I732" s="7">
        <v>0</v>
      </c>
      <c r="J732" s="6">
        <v>1.74363718651829</v>
      </c>
      <c r="K732" s="6">
        <v>0</v>
      </c>
      <c r="L732">
        <v>10000</v>
      </c>
      <c r="M732">
        <v>0.24977822133152799</v>
      </c>
    </row>
    <row r="733" spans="1:13" x14ac:dyDescent="0.25">
      <c r="A733">
        <v>1669</v>
      </c>
      <c r="B733" t="str">
        <f>"CHD4"</f>
        <v>CHD4</v>
      </c>
      <c r="C733" t="str">
        <f>""</f>
        <v/>
      </c>
      <c r="D733">
        <v>218</v>
      </c>
      <c r="E733">
        <v>7.3</v>
      </c>
      <c r="F733">
        <v>9</v>
      </c>
      <c r="G733">
        <v>7</v>
      </c>
      <c r="H733">
        <v>3</v>
      </c>
      <c r="I733" s="7">
        <v>5.0474863205487202</v>
      </c>
      <c r="J733" s="6">
        <v>4.0684867685426802</v>
      </c>
      <c r="K733" s="6">
        <v>1.8104406236178701</v>
      </c>
      <c r="L733">
        <v>-1.71714531711328</v>
      </c>
      <c r="M733">
        <v>0.25251069085593397</v>
      </c>
    </row>
    <row r="734" spans="1:13" x14ac:dyDescent="0.25">
      <c r="A734">
        <v>301</v>
      </c>
      <c r="B734" t="str">
        <f>"CPNE3"</f>
        <v>CPNE3</v>
      </c>
      <c r="C734" t="str">
        <f>""</f>
        <v/>
      </c>
      <c r="D734">
        <v>60.13</v>
      </c>
      <c r="E734">
        <v>10.4</v>
      </c>
      <c r="F734">
        <v>6</v>
      </c>
      <c r="G734">
        <v>10</v>
      </c>
      <c r="H734">
        <v>9</v>
      </c>
      <c r="I734" s="7">
        <v>3.3649908803658102</v>
      </c>
      <c r="J734" s="6">
        <v>5.8121239550609696</v>
      </c>
      <c r="K734" s="6">
        <v>5.4313218708536004</v>
      </c>
      <c r="L734">
        <v>1.6706502670658501</v>
      </c>
      <c r="M734">
        <v>0.25520935773778503</v>
      </c>
    </row>
    <row r="735" spans="1:13" x14ac:dyDescent="0.25">
      <c r="A735">
        <v>735</v>
      </c>
      <c r="B735" t="str">
        <f>"TCP1"</f>
        <v>TCP1</v>
      </c>
      <c r="C735" t="str">
        <f>""</f>
        <v/>
      </c>
      <c r="D735">
        <v>60.343000000000004</v>
      </c>
      <c r="E735">
        <v>14.2</v>
      </c>
      <c r="F735">
        <v>6</v>
      </c>
      <c r="G735">
        <v>11</v>
      </c>
      <c r="H735">
        <v>8</v>
      </c>
      <c r="I735" s="7">
        <v>3.3649908803658102</v>
      </c>
      <c r="J735" s="6">
        <v>6.3933363505670604</v>
      </c>
      <c r="K735" s="6">
        <v>4.8278416629809797</v>
      </c>
      <c r="L735">
        <v>1.66734151926263</v>
      </c>
      <c r="M735">
        <v>0.25533790552950297</v>
      </c>
    </row>
    <row r="736" spans="1:13" x14ac:dyDescent="0.25">
      <c r="A736">
        <v>1009</v>
      </c>
      <c r="B736" t="str">
        <f>"KDM5C;KDM5D"</f>
        <v>KDM5C;KDM5D</v>
      </c>
      <c r="C736" t="str">
        <f>""</f>
        <v/>
      </c>
      <c r="D736">
        <v>155.12</v>
      </c>
      <c r="E736">
        <v>1.5</v>
      </c>
      <c r="F736">
        <v>0</v>
      </c>
      <c r="G736">
        <v>0</v>
      </c>
      <c r="H736">
        <v>3</v>
      </c>
      <c r="I736" s="7">
        <v>0</v>
      </c>
      <c r="J736" s="6">
        <v>0</v>
      </c>
      <c r="K736" s="6">
        <v>1.8104406236178701</v>
      </c>
      <c r="L736">
        <v>10000</v>
      </c>
      <c r="M736">
        <v>0.25602666099921501</v>
      </c>
    </row>
    <row r="737" spans="1:13" x14ac:dyDescent="0.25">
      <c r="A737">
        <v>1616</v>
      </c>
      <c r="B737" t="str">
        <f>"HNRNPD"</f>
        <v>HNRNPD</v>
      </c>
      <c r="C737" t="str">
        <f>""</f>
        <v/>
      </c>
      <c r="D737">
        <v>30.672000000000001</v>
      </c>
      <c r="E737">
        <v>11.5</v>
      </c>
      <c r="F737">
        <v>4</v>
      </c>
      <c r="G737">
        <v>8</v>
      </c>
      <c r="H737">
        <v>6</v>
      </c>
      <c r="I737" s="7">
        <v>2.2433272535772102</v>
      </c>
      <c r="J737" s="6">
        <v>4.6496991640487702</v>
      </c>
      <c r="K737" s="6">
        <v>3.6208812472357401</v>
      </c>
      <c r="L737">
        <v>1.84337358673289</v>
      </c>
      <c r="M737">
        <v>0.25629089562679103</v>
      </c>
    </row>
    <row r="738" spans="1:13" x14ac:dyDescent="0.25">
      <c r="A738">
        <v>1761</v>
      </c>
      <c r="B738" t="str">
        <f>"DDB1"</f>
        <v>DDB1</v>
      </c>
      <c r="C738" t="str">
        <f>""</f>
        <v/>
      </c>
      <c r="D738">
        <v>126.97</v>
      </c>
      <c r="E738">
        <v>8</v>
      </c>
      <c r="F738">
        <v>11</v>
      </c>
      <c r="G738">
        <v>6</v>
      </c>
      <c r="H738">
        <v>7</v>
      </c>
      <c r="I738" s="7">
        <v>6.1691499473373197</v>
      </c>
      <c r="J738" s="6">
        <v>3.4872743730365801</v>
      </c>
      <c r="K738" s="6">
        <v>4.2243614551083599</v>
      </c>
      <c r="L738">
        <v>-1.59995883748088</v>
      </c>
      <c r="M738">
        <v>0.25718929747825903</v>
      </c>
    </row>
    <row r="739" spans="1:13" x14ac:dyDescent="0.25">
      <c r="A739">
        <v>1661</v>
      </c>
      <c r="B739" t="str">
        <f>"USP10"</f>
        <v>USP10</v>
      </c>
      <c r="C739" t="str">
        <f>""</f>
        <v/>
      </c>
      <c r="D739">
        <v>87.132999999999996</v>
      </c>
      <c r="E739">
        <v>8.6</v>
      </c>
      <c r="F739">
        <v>11</v>
      </c>
      <c r="G739">
        <v>6</v>
      </c>
      <c r="H739">
        <v>7</v>
      </c>
      <c r="I739" s="7">
        <v>6.1691499473373197</v>
      </c>
      <c r="J739" s="6">
        <v>3.4872743730365801</v>
      </c>
      <c r="K739" s="6">
        <v>4.2243614551083599</v>
      </c>
      <c r="L739">
        <v>-1.59995883748088</v>
      </c>
      <c r="M739">
        <v>0.25718929747825903</v>
      </c>
    </row>
    <row r="740" spans="1:13" x14ac:dyDescent="0.25">
      <c r="A740">
        <v>1419</v>
      </c>
      <c r="B740" t="str">
        <f>"SPTBN1"</f>
        <v>SPTBN1</v>
      </c>
      <c r="C740" t="str">
        <f>""</f>
        <v/>
      </c>
      <c r="D740">
        <v>274.61</v>
      </c>
      <c r="E740">
        <v>11</v>
      </c>
      <c r="F740">
        <v>16</v>
      </c>
      <c r="G740">
        <v>18</v>
      </c>
      <c r="H740">
        <v>24</v>
      </c>
      <c r="I740" s="7">
        <v>8.9733090143088301</v>
      </c>
      <c r="J740" s="6">
        <v>10.461823119109701</v>
      </c>
      <c r="K740" s="6">
        <v>14.4835249889429</v>
      </c>
      <c r="L740">
        <v>1.3899748726069101</v>
      </c>
      <c r="M740">
        <v>0.25816345083484499</v>
      </c>
    </row>
    <row r="741" spans="1:13" x14ac:dyDescent="0.25">
      <c r="A741">
        <v>1101</v>
      </c>
      <c r="B741" t="str">
        <f>"TUFM"</f>
        <v>TUFM</v>
      </c>
      <c r="C741" t="str">
        <f>""</f>
        <v/>
      </c>
      <c r="D741">
        <v>49.540999999999997</v>
      </c>
      <c r="E741">
        <v>14.6</v>
      </c>
      <c r="F741">
        <v>16</v>
      </c>
      <c r="G741">
        <v>25</v>
      </c>
      <c r="H741">
        <v>17</v>
      </c>
      <c r="I741" s="7">
        <v>8.9733090143088301</v>
      </c>
      <c r="J741" s="6">
        <v>14.5303098876524</v>
      </c>
      <c r="K741" s="6">
        <v>10.259163533834601</v>
      </c>
      <c r="L741">
        <v>1.38128940962346</v>
      </c>
      <c r="M741">
        <v>0.25829986526725102</v>
      </c>
    </row>
    <row r="742" spans="1:13" x14ac:dyDescent="0.25">
      <c r="A742">
        <v>72</v>
      </c>
      <c r="B742" t="str">
        <f>"KRT79"</f>
        <v>KRT79</v>
      </c>
      <c r="C742" t="str">
        <f>""</f>
        <v/>
      </c>
      <c r="D742">
        <v>57.808999999999997</v>
      </c>
      <c r="E742">
        <v>7.7</v>
      </c>
      <c r="F742">
        <v>2</v>
      </c>
      <c r="G742">
        <v>1</v>
      </c>
      <c r="H742">
        <v>0</v>
      </c>
      <c r="I742" s="7">
        <v>1.1216636267886</v>
      </c>
      <c r="J742" s="6">
        <v>0.58121239550609605</v>
      </c>
      <c r="K742" s="6">
        <v>0</v>
      </c>
      <c r="L742">
        <v>-3.8597374572918501</v>
      </c>
      <c r="M742">
        <v>0.25974819031083102</v>
      </c>
    </row>
    <row r="743" spans="1:13" x14ac:dyDescent="0.25">
      <c r="A743">
        <v>70</v>
      </c>
      <c r="B743" t="str">
        <f>"TPM1;TPM2"</f>
        <v>TPM1;TPM2</v>
      </c>
      <c r="C743" t="str">
        <f>""</f>
        <v/>
      </c>
      <c r="D743">
        <v>33.012</v>
      </c>
      <c r="E743">
        <v>4.5999999999999996</v>
      </c>
      <c r="F743">
        <v>2</v>
      </c>
      <c r="G743">
        <v>1</v>
      </c>
      <c r="H743">
        <v>0</v>
      </c>
      <c r="I743" s="7">
        <v>1.1216636267886</v>
      </c>
      <c r="J743" s="6">
        <v>0.58121239550609605</v>
      </c>
      <c r="K743" s="6">
        <v>0</v>
      </c>
      <c r="L743">
        <v>-3.8597374572918501</v>
      </c>
      <c r="M743">
        <v>0.25974819031083102</v>
      </c>
    </row>
    <row r="744" spans="1:13" x14ac:dyDescent="0.25">
      <c r="A744">
        <v>193</v>
      </c>
      <c r="B744" t="str">
        <f>"BCAT2"</f>
        <v>BCAT2</v>
      </c>
      <c r="C744" t="str">
        <f>""</f>
        <v/>
      </c>
      <c r="D744">
        <v>33.776000000000003</v>
      </c>
      <c r="E744">
        <v>5.3</v>
      </c>
      <c r="F744">
        <v>2</v>
      </c>
      <c r="G744">
        <v>1</v>
      </c>
      <c r="H744">
        <v>0</v>
      </c>
      <c r="I744" s="7">
        <v>1.1216636267886</v>
      </c>
      <c r="J744" s="6">
        <v>0.58121239550609605</v>
      </c>
      <c r="K744" s="6">
        <v>0</v>
      </c>
      <c r="L744">
        <v>-3.8597374572918501</v>
      </c>
      <c r="M744">
        <v>0.25974819031083102</v>
      </c>
    </row>
    <row r="745" spans="1:13" x14ac:dyDescent="0.25">
      <c r="A745">
        <v>245</v>
      </c>
      <c r="B745" t="str">
        <f>"STRN"</f>
        <v>STRN</v>
      </c>
      <c r="C745" t="str">
        <f>""</f>
        <v/>
      </c>
      <c r="D745">
        <v>80.760000000000005</v>
      </c>
      <c r="E745">
        <v>3.3</v>
      </c>
      <c r="F745">
        <v>2</v>
      </c>
      <c r="G745">
        <v>1</v>
      </c>
      <c r="H745">
        <v>0</v>
      </c>
      <c r="I745" s="7">
        <v>1.1216636267886</v>
      </c>
      <c r="J745" s="6">
        <v>0.58121239550609605</v>
      </c>
      <c r="K745" s="6">
        <v>0</v>
      </c>
      <c r="L745">
        <v>-3.8597374572918501</v>
      </c>
      <c r="M745">
        <v>0.25974819031083102</v>
      </c>
    </row>
    <row r="746" spans="1:13" x14ac:dyDescent="0.25">
      <c r="A746">
        <v>263</v>
      </c>
      <c r="B746" t="str">
        <f>"KDM1A"</f>
        <v>KDM1A</v>
      </c>
      <c r="C746" t="str">
        <f>""</f>
        <v/>
      </c>
      <c r="D746">
        <v>92.902000000000001</v>
      </c>
      <c r="E746">
        <v>1.6</v>
      </c>
      <c r="F746">
        <v>2</v>
      </c>
      <c r="G746">
        <v>1</v>
      </c>
      <c r="H746">
        <v>0</v>
      </c>
      <c r="I746" s="7">
        <v>1.1216636267886</v>
      </c>
      <c r="J746" s="6">
        <v>0.58121239550609605</v>
      </c>
      <c r="K746" s="6">
        <v>0</v>
      </c>
      <c r="L746">
        <v>-3.8597374572918501</v>
      </c>
      <c r="M746">
        <v>0.25974819031083102</v>
      </c>
    </row>
    <row r="747" spans="1:13" x14ac:dyDescent="0.25">
      <c r="A747">
        <v>346</v>
      </c>
      <c r="B747" t="str">
        <f>"ATP6AP2"</f>
        <v>ATP6AP2</v>
      </c>
      <c r="C747" t="str">
        <f>""</f>
        <v/>
      </c>
      <c r="D747">
        <v>35.612000000000002</v>
      </c>
      <c r="E747">
        <v>6</v>
      </c>
      <c r="F747">
        <v>2</v>
      </c>
      <c r="G747">
        <v>1</v>
      </c>
      <c r="H747">
        <v>0</v>
      </c>
      <c r="I747" s="7">
        <v>1.1216636267886</v>
      </c>
      <c r="J747" s="6">
        <v>0.58121239550609605</v>
      </c>
      <c r="K747" s="6">
        <v>0</v>
      </c>
      <c r="L747">
        <v>-3.8597374572918501</v>
      </c>
      <c r="M747">
        <v>0.25974819031083102</v>
      </c>
    </row>
    <row r="748" spans="1:13" x14ac:dyDescent="0.25">
      <c r="A748">
        <v>364</v>
      </c>
      <c r="B748" t="str">
        <f>"B3GAT3"</f>
        <v>B3GAT3</v>
      </c>
      <c r="C748" t="str">
        <f>""</f>
        <v/>
      </c>
      <c r="D748">
        <v>34.624000000000002</v>
      </c>
      <c r="E748">
        <v>3.2</v>
      </c>
      <c r="F748">
        <v>2</v>
      </c>
      <c r="G748">
        <v>1</v>
      </c>
      <c r="H748">
        <v>0</v>
      </c>
      <c r="I748" s="7">
        <v>1.1216636267886</v>
      </c>
      <c r="J748" s="6">
        <v>0.58121239550609605</v>
      </c>
      <c r="K748" s="6">
        <v>0</v>
      </c>
      <c r="L748">
        <v>-3.8597374572918501</v>
      </c>
      <c r="M748">
        <v>0.25974819031083102</v>
      </c>
    </row>
    <row r="749" spans="1:13" x14ac:dyDescent="0.25">
      <c r="A749">
        <v>1075</v>
      </c>
      <c r="B749" t="str">
        <f>"PREP"</f>
        <v>PREP</v>
      </c>
      <c r="C749" t="str">
        <f>""</f>
        <v/>
      </c>
      <c r="D749">
        <v>80.698999999999998</v>
      </c>
      <c r="E749">
        <v>5.2</v>
      </c>
      <c r="F749">
        <v>2</v>
      </c>
      <c r="G749">
        <v>1</v>
      </c>
      <c r="H749">
        <v>0</v>
      </c>
      <c r="I749" s="7">
        <v>1.1216636267886</v>
      </c>
      <c r="J749" s="6">
        <v>0.58121239550609605</v>
      </c>
      <c r="K749" s="6">
        <v>0</v>
      </c>
      <c r="L749">
        <v>-3.8597374572918501</v>
      </c>
      <c r="M749">
        <v>0.25974819031083102</v>
      </c>
    </row>
    <row r="750" spans="1:13" x14ac:dyDescent="0.25">
      <c r="A750">
        <v>1342</v>
      </c>
      <c r="B750" t="str">
        <f>"RPL31"</f>
        <v>RPL31</v>
      </c>
      <c r="C750" t="str">
        <f>""</f>
        <v/>
      </c>
      <c r="D750">
        <v>13.994999999999999</v>
      </c>
      <c r="E750">
        <v>7.4</v>
      </c>
      <c r="F750">
        <v>2</v>
      </c>
      <c r="G750">
        <v>1</v>
      </c>
      <c r="H750">
        <v>0</v>
      </c>
      <c r="I750" s="7">
        <v>1.1216636267886</v>
      </c>
      <c r="J750" s="6">
        <v>0.58121239550609605</v>
      </c>
      <c r="K750" s="6">
        <v>0</v>
      </c>
      <c r="L750">
        <v>-3.8597374572918501</v>
      </c>
      <c r="M750">
        <v>0.25974819031083102</v>
      </c>
    </row>
    <row r="751" spans="1:13" x14ac:dyDescent="0.25">
      <c r="A751">
        <v>1622</v>
      </c>
      <c r="B751" t="str">
        <f>"DHX34"</f>
        <v>DHX34</v>
      </c>
      <c r="C751" t="str">
        <f>""</f>
        <v/>
      </c>
      <c r="D751">
        <v>128.12</v>
      </c>
      <c r="E751">
        <v>1.9</v>
      </c>
      <c r="F751">
        <v>2</v>
      </c>
      <c r="G751">
        <v>1</v>
      </c>
      <c r="H751">
        <v>0</v>
      </c>
      <c r="I751" s="7">
        <v>1.1216636267886</v>
      </c>
      <c r="J751" s="6">
        <v>0.58121239550609605</v>
      </c>
      <c r="K751" s="6">
        <v>0</v>
      </c>
      <c r="L751">
        <v>-3.8597374572918501</v>
      </c>
      <c r="M751">
        <v>0.25974819031083102</v>
      </c>
    </row>
    <row r="752" spans="1:13" x14ac:dyDescent="0.25">
      <c r="A752">
        <v>1783</v>
      </c>
      <c r="B752" t="str">
        <f>"CYP51A1"</f>
        <v>CYP51A1</v>
      </c>
      <c r="C752" t="str">
        <f>""</f>
        <v/>
      </c>
      <c r="D752">
        <v>56.805</v>
      </c>
      <c r="E752">
        <v>4</v>
      </c>
      <c r="F752">
        <v>2</v>
      </c>
      <c r="G752">
        <v>1</v>
      </c>
      <c r="H752">
        <v>0</v>
      </c>
      <c r="I752" s="7">
        <v>1.1216636267886</v>
      </c>
      <c r="J752" s="6">
        <v>0.58121239550609605</v>
      </c>
      <c r="K752" s="6">
        <v>0</v>
      </c>
      <c r="L752">
        <v>-3.8597374572918501</v>
      </c>
      <c r="M752">
        <v>0.25974819031083102</v>
      </c>
    </row>
    <row r="753" spans="1:13" x14ac:dyDescent="0.25">
      <c r="A753">
        <v>1925</v>
      </c>
      <c r="B753" t="str">
        <f>"RWDD4"</f>
        <v>RWDD4</v>
      </c>
      <c r="C753" t="str">
        <f>""</f>
        <v/>
      </c>
      <c r="D753">
        <v>21.25</v>
      </c>
      <c r="E753">
        <v>10.1</v>
      </c>
      <c r="F753">
        <v>2</v>
      </c>
      <c r="G753">
        <v>1</v>
      </c>
      <c r="H753">
        <v>0</v>
      </c>
      <c r="I753" s="7">
        <v>1.1216636267886</v>
      </c>
      <c r="J753" s="6">
        <v>0.58121239550609605</v>
      </c>
      <c r="K753" s="6">
        <v>0</v>
      </c>
      <c r="L753">
        <v>-3.8597374572918501</v>
      </c>
      <c r="M753">
        <v>0.25974819031083102</v>
      </c>
    </row>
    <row r="754" spans="1:13" x14ac:dyDescent="0.25">
      <c r="A754">
        <v>1952</v>
      </c>
      <c r="B754" t="str">
        <f>"WDR74"</f>
        <v>WDR74</v>
      </c>
      <c r="C754" t="str">
        <f>""</f>
        <v/>
      </c>
      <c r="D754">
        <v>40.207000000000001</v>
      </c>
      <c r="E754">
        <v>3.6</v>
      </c>
      <c r="F754">
        <v>2</v>
      </c>
      <c r="G754">
        <v>1</v>
      </c>
      <c r="H754">
        <v>0</v>
      </c>
      <c r="I754" s="7">
        <v>1.1216636267886</v>
      </c>
      <c r="J754" s="6">
        <v>0.58121239550609605</v>
      </c>
      <c r="K754" s="6">
        <v>0</v>
      </c>
      <c r="L754">
        <v>-3.8597374572918501</v>
      </c>
      <c r="M754">
        <v>0.25974819031083102</v>
      </c>
    </row>
    <row r="755" spans="1:13" x14ac:dyDescent="0.25">
      <c r="A755">
        <v>1999</v>
      </c>
      <c r="B755" t="str">
        <f>"DDX46"</f>
        <v>DDX46</v>
      </c>
      <c r="C755" t="str">
        <f>""</f>
        <v/>
      </c>
      <c r="D755">
        <v>117.36</v>
      </c>
      <c r="E755">
        <v>6.7</v>
      </c>
      <c r="F755">
        <v>2</v>
      </c>
      <c r="G755">
        <v>1</v>
      </c>
      <c r="H755">
        <v>0</v>
      </c>
      <c r="I755" s="7">
        <v>1.1216636267886</v>
      </c>
      <c r="J755" s="6">
        <v>0.58121239550609605</v>
      </c>
      <c r="K755" s="6">
        <v>0</v>
      </c>
      <c r="L755">
        <v>-3.8597374572918501</v>
      </c>
      <c r="M755">
        <v>0.25974819031083102</v>
      </c>
    </row>
    <row r="756" spans="1:13" x14ac:dyDescent="0.25">
      <c r="A756">
        <v>2290</v>
      </c>
      <c r="B756" t="str">
        <f>"HDAC2"</f>
        <v>HDAC2</v>
      </c>
      <c r="C756" t="str">
        <f>""</f>
        <v/>
      </c>
      <c r="D756">
        <v>51.997999999999998</v>
      </c>
      <c r="E756">
        <v>8.5</v>
      </c>
      <c r="F756">
        <v>2</v>
      </c>
      <c r="G756">
        <v>1</v>
      </c>
      <c r="H756">
        <v>0</v>
      </c>
      <c r="I756" s="7">
        <v>1.1216636267886</v>
      </c>
      <c r="J756" s="6">
        <v>0.58121239550609605</v>
      </c>
      <c r="K756" s="6">
        <v>0</v>
      </c>
      <c r="L756">
        <v>-3.8597374572918501</v>
      </c>
      <c r="M756">
        <v>0.25974819031083102</v>
      </c>
    </row>
    <row r="757" spans="1:13" x14ac:dyDescent="0.25">
      <c r="A757">
        <v>2492</v>
      </c>
      <c r="B757" t="str">
        <f>"NAPG"</f>
        <v>NAPG</v>
      </c>
      <c r="C757" t="str">
        <f>""</f>
        <v/>
      </c>
      <c r="D757">
        <v>25.661999999999999</v>
      </c>
      <c r="E757">
        <v>4.3</v>
      </c>
      <c r="F757">
        <v>2</v>
      </c>
      <c r="G757">
        <v>1</v>
      </c>
      <c r="H757">
        <v>0</v>
      </c>
      <c r="I757" s="7">
        <v>1.1216636267886</v>
      </c>
      <c r="J757" s="6">
        <v>0.58121239550609605</v>
      </c>
      <c r="K757" s="6">
        <v>0</v>
      </c>
      <c r="L757">
        <v>-3.8597374572918501</v>
      </c>
      <c r="M757">
        <v>0.25974819031083102</v>
      </c>
    </row>
    <row r="758" spans="1:13" x14ac:dyDescent="0.25">
      <c r="A758">
        <v>2515</v>
      </c>
      <c r="B758" t="str">
        <f>"CMSS1"</f>
        <v>CMSS1</v>
      </c>
      <c r="C758" t="str">
        <f>""</f>
        <v/>
      </c>
      <c r="D758">
        <v>29.963999999999999</v>
      </c>
      <c r="E758">
        <v>8</v>
      </c>
      <c r="F758">
        <v>2</v>
      </c>
      <c r="G758">
        <v>1</v>
      </c>
      <c r="H758">
        <v>0</v>
      </c>
      <c r="I758" s="7">
        <v>1.1216636267886</v>
      </c>
      <c r="J758" s="6">
        <v>0.58121239550609605</v>
      </c>
      <c r="K758" s="6">
        <v>0</v>
      </c>
      <c r="L758">
        <v>-3.8597374572918501</v>
      </c>
      <c r="M758">
        <v>0.25974819031083102</v>
      </c>
    </row>
    <row r="759" spans="1:13" x14ac:dyDescent="0.25">
      <c r="A759">
        <v>2712</v>
      </c>
      <c r="B759" t="str">
        <f>"PSTPIP2"</f>
        <v>PSTPIP2</v>
      </c>
      <c r="C759" t="str">
        <f>""</f>
        <v/>
      </c>
      <c r="D759">
        <v>38.857999999999997</v>
      </c>
      <c r="E759">
        <v>8.1</v>
      </c>
      <c r="F759">
        <v>2</v>
      </c>
      <c r="G759">
        <v>1</v>
      </c>
      <c r="H759">
        <v>0</v>
      </c>
      <c r="I759" s="7">
        <v>1.1216636267886</v>
      </c>
      <c r="J759" s="6">
        <v>0.58121239550609605</v>
      </c>
      <c r="K759" s="6">
        <v>0</v>
      </c>
      <c r="L759">
        <v>-3.8597374572918501</v>
      </c>
      <c r="M759">
        <v>0.25974819031083102</v>
      </c>
    </row>
    <row r="760" spans="1:13" x14ac:dyDescent="0.25">
      <c r="A760">
        <v>2845</v>
      </c>
      <c r="B760" t="str">
        <f>"OCIAD1"</f>
        <v>OCIAD1</v>
      </c>
      <c r="C760" t="str">
        <f>""</f>
        <v/>
      </c>
      <c r="D760">
        <v>27.626000000000001</v>
      </c>
      <c r="E760">
        <v>4.0999999999999996</v>
      </c>
      <c r="F760">
        <v>2</v>
      </c>
      <c r="G760">
        <v>1</v>
      </c>
      <c r="H760">
        <v>0</v>
      </c>
      <c r="I760" s="7">
        <v>1.1216636267886</v>
      </c>
      <c r="J760" s="6">
        <v>0.58121239550609605</v>
      </c>
      <c r="K760" s="6">
        <v>0</v>
      </c>
      <c r="L760">
        <v>-3.8597374572918501</v>
      </c>
      <c r="M760">
        <v>0.25974819031083102</v>
      </c>
    </row>
    <row r="761" spans="1:13" x14ac:dyDescent="0.25">
      <c r="A761">
        <v>3125</v>
      </c>
      <c r="B761" t="str">
        <f>"PAXBP1"</f>
        <v>PAXBP1</v>
      </c>
      <c r="C761" t="str">
        <f>""</f>
        <v/>
      </c>
      <c r="D761">
        <v>93.168999999999997</v>
      </c>
      <c r="E761">
        <v>4.2</v>
      </c>
      <c r="F761">
        <v>2</v>
      </c>
      <c r="G761">
        <v>1</v>
      </c>
      <c r="H761">
        <v>0</v>
      </c>
      <c r="I761" s="7">
        <v>1.1216636267886</v>
      </c>
      <c r="J761" s="6">
        <v>0.58121239550609605</v>
      </c>
      <c r="K761" s="6">
        <v>0</v>
      </c>
      <c r="L761">
        <v>-3.8597374572918501</v>
      </c>
      <c r="M761">
        <v>0.25974819031083102</v>
      </c>
    </row>
    <row r="762" spans="1:13" x14ac:dyDescent="0.25">
      <c r="A762">
        <v>646</v>
      </c>
      <c r="B762" t="str">
        <f>"ACADM"</f>
        <v>ACADM</v>
      </c>
      <c r="C762" t="str">
        <f>""</f>
        <v/>
      </c>
      <c r="D762">
        <v>46.588000000000001</v>
      </c>
      <c r="E762">
        <v>3.6</v>
      </c>
      <c r="F762">
        <v>2</v>
      </c>
      <c r="G762">
        <v>0</v>
      </c>
      <c r="H762">
        <v>1</v>
      </c>
      <c r="I762" s="7">
        <v>1.1216636267886</v>
      </c>
      <c r="J762" s="6">
        <v>0</v>
      </c>
      <c r="K762" s="6">
        <v>0.60348020787262302</v>
      </c>
      <c r="L762">
        <v>-3.7173170293112698</v>
      </c>
      <c r="M762">
        <v>0.25974819590123299</v>
      </c>
    </row>
    <row r="763" spans="1:13" x14ac:dyDescent="0.25">
      <c r="A763">
        <v>151</v>
      </c>
      <c r="B763" t="str">
        <f>"GEMIN2"</f>
        <v>GEMIN2</v>
      </c>
      <c r="C763" t="str">
        <f>""</f>
        <v/>
      </c>
      <c r="D763">
        <v>28.155000000000001</v>
      </c>
      <c r="E763">
        <v>4.8</v>
      </c>
      <c r="F763">
        <v>2</v>
      </c>
      <c r="G763">
        <v>0</v>
      </c>
      <c r="H763">
        <v>1</v>
      </c>
      <c r="I763" s="7">
        <v>1.1216636267886</v>
      </c>
      <c r="J763" s="6">
        <v>0</v>
      </c>
      <c r="K763" s="6">
        <v>0.60348020787262302</v>
      </c>
      <c r="L763">
        <v>-3.7173170293112698</v>
      </c>
      <c r="M763">
        <v>0.25974819590123299</v>
      </c>
    </row>
    <row r="764" spans="1:13" x14ac:dyDescent="0.25">
      <c r="A764">
        <v>117</v>
      </c>
      <c r="B764" t="str">
        <f>"EXOC5"</f>
        <v>EXOC5</v>
      </c>
      <c r="C764" t="str">
        <f>""</f>
        <v/>
      </c>
      <c r="D764">
        <v>81.852000000000004</v>
      </c>
      <c r="E764">
        <v>4.4000000000000004</v>
      </c>
      <c r="F764">
        <v>2</v>
      </c>
      <c r="G764">
        <v>0</v>
      </c>
      <c r="H764">
        <v>1</v>
      </c>
      <c r="I764" s="7">
        <v>1.1216636267886</v>
      </c>
      <c r="J764" s="6">
        <v>0</v>
      </c>
      <c r="K764" s="6">
        <v>0.60348020787262302</v>
      </c>
      <c r="L764">
        <v>-3.7173170293112698</v>
      </c>
      <c r="M764">
        <v>0.25974819590123299</v>
      </c>
    </row>
    <row r="765" spans="1:13" x14ac:dyDescent="0.25">
      <c r="A765">
        <v>97</v>
      </c>
      <c r="B765" t="str">
        <f>"NDUFS8"</f>
        <v>NDUFS8</v>
      </c>
      <c r="C765" t="str">
        <f>""</f>
        <v/>
      </c>
      <c r="D765">
        <v>23.704999999999998</v>
      </c>
      <c r="E765">
        <v>12.9</v>
      </c>
      <c r="F765">
        <v>2</v>
      </c>
      <c r="G765">
        <v>0</v>
      </c>
      <c r="H765">
        <v>1</v>
      </c>
      <c r="I765" s="7">
        <v>1.1216636267886</v>
      </c>
      <c r="J765" s="6">
        <v>0</v>
      </c>
      <c r="K765" s="6">
        <v>0.60348020787262302</v>
      </c>
      <c r="L765">
        <v>-3.7173170293112698</v>
      </c>
      <c r="M765">
        <v>0.25974819590123299</v>
      </c>
    </row>
    <row r="766" spans="1:13" x14ac:dyDescent="0.25">
      <c r="A766">
        <v>576</v>
      </c>
      <c r="B766" t="str">
        <f>"BPGM"</f>
        <v>BPGM</v>
      </c>
      <c r="C766" t="str">
        <f>""</f>
        <v/>
      </c>
      <c r="D766">
        <v>30.004999999999999</v>
      </c>
      <c r="E766">
        <v>4.2</v>
      </c>
      <c r="F766">
        <v>2</v>
      </c>
      <c r="G766">
        <v>0</v>
      </c>
      <c r="H766">
        <v>1</v>
      </c>
      <c r="I766" s="7">
        <v>1.1216636267886</v>
      </c>
      <c r="J766" s="6">
        <v>0</v>
      </c>
      <c r="K766" s="6">
        <v>0.60348020787262302</v>
      </c>
      <c r="L766">
        <v>-3.7173170293112698</v>
      </c>
      <c r="M766">
        <v>0.25974819590123299</v>
      </c>
    </row>
    <row r="767" spans="1:13" x14ac:dyDescent="0.25">
      <c r="A767">
        <v>705</v>
      </c>
      <c r="B767" t="str">
        <f>"GSPT1;GSPT2"</f>
        <v>GSPT1;GSPT2</v>
      </c>
      <c r="C767" t="str">
        <f>""</f>
        <v/>
      </c>
      <c r="D767">
        <v>55.755000000000003</v>
      </c>
      <c r="E767">
        <v>4.8</v>
      </c>
      <c r="F767">
        <v>2</v>
      </c>
      <c r="G767">
        <v>0</v>
      </c>
      <c r="H767">
        <v>1</v>
      </c>
      <c r="I767" s="7">
        <v>1.1216636267886</v>
      </c>
      <c r="J767" s="6">
        <v>0</v>
      </c>
      <c r="K767" s="6">
        <v>0.60348020787262302</v>
      </c>
      <c r="L767">
        <v>-3.7173170293112698</v>
      </c>
      <c r="M767">
        <v>0.25974819590123299</v>
      </c>
    </row>
    <row r="768" spans="1:13" x14ac:dyDescent="0.25">
      <c r="A768">
        <v>981</v>
      </c>
      <c r="B768" t="str">
        <f>"RBMX"</f>
        <v>RBMX</v>
      </c>
      <c r="C768" t="str">
        <f>""</f>
        <v/>
      </c>
      <c r="D768">
        <v>40.845999999999997</v>
      </c>
      <c r="E768">
        <v>3.4</v>
      </c>
      <c r="F768">
        <v>2</v>
      </c>
      <c r="G768">
        <v>0</v>
      </c>
      <c r="H768">
        <v>1</v>
      </c>
      <c r="I768" s="7">
        <v>1.1216636267886</v>
      </c>
      <c r="J768" s="6">
        <v>0</v>
      </c>
      <c r="K768" s="6">
        <v>0.60348020787262302</v>
      </c>
      <c r="L768">
        <v>-3.7173170293112698</v>
      </c>
      <c r="M768">
        <v>0.25974819590123299</v>
      </c>
    </row>
    <row r="769" spans="1:13" x14ac:dyDescent="0.25">
      <c r="A769">
        <v>1090</v>
      </c>
      <c r="B769" t="str">
        <f>"NR2C2"</f>
        <v>NR2C2</v>
      </c>
      <c r="C769" t="str">
        <f>""</f>
        <v/>
      </c>
      <c r="D769">
        <v>65.414000000000001</v>
      </c>
      <c r="E769">
        <v>4.5</v>
      </c>
      <c r="F769">
        <v>2</v>
      </c>
      <c r="G769">
        <v>0</v>
      </c>
      <c r="H769">
        <v>1</v>
      </c>
      <c r="I769" s="7">
        <v>1.1216636267886</v>
      </c>
      <c r="J769" s="6">
        <v>0</v>
      </c>
      <c r="K769" s="6">
        <v>0.60348020787262302</v>
      </c>
      <c r="L769">
        <v>-3.7173170293112698</v>
      </c>
      <c r="M769">
        <v>0.25974819590123299</v>
      </c>
    </row>
    <row r="770" spans="1:13" x14ac:dyDescent="0.25">
      <c r="A770">
        <v>1151</v>
      </c>
      <c r="B770" t="str">
        <f>"RAB5C;RAB5B"</f>
        <v>RAB5C;RAB5B</v>
      </c>
      <c r="C770" t="str">
        <f>""</f>
        <v/>
      </c>
      <c r="D770">
        <v>23.481999999999999</v>
      </c>
      <c r="E770">
        <v>11.6</v>
      </c>
      <c r="F770">
        <v>2</v>
      </c>
      <c r="G770">
        <v>0</v>
      </c>
      <c r="H770">
        <v>1</v>
      </c>
      <c r="I770" s="7">
        <v>1.1216636267886</v>
      </c>
      <c r="J770" s="6">
        <v>0</v>
      </c>
      <c r="K770" s="6">
        <v>0.60348020787262302</v>
      </c>
      <c r="L770">
        <v>-3.7173170293112698</v>
      </c>
      <c r="M770">
        <v>0.25974819590123299</v>
      </c>
    </row>
    <row r="771" spans="1:13" x14ac:dyDescent="0.25">
      <c r="A771">
        <v>1371</v>
      </c>
      <c r="B771" t="str">
        <f>"NOP14"</f>
        <v>NOP14</v>
      </c>
      <c r="C771" t="str">
        <f>""</f>
        <v/>
      </c>
      <c r="D771">
        <v>91.384</v>
      </c>
      <c r="E771">
        <v>4.5999999999999996</v>
      </c>
      <c r="F771">
        <v>2</v>
      </c>
      <c r="G771">
        <v>0</v>
      </c>
      <c r="H771">
        <v>1</v>
      </c>
      <c r="I771" s="7">
        <v>1.1216636267886</v>
      </c>
      <c r="J771" s="6">
        <v>0</v>
      </c>
      <c r="K771" s="6">
        <v>0.60348020787262302</v>
      </c>
      <c r="L771">
        <v>-3.7173170293112698</v>
      </c>
      <c r="M771">
        <v>0.25974819590123299</v>
      </c>
    </row>
    <row r="772" spans="1:13" x14ac:dyDescent="0.25">
      <c r="A772">
        <v>1501</v>
      </c>
      <c r="B772" t="str">
        <f>"PMPCA"</f>
        <v>PMPCA</v>
      </c>
      <c r="C772" t="str">
        <f>""</f>
        <v/>
      </c>
      <c r="D772">
        <v>58.252000000000002</v>
      </c>
      <c r="E772">
        <v>6.3</v>
      </c>
      <c r="F772">
        <v>2</v>
      </c>
      <c r="G772">
        <v>0</v>
      </c>
      <c r="H772">
        <v>1</v>
      </c>
      <c r="I772" s="7">
        <v>1.1216636267886</v>
      </c>
      <c r="J772" s="6">
        <v>0</v>
      </c>
      <c r="K772" s="6">
        <v>0.60348020787262302</v>
      </c>
      <c r="L772">
        <v>-3.7173170293112698</v>
      </c>
      <c r="M772">
        <v>0.25974819590123299</v>
      </c>
    </row>
    <row r="773" spans="1:13" x14ac:dyDescent="0.25">
      <c r="A773">
        <v>1774</v>
      </c>
      <c r="B773" t="str">
        <f>"CLPP"</f>
        <v>CLPP</v>
      </c>
      <c r="C773" t="str">
        <f>""</f>
        <v/>
      </c>
      <c r="D773">
        <v>30.18</v>
      </c>
      <c r="E773">
        <v>12.6</v>
      </c>
      <c r="F773">
        <v>2</v>
      </c>
      <c r="G773">
        <v>0</v>
      </c>
      <c r="H773">
        <v>1</v>
      </c>
      <c r="I773" s="7">
        <v>1.1216636267886</v>
      </c>
      <c r="J773" s="6">
        <v>0</v>
      </c>
      <c r="K773" s="6">
        <v>0.60348020787262302</v>
      </c>
      <c r="L773">
        <v>-3.7173170293112698</v>
      </c>
      <c r="M773">
        <v>0.25974819590123299</v>
      </c>
    </row>
    <row r="774" spans="1:13" x14ac:dyDescent="0.25">
      <c r="A774">
        <v>1823</v>
      </c>
      <c r="B774" t="str">
        <f>"FAM98B"</f>
        <v>FAM98B</v>
      </c>
      <c r="C774" t="str">
        <f>""</f>
        <v/>
      </c>
      <c r="D774">
        <v>37.19</v>
      </c>
      <c r="E774">
        <v>13</v>
      </c>
      <c r="F774">
        <v>2</v>
      </c>
      <c r="G774">
        <v>0</v>
      </c>
      <c r="H774">
        <v>1</v>
      </c>
      <c r="I774" s="7">
        <v>1.1216636267886</v>
      </c>
      <c r="J774" s="6">
        <v>0</v>
      </c>
      <c r="K774" s="6">
        <v>0.60348020787262302</v>
      </c>
      <c r="L774">
        <v>-3.7173170293112698</v>
      </c>
      <c r="M774">
        <v>0.25974819590123299</v>
      </c>
    </row>
    <row r="775" spans="1:13" x14ac:dyDescent="0.25">
      <c r="A775">
        <v>1890</v>
      </c>
      <c r="B775" t="str">
        <f>"SPRYD7"</f>
        <v>SPRYD7</v>
      </c>
      <c r="C775" t="str">
        <f>""</f>
        <v/>
      </c>
      <c r="D775">
        <v>21.666</v>
      </c>
      <c r="E775">
        <v>7.7</v>
      </c>
      <c r="F775">
        <v>2</v>
      </c>
      <c r="G775">
        <v>0</v>
      </c>
      <c r="H775">
        <v>1</v>
      </c>
      <c r="I775" s="7">
        <v>1.1216636267886</v>
      </c>
      <c r="J775" s="6">
        <v>0</v>
      </c>
      <c r="K775" s="6">
        <v>0.60348020787262302</v>
      </c>
      <c r="L775">
        <v>-3.7173170293112698</v>
      </c>
      <c r="M775">
        <v>0.25974819590123299</v>
      </c>
    </row>
    <row r="776" spans="1:13" x14ac:dyDescent="0.25">
      <c r="A776">
        <v>1892</v>
      </c>
      <c r="B776" t="str">
        <f>"FAM21C;FAM21A"</f>
        <v>FAM21C;FAM21A</v>
      </c>
      <c r="C776" t="str">
        <f>""</f>
        <v/>
      </c>
      <c r="D776">
        <v>138.13999999999999</v>
      </c>
      <c r="E776">
        <v>2.1</v>
      </c>
      <c r="F776">
        <v>2</v>
      </c>
      <c r="G776">
        <v>0</v>
      </c>
      <c r="H776">
        <v>1</v>
      </c>
      <c r="I776" s="7">
        <v>1.1216636267886</v>
      </c>
      <c r="J776" s="6">
        <v>0</v>
      </c>
      <c r="K776" s="6">
        <v>0.60348020787262302</v>
      </c>
      <c r="L776">
        <v>-3.7173170293112698</v>
      </c>
      <c r="M776">
        <v>0.25974819590123299</v>
      </c>
    </row>
    <row r="777" spans="1:13" x14ac:dyDescent="0.25">
      <c r="A777">
        <v>2072</v>
      </c>
      <c r="B777" t="str">
        <f>"CARM1"</f>
        <v>CARM1</v>
      </c>
      <c r="C777" t="str">
        <f>""</f>
        <v/>
      </c>
      <c r="D777">
        <v>63.459000000000003</v>
      </c>
      <c r="E777">
        <v>2.2000000000000002</v>
      </c>
      <c r="F777">
        <v>2</v>
      </c>
      <c r="G777">
        <v>0</v>
      </c>
      <c r="H777">
        <v>1</v>
      </c>
      <c r="I777" s="7">
        <v>1.1216636267886</v>
      </c>
      <c r="J777" s="6">
        <v>0</v>
      </c>
      <c r="K777" s="6">
        <v>0.60348020787262302</v>
      </c>
      <c r="L777">
        <v>-3.7173170293112698</v>
      </c>
      <c r="M777">
        <v>0.25974819590123299</v>
      </c>
    </row>
    <row r="778" spans="1:13" x14ac:dyDescent="0.25">
      <c r="A778">
        <v>2276</v>
      </c>
      <c r="B778" t="str">
        <f>"PHF3"</f>
        <v>PHF3</v>
      </c>
      <c r="C778" t="str">
        <f>""</f>
        <v/>
      </c>
      <c r="D778">
        <v>219.81</v>
      </c>
      <c r="E778">
        <v>1.2</v>
      </c>
      <c r="F778">
        <v>2</v>
      </c>
      <c r="G778">
        <v>0</v>
      </c>
      <c r="H778">
        <v>1</v>
      </c>
      <c r="I778" s="7">
        <v>1.1216636267886</v>
      </c>
      <c r="J778" s="6">
        <v>0</v>
      </c>
      <c r="K778" s="6">
        <v>0.60348020787262302</v>
      </c>
      <c r="L778">
        <v>-3.7173170293112698</v>
      </c>
      <c r="M778">
        <v>0.25974819590123299</v>
      </c>
    </row>
    <row r="779" spans="1:13" x14ac:dyDescent="0.25">
      <c r="A779">
        <v>2351</v>
      </c>
      <c r="B779" t="str">
        <f>"FAF2"</f>
        <v>FAF2</v>
      </c>
      <c r="C779" t="str">
        <f>""</f>
        <v/>
      </c>
      <c r="D779">
        <v>52.622999999999998</v>
      </c>
      <c r="E779">
        <v>6.3</v>
      </c>
      <c r="F779">
        <v>2</v>
      </c>
      <c r="G779">
        <v>0</v>
      </c>
      <c r="H779">
        <v>1</v>
      </c>
      <c r="I779" s="7">
        <v>1.1216636267886</v>
      </c>
      <c r="J779" s="6">
        <v>0</v>
      </c>
      <c r="K779" s="6">
        <v>0.60348020787262302</v>
      </c>
      <c r="L779">
        <v>-3.7173170293112698</v>
      </c>
      <c r="M779">
        <v>0.25974819590123299</v>
      </c>
    </row>
    <row r="780" spans="1:13" x14ac:dyDescent="0.25">
      <c r="A780">
        <v>2533</v>
      </c>
      <c r="B780" t="str">
        <f>"ADPGK"</f>
        <v>ADPGK</v>
      </c>
      <c r="C780" t="str">
        <f>""</f>
        <v/>
      </c>
      <c r="D780">
        <v>53.96</v>
      </c>
      <c r="E780">
        <v>9.9</v>
      </c>
      <c r="F780">
        <v>2</v>
      </c>
      <c r="G780">
        <v>0</v>
      </c>
      <c r="H780">
        <v>1</v>
      </c>
      <c r="I780" s="7">
        <v>1.1216636267886</v>
      </c>
      <c r="J780" s="6">
        <v>0</v>
      </c>
      <c r="K780" s="6">
        <v>0.60348020787262302</v>
      </c>
      <c r="L780">
        <v>-3.7173170293112698</v>
      </c>
      <c r="M780">
        <v>0.25974819590123299</v>
      </c>
    </row>
    <row r="781" spans="1:13" x14ac:dyDescent="0.25">
      <c r="A781">
        <v>2554</v>
      </c>
      <c r="B781" t="str">
        <f>"NDUFAF3"</f>
        <v>NDUFAF3</v>
      </c>
      <c r="C781" t="str">
        <f>""</f>
        <v/>
      </c>
      <c r="D781">
        <v>13.842000000000001</v>
      </c>
      <c r="E781">
        <v>7.9</v>
      </c>
      <c r="F781">
        <v>2</v>
      </c>
      <c r="G781">
        <v>0</v>
      </c>
      <c r="H781">
        <v>1</v>
      </c>
      <c r="I781" s="7">
        <v>1.1216636267886</v>
      </c>
      <c r="J781" s="6">
        <v>0</v>
      </c>
      <c r="K781" s="6">
        <v>0.60348020787262302</v>
      </c>
      <c r="L781">
        <v>-3.7173170293112698</v>
      </c>
      <c r="M781">
        <v>0.25974819590123299</v>
      </c>
    </row>
    <row r="782" spans="1:13" x14ac:dyDescent="0.25">
      <c r="A782">
        <v>2572</v>
      </c>
      <c r="B782" t="str">
        <f>"TMUB1"</f>
        <v>TMUB1</v>
      </c>
      <c r="C782" t="str">
        <f>""</f>
        <v/>
      </c>
      <c r="D782">
        <v>26.260999999999999</v>
      </c>
      <c r="E782">
        <v>8.9</v>
      </c>
      <c r="F782">
        <v>2</v>
      </c>
      <c r="G782">
        <v>0</v>
      </c>
      <c r="H782">
        <v>1</v>
      </c>
      <c r="I782" s="7">
        <v>1.1216636267886</v>
      </c>
      <c r="J782" s="6">
        <v>0</v>
      </c>
      <c r="K782" s="6">
        <v>0.60348020787262302</v>
      </c>
      <c r="L782">
        <v>-3.7173170293112698</v>
      </c>
      <c r="M782">
        <v>0.25974819590123299</v>
      </c>
    </row>
    <row r="783" spans="1:13" x14ac:dyDescent="0.25">
      <c r="A783">
        <v>2711</v>
      </c>
      <c r="B783" t="str">
        <f>"ZWILCH"</f>
        <v>ZWILCH</v>
      </c>
      <c r="C783" t="str">
        <f>""</f>
        <v/>
      </c>
      <c r="D783">
        <v>54.223999999999997</v>
      </c>
      <c r="E783">
        <v>1.9</v>
      </c>
      <c r="F783">
        <v>2</v>
      </c>
      <c r="G783">
        <v>0</v>
      </c>
      <c r="H783">
        <v>1</v>
      </c>
      <c r="I783" s="7">
        <v>1.1216636267886</v>
      </c>
      <c r="J783" s="6">
        <v>0</v>
      </c>
      <c r="K783" s="6">
        <v>0.60348020787262302</v>
      </c>
      <c r="L783">
        <v>-3.7173170293112698</v>
      </c>
      <c r="M783">
        <v>0.25974819590123299</v>
      </c>
    </row>
    <row r="784" spans="1:13" x14ac:dyDescent="0.25">
      <c r="A784">
        <v>2853</v>
      </c>
      <c r="B784" t="str">
        <f>"KCTD5"</f>
        <v>KCTD5</v>
      </c>
      <c r="C784" t="str">
        <f>""</f>
        <v/>
      </c>
      <c r="D784">
        <v>26.091999999999999</v>
      </c>
      <c r="E784">
        <v>6.8</v>
      </c>
      <c r="F784">
        <v>2</v>
      </c>
      <c r="G784">
        <v>0</v>
      </c>
      <c r="H784">
        <v>1</v>
      </c>
      <c r="I784" s="7">
        <v>1.1216636267886</v>
      </c>
      <c r="J784" s="6">
        <v>0</v>
      </c>
      <c r="K784" s="6">
        <v>0.60348020787262302</v>
      </c>
      <c r="L784">
        <v>-3.7173170293112698</v>
      </c>
      <c r="M784">
        <v>0.25974819590123299</v>
      </c>
    </row>
    <row r="785" spans="1:13" x14ac:dyDescent="0.25">
      <c r="A785">
        <v>3077</v>
      </c>
      <c r="B785" t="str">
        <f>"COQ6"</f>
        <v>COQ6</v>
      </c>
      <c r="C785" t="str">
        <f>""</f>
        <v/>
      </c>
      <c r="D785">
        <v>42.872999999999998</v>
      </c>
      <c r="E785">
        <v>4.3</v>
      </c>
      <c r="F785">
        <v>2</v>
      </c>
      <c r="G785">
        <v>0</v>
      </c>
      <c r="H785">
        <v>1</v>
      </c>
      <c r="I785" s="7">
        <v>1.1216636267886</v>
      </c>
      <c r="J785" s="6">
        <v>0</v>
      </c>
      <c r="K785" s="6">
        <v>0.60348020787262302</v>
      </c>
      <c r="L785">
        <v>-3.7173170293112698</v>
      </c>
      <c r="M785">
        <v>0.25974819590123299</v>
      </c>
    </row>
    <row r="786" spans="1:13" x14ac:dyDescent="0.25">
      <c r="A786">
        <v>855</v>
      </c>
      <c r="B786" t="str">
        <f>"MAP4"</f>
        <v>MAP4</v>
      </c>
      <c r="C786" t="str">
        <f>""</f>
        <v/>
      </c>
      <c r="D786">
        <v>102.9</v>
      </c>
      <c r="E786">
        <v>11.2</v>
      </c>
      <c r="F786">
        <v>9</v>
      </c>
      <c r="G786">
        <v>10</v>
      </c>
      <c r="H786">
        <v>16</v>
      </c>
      <c r="I786" s="7">
        <v>5.0474863205487202</v>
      </c>
      <c r="J786" s="6">
        <v>5.8121239550609696</v>
      </c>
      <c r="K786" s="6">
        <v>9.6556833259619594</v>
      </c>
      <c r="L786">
        <v>1.5322287470153499</v>
      </c>
      <c r="M786">
        <v>0.26259900925063001</v>
      </c>
    </row>
    <row r="787" spans="1:13" x14ac:dyDescent="0.25">
      <c r="A787">
        <v>1250</v>
      </c>
      <c r="B787" t="str">
        <f>"TMEM33"</f>
        <v>TMEM33</v>
      </c>
      <c r="C787" t="str">
        <f>""</f>
        <v/>
      </c>
      <c r="D787">
        <v>27.978000000000002</v>
      </c>
      <c r="E787">
        <v>8.5</v>
      </c>
      <c r="F787">
        <v>6</v>
      </c>
      <c r="G787">
        <v>2</v>
      </c>
      <c r="H787">
        <v>4</v>
      </c>
      <c r="I787" s="7">
        <v>3.3649908803658102</v>
      </c>
      <c r="J787" s="6">
        <v>1.1624247910121901</v>
      </c>
      <c r="K787" s="6">
        <v>2.4139208314904899</v>
      </c>
      <c r="L787">
        <v>-1.88180407351739</v>
      </c>
      <c r="M787">
        <v>0.27483478629122599</v>
      </c>
    </row>
    <row r="788" spans="1:13" x14ac:dyDescent="0.25">
      <c r="A788">
        <v>121</v>
      </c>
      <c r="B788" t="str">
        <f>"SDCBP"</f>
        <v>SDCBP</v>
      </c>
      <c r="C788" t="str">
        <f>""</f>
        <v/>
      </c>
      <c r="D788">
        <v>32.316000000000003</v>
      </c>
      <c r="E788">
        <v>20.5</v>
      </c>
      <c r="F788">
        <v>6</v>
      </c>
      <c r="G788">
        <v>3</v>
      </c>
      <c r="H788">
        <v>3</v>
      </c>
      <c r="I788" s="7">
        <v>3.3649908803658102</v>
      </c>
      <c r="J788" s="6">
        <v>1.74363718651829</v>
      </c>
      <c r="K788" s="6">
        <v>1.8104406236178701</v>
      </c>
      <c r="L788">
        <v>-1.8935943781359701</v>
      </c>
      <c r="M788">
        <v>0.275162105572407</v>
      </c>
    </row>
    <row r="789" spans="1:13" x14ac:dyDescent="0.25">
      <c r="A789">
        <v>2433</v>
      </c>
      <c r="B789" t="str">
        <f>"AGAP3"</f>
        <v>AGAP3</v>
      </c>
      <c r="C789" t="str">
        <f>""</f>
        <v/>
      </c>
      <c r="D789">
        <v>39.609000000000002</v>
      </c>
      <c r="E789">
        <v>3.1</v>
      </c>
      <c r="F789">
        <v>6</v>
      </c>
      <c r="G789">
        <v>3</v>
      </c>
      <c r="H789">
        <v>3</v>
      </c>
      <c r="I789" s="7">
        <v>3.3649908803658102</v>
      </c>
      <c r="J789" s="6">
        <v>1.74363718651829</v>
      </c>
      <c r="K789" s="6">
        <v>1.8104406236178701</v>
      </c>
      <c r="L789">
        <v>-1.8935943781359701</v>
      </c>
      <c r="M789">
        <v>0.275162105572407</v>
      </c>
    </row>
    <row r="790" spans="1:13" x14ac:dyDescent="0.25">
      <c r="A790">
        <v>1002</v>
      </c>
      <c r="B790" t="str">
        <f>"MDH2"</f>
        <v>MDH2</v>
      </c>
      <c r="C790" t="str">
        <f>""</f>
        <v/>
      </c>
      <c r="D790">
        <v>30.875</v>
      </c>
      <c r="E790">
        <v>27</v>
      </c>
      <c r="F790">
        <v>43</v>
      </c>
      <c r="G790">
        <v>53</v>
      </c>
      <c r="H790">
        <v>46</v>
      </c>
      <c r="I790" s="7">
        <v>24.115767975954999</v>
      </c>
      <c r="J790" s="6">
        <v>30.8042569618231</v>
      </c>
      <c r="K790" s="6">
        <v>27.7600895621406</v>
      </c>
      <c r="L790">
        <v>1.21423349615812</v>
      </c>
      <c r="M790">
        <v>0.28114545222620502</v>
      </c>
    </row>
    <row r="791" spans="1:13" x14ac:dyDescent="0.25">
      <c r="A791">
        <v>1070</v>
      </c>
      <c r="B791" t="str">
        <f>"EIF1AX;EIF1AY"</f>
        <v>EIF1AX;EIF1AY</v>
      </c>
      <c r="C791" t="str">
        <f>""</f>
        <v/>
      </c>
      <c r="D791">
        <v>16.46</v>
      </c>
      <c r="E791">
        <v>16</v>
      </c>
      <c r="F791">
        <v>1</v>
      </c>
      <c r="G791">
        <v>5</v>
      </c>
      <c r="H791">
        <v>1</v>
      </c>
      <c r="I791" s="7">
        <v>0.56083181339430199</v>
      </c>
      <c r="J791" s="6">
        <v>2.9060619775304799</v>
      </c>
      <c r="K791" s="6">
        <v>0.60348020787262302</v>
      </c>
      <c r="L791">
        <v>3.1288722408260199</v>
      </c>
      <c r="M791">
        <v>0.281387201981393</v>
      </c>
    </row>
    <row r="792" spans="1:13" x14ac:dyDescent="0.25">
      <c r="A792">
        <v>402</v>
      </c>
      <c r="B792" t="str">
        <f>"IPO7"</f>
        <v>IPO7</v>
      </c>
      <c r="C792" t="str">
        <f>""</f>
        <v/>
      </c>
      <c r="D792">
        <v>119.52</v>
      </c>
      <c r="E792">
        <v>7.5</v>
      </c>
      <c r="F792">
        <v>3</v>
      </c>
      <c r="G792">
        <v>5</v>
      </c>
      <c r="H792">
        <v>6</v>
      </c>
      <c r="I792" s="7">
        <v>1.68249544018291</v>
      </c>
      <c r="J792" s="6">
        <v>2.9060619775304799</v>
      </c>
      <c r="K792" s="6">
        <v>3.6208812472357401</v>
      </c>
      <c r="L792">
        <v>1.93966148997606</v>
      </c>
      <c r="M792">
        <v>0.28507945880577201</v>
      </c>
    </row>
    <row r="793" spans="1:13" x14ac:dyDescent="0.25">
      <c r="A793">
        <v>2775</v>
      </c>
      <c r="B793" t="str">
        <f>"DDX21"</f>
        <v>DDX21</v>
      </c>
      <c r="C793" t="str">
        <f>""</f>
        <v/>
      </c>
      <c r="D793">
        <v>87.343000000000004</v>
      </c>
      <c r="E793">
        <v>16.899999999999999</v>
      </c>
      <c r="F793">
        <v>3</v>
      </c>
      <c r="G793">
        <v>6</v>
      </c>
      <c r="H793">
        <v>5</v>
      </c>
      <c r="I793" s="7">
        <v>1.68249544018291</v>
      </c>
      <c r="J793" s="6">
        <v>3.4872743730365801</v>
      </c>
      <c r="K793" s="6">
        <v>3.0174010393631101</v>
      </c>
      <c r="L793">
        <v>1.93304399436963</v>
      </c>
      <c r="M793">
        <v>0.28507947372401199</v>
      </c>
    </row>
    <row r="794" spans="1:13" x14ac:dyDescent="0.25">
      <c r="A794">
        <v>1288</v>
      </c>
      <c r="B794" t="str">
        <f>"MAGOH;MAGOHB"</f>
        <v>MAGOH;MAGOHB</v>
      </c>
      <c r="C794" t="str">
        <f>""</f>
        <v/>
      </c>
      <c r="D794">
        <v>17.163</v>
      </c>
      <c r="E794">
        <v>19.2</v>
      </c>
      <c r="F794">
        <v>3</v>
      </c>
      <c r="G794">
        <v>6</v>
      </c>
      <c r="H794">
        <v>5</v>
      </c>
      <c r="I794" s="7">
        <v>1.68249544018291</v>
      </c>
      <c r="J794" s="6">
        <v>3.4872743730365801</v>
      </c>
      <c r="K794" s="6">
        <v>3.0174010393631101</v>
      </c>
      <c r="L794">
        <v>1.93304399436963</v>
      </c>
      <c r="M794">
        <v>0.28507947372401199</v>
      </c>
    </row>
    <row r="795" spans="1:13" x14ac:dyDescent="0.25">
      <c r="A795">
        <v>1490</v>
      </c>
      <c r="B795" t="str">
        <f>"SSRP1"</f>
        <v>SSRP1</v>
      </c>
      <c r="C795" t="str">
        <f>""</f>
        <v/>
      </c>
      <c r="D795">
        <v>81.073999999999998</v>
      </c>
      <c r="E795">
        <v>3.5</v>
      </c>
      <c r="F795">
        <v>3</v>
      </c>
      <c r="G795">
        <v>4</v>
      </c>
      <c r="H795">
        <v>7</v>
      </c>
      <c r="I795" s="7">
        <v>1.68249544018291</v>
      </c>
      <c r="J795" s="6">
        <v>2.32484958202439</v>
      </c>
      <c r="K795" s="6">
        <v>4.2243614551083599</v>
      </c>
      <c r="L795">
        <v>1.9462789855825</v>
      </c>
      <c r="M795">
        <v>0.28539672260136301</v>
      </c>
    </row>
    <row r="796" spans="1:13" x14ac:dyDescent="0.25">
      <c r="A796">
        <v>1441</v>
      </c>
      <c r="B796" t="str">
        <f>"RPL6"</f>
        <v>RPL6</v>
      </c>
      <c r="C796" t="str">
        <f>""</f>
        <v/>
      </c>
      <c r="D796">
        <v>32.728000000000002</v>
      </c>
      <c r="E796">
        <v>12.8</v>
      </c>
      <c r="F796">
        <v>5</v>
      </c>
      <c r="G796">
        <v>8</v>
      </c>
      <c r="H796">
        <v>8</v>
      </c>
      <c r="I796" s="7">
        <v>2.80415906697151</v>
      </c>
      <c r="J796" s="6">
        <v>4.6496991640487702</v>
      </c>
      <c r="K796" s="6">
        <v>4.8278416629809797</v>
      </c>
      <c r="L796">
        <v>1.68990784771448</v>
      </c>
      <c r="M796">
        <v>0.28809120508846803</v>
      </c>
    </row>
    <row r="797" spans="1:13" x14ac:dyDescent="0.25">
      <c r="A797">
        <v>1423</v>
      </c>
      <c r="B797" t="str">
        <f>"AMPD2"</f>
        <v>AMPD2</v>
      </c>
      <c r="C797" t="str">
        <f>""</f>
        <v/>
      </c>
      <c r="D797">
        <v>88.197000000000003</v>
      </c>
      <c r="E797">
        <v>6.1</v>
      </c>
      <c r="F797">
        <v>5</v>
      </c>
      <c r="G797">
        <v>8</v>
      </c>
      <c r="H797">
        <v>8</v>
      </c>
      <c r="I797" s="7">
        <v>2.80415906697151</v>
      </c>
      <c r="J797" s="6">
        <v>4.6496991640487702</v>
      </c>
      <c r="K797" s="6">
        <v>4.8278416629809797</v>
      </c>
      <c r="L797">
        <v>1.68990784771448</v>
      </c>
      <c r="M797">
        <v>0.28809120508846803</v>
      </c>
    </row>
    <row r="798" spans="1:13" x14ac:dyDescent="0.25">
      <c r="A798">
        <v>1118</v>
      </c>
      <c r="B798" t="str">
        <f>"RBM25"</f>
        <v>RBM25</v>
      </c>
      <c r="C798" t="str">
        <f>""</f>
        <v/>
      </c>
      <c r="D798">
        <v>100.18</v>
      </c>
      <c r="E798">
        <v>8.6999999999999993</v>
      </c>
      <c r="F798">
        <v>5</v>
      </c>
      <c r="G798">
        <v>8</v>
      </c>
      <c r="H798">
        <v>8</v>
      </c>
      <c r="I798" s="7">
        <v>2.80415906697151</v>
      </c>
      <c r="J798" s="6">
        <v>4.6496991640487702</v>
      </c>
      <c r="K798" s="6">
        <v>4.8278416629809797</v>
      </c>
      <c r="L798">
        <v>1.68990784771448</v>
      </c>
      <c r="M798">
        <v>0.28809120508846803</v>
      </c>
    </row>
    <row r="799" spans="1:13" x14ac:dyDescent="0.25">
      <c r="A799">
        <v>838</v>
      </c>
      <c r="B799" t="str">
        <f>"HMGB2"</f>
        <v>HMGB2</v>
      </c>
      <c r="C799" t="str">
        <f>""</f>
        <v/>
      </c>
      <c r="D799">
        <v>24.033000000000001</v>
      </c>
      <c r="E799">
        <v>27.3</v>
      </c>
      <c r="F799">
        <v>5</v>
      </c>
      <c r="G799">
        <v>7</v>
      </c>
      <c r="H799">
        <v>9</v>
      </c>
      <c r="I799" s="7">
        <v>2.80415906697151</v>
      </c>
      <c r="J799" s="6">
        <v>4.0684867685426802</v>
      </c>
      <c r="K799" s="6">
        <v>5.4313218708536004</v>
      </c>
      <c r="L799">
        <v>1.6938783450783499</v>
      </c>
      <c r="M799">
        <v>0.28818160104283103</v>
      </c>
    </row>
    <row r="800" spans="1:13" x14ac:dyDescent="0.25">
      <c r="A800">
        <v>3106</v>
      </c>
      <c r="B800" t="str">
        <f>"TLN1"</f>
        <v>TLN1</v>
      </c>
      <c r="C800" t="str">
        <f>""</f>
        <v/>
      </c>
      <c r="D800">
        <v>269.76</v>
      </c>
      <c r="E800">
        <v>7.6</v>
      </c>
      <c r="F800">
        <v>5</v>
      </c>
      <c r="G800">
        <v>10</v>
      </c>
      <c r="H800">
        <v>6</v>
      </c>
      <c r="I800" s="7">
        <v>2.80415906697151</v>
      </c>
      <c r="J800" s="6">
        <v>5.8121239550609696</v>
      </c>
      <c r="K800" s="6">
        <v>3.6208812472357401</v>
      </c>
      <c r="L800">
        <v>1.68196685298676</v>
      </c>
      <c r="M800">
        <v>0.288453099537055</v>
      </c>
    </row>
    <row r="801" spans="1:13" x14ac:dyDescent="0.25">
      <c r="A801">
        <v>1471</v>
      </c>
      <c r="B801" t="str">
        <f>"PRDX1"</f>
        <v>PRDX1</v>
      </c>
      <c r="C801" t="str">
        <f>""</f>
        <v/>
      </c>
      <c r="D801">
        <v>22.11</v>
      </c>
      <c r="E801">
        <v>35.700000000000003</v>
      </c>
      <c r="F801">
        <v>27</v>
      </c>
      <c r="G801">
        <v>30</v>
      </c>
      <c r="H801">
        <v>35</v>
      </c>
      <c r="I801" s="7">
        <v>15.1424589616462</v>
      </c>
      <c r="J801" s="6">
        <v>17.436371865182899</v>
      </c>
      <c r="K801" s="6">
        <v>21.121807275541801</v>
      </c>
      <c r="L801">
        <v>1.27318090273143</v>
      </c>
      <c r="M801">
        <v>0.28951137913888297</v>
      </c>
    </row>
    <row r="802" spans="1:13" x14ac:dyDescent="0.25">
      <c r="A802">
        <v>1418</v>
      </c>
      <c r="B802" t="str">
        <f>"HNRNPU"</f>
        <v>HNRNPU</v>
      </c>
      <c r="C802" t="str">
        <f>""</f>
        <v/>
      </c>
      <c r="D802">
        <v>88.978999999999999</v>
      </c>
      <c r="E802">
        <v>11.9</v>
      </c>
      <c r="F802">
        <v>12</v>
      </c>
      <c r="G802">
        <v>5</v>
      </c>
      <c r="H802">
        <v>10</v>
      </c>
      <c r="I802" s="7">
        <v>6.7299817607316301</v>
      </c>
      <c r="J802" s="6">
        <v>2.9060619775304799</v>
      </c>
      <c r="K802" s="6">
        <v>6.03480207872623</v>
      </c>
      <c r="L802">
        <v>-1.5054432588139099</v>
      </c>
      <c r="M802">
        <v>0.290441742160917</v>
      </c>
    </row>
    <row r="803" spans="1:13" x14ac:dyDescent="0.25">
      <c r="A803">
        <v>689</v>
      </c>
      <c r="B803" t="str">
        <f>"MIF"</f>
        <v>MIF</v>
      </c>
      <c r="C803" t="str">
        <f>""</f>
        <v/>
      </c>
      <c r="D803">
        <v>12.476000000000001</v>
      </c>
      <c r="E803">
        <v>17.399999999999999</v>
      </c>
      <c r="F803">
        <v>36</v>
      </c>
      <c r="G803">
        <v>43</v>
      </c>
      <c r="H803">
        <v>41</v>
      </c>
      <c r="I803" s="7">
        <v>20.189945282194898</v>
      </c>
      <c r="J803" s="6">
        <v>24.992133006762199</v>
      </c>
      <c r="K803" s="6">
        <v>24.742688522777499</v>
      </c>
      <c r="L803">
        <v>1.23167301432461</v>
      </c>
      <c r="M803">
        <v>0.29064101233839701</v>
      </c>
    </row>
    <row r="804" spans="1:13" x14ac:dyDescent="0.25">
      <c r="A804">
        <v>600</v>
      </c>
      <c r="B804" t="str">
        <f>"ANXA5"</f>
        <v>ANXA5</v>
      </c>
      <c r="C804" t="str">
        <f>""</f>
        <v/>
      </c>
      <c r="D804">
        <v>35.936</v>
      </c>
      <c r="E804">
        <v>16.2</v>
      </c>
      <c r="F804">
        <v>12</v>
      </c>
      <c r="G804">
        <v>6</v>
      </c>
      <c r="H804">
        <v>9</v>
      </c>
      <c r="I804" s="7">
        <v>6.7299817607316301</v>
      </c>
      <c r="J804" s="6">
        <v>3.4872743730365801</v>
      </c>
      <c r="K804" s="6">
        <v>5.4313218708536004</v>
      </c>
      <c r="L804">
        <v>-1.50920202612426</v>
      </c>
      <c r="M804">
        <v>0.29080150922826797</v>
      </c>
    </row>
    <row r="805" spans="1:13" x14ac:dyDescent="0.25">
      <c r="A805">
        <v>1175</v>
      </c>
      <c r="B805" t="str">
        <f>"HNRNPM"</f>
        <v>HNRNPM</v>
      </c>
      <c r="C805" t="str">
        <f>""</f>
        <v/>
      </c>
      <c r="D805">
        <v>73.62</v>
      </c>
      <c r="E805">
        <v>17.8</v>
      </c>
      <c r="F805">
        <v>8</v>
      </c>
      <c r="G805">
        <v>5</v>
      </c>
      <c r="H805">
        <v>4</v>
      </c>
      <c r="I805" s="7">
        <v>4.4866545071544204</v>
      </c>
      <c r="J805" s="6">
        <v>2.9060619775304799</v>
      </c>
      <c r="K805" s="6">
        <v>2.4139208314904899</v>
      </c>
      <c r="L805">
        <v>-1.6867176711723599</v>
      </c>
      <c r="M805">
        <v>0.29123935688962799</v>
      </c>
    </row>
    <row r="806" spans="1:13" x14ac:dyDescent="0.25">
      <c r="A806">
        <v>1121</v>
      </c>
      <c r="B806" t="str">
        <f>"NUP153"</f>
        <v>NUP153</v>
      </c>
      <c r="C806" t="str">
        <f>""</f>
        <v/>
      </c>
      <c r="D806">
        <v>149.38999999999999</v>
      </c>
      <c r="E806">
        <v>5.7</v>
      </c>
      <c r="F806">
        <v>8</v>
      </c>
      <c r="G806">
        <v>4</v>
      </c>
      <c r="H806">
        <v>5</v>
      </c>
      <c r="I806" s="7">
        <v>4.4866545071544204</v>
      </c>
      <c r="J806" s="6">
        <v>2.32484958202439</v>
      </c>
      <c r="K806" s="6">
        <v>3.0174010393631101</v>
      </c>
      <c r="L806">
        <v>-1.67968701774951</v>
      </c>
      <c r="M806">
        <v>0.29123936899184499</v>
      </c>
    </row>
    <row r="807" spans="1:13" x14ac:dyDescent="0.25">
      <c r="A807">
        <v>2278</v>
      </c>
      <c r="B807" t="str">
        <f>"HSPH1"</f>
        <v>HSPH1</v>
      </c>
      <c r="C807" t="str">
        <f>""</f>
        <v/>
      </c>
      <c r="D807">
        <v>92.114999999999995</v>
      </c>
      <c r="E807">
        <v>12.2</v>
      </c>
      <c r="F807">
        <v>10</v>
      </c>
      <c r="G807">
        <v>8</v>
      </c>
      <c r="H807">
        <v>4</v>
      </c>
      <c r="I807" s="7">
        <v>5.6083181339430199</v>
      </c>
      <c r="J807" s="6">
        <v>4.6496991640487702</v>
      </c>
      <c r="K807" s="6">
        <v>2.4139208314904899</v>
      </c>
      <c r="L807">
        <v>-1.5879444640240299</v>
      </c>
      <c r="M807">
        <v>0.29373977135344398</v>
      </c>
    </row>
    <row r="808" spans="1:13" x14ac:dyDescent="0.25">
      <c r="A808">
        <v>614</v>
      </c>
      <c r="B808" t="str">
        <f>"PARP1"</f>
        <v>PARP1</v>
      </c>
      <c r="C808" t="str">
        <f>""</f>
        <v/>
      </c>
      <c r="D808">
        <v>113.08</v>
      </c>
      <c r="E808">
        <v>24.1</v>
      </c>
      <c r="F808">
        <v>69</v>
      </c>
      <c r="G808">
        <v>75</v>
      </c>
      <c r="H808">
        <v>77</v>
      </c>
      <c r="I808" s="7">
        <v>38.6973951242068</v>
      </c>
      <c r="J808" s="6">
        <v>43.590929662957201</v>
      </c>
      <c r="K808" s="6">
        <v>46.467976006192004</v>
      </c>
      <c r="L808">
        <v>1.16363007613416</v>
      </c>
      <c r="M808">
        <v>0.29497293322550699</v>
      </c>
    </row>
    <row r="809" spans="1:13" x14ac:dyDescent="0.25">
      <c r="A809">
        <v>1098</v>
      </c>
      <c r="B809" t="str">
        <f>"CCT3"</f>
        <v>CCT3</v>
      </c>
      <c r="C809" t="str">
        <f>""</f>
        <v/>
      </c>
      <c r="D809">
        <v>56.43</v>
      </c>
      <c r="E809">
        <v>23.5</v>
      </c>
      <c r="F809">
        <v>30</v>
      </c>
      <c r="G809">
        <v>37</v>
      </c>
      <c r="H809">
        <v>34</v>
      </c>
      <c r="I809" s="7">
        <v>16.8249544018291</v>
      </c>
      <c r="J809" s="6">
        <v>21.5048586337256</v>
      </c>
      <c r="K809" s="6">
        <v>20.518327067669201</v>
      </c>
      <c r="L809">
        <v>1.2488350546978699</v>
      </c>
      <c r="M809">
        <v>0.30148620680287902</v>
      </c>
    </row>
    <row r="810" spans="1:13" x14ac:dyDescent="0.25">
      <c r="A810">
        <v>730</v>
      </c>
      <c r="B810" t="str">
        <f>"CTPS1"</f>
        <v>CTPS1</v>
      </c>
      <c r="C810" t="str">
        <f>""</f>
        <v/>
      </c>
      <c r="D810">
        <v>66.69</v>
      </c>
      <c r="E810">
        <v>13.4</v>
      </c>
      <c r="F810">
        <v>12</v>
      </c>
      <c r="G810">
        <v>13</v>
      </c>
      <c r="H810">
        <v>19</v>
      </c>
      <c r="I810" s="7">
        <v>6.7299817607316301</v>
      </c>
      <c r="J810" s="6">
        <v>7.5557611415792598</v>
      </c>
      <c r="K810" s="6">
        <v>11.466123949579799</v>
      </c>
      <c r="L810">
        <v>1.4132196614668999</v>
      </c>
      <c r="M810">
        <v>0.303141861534027</v>
      </c>
    </row>
    <row r="811" spans="1:13" x14ac:dyDescent="0.25">
      <c r="A811">
        <v>1448</v>
      </c>
      <c r="B811" t="str">
        <f>"EIF4G1"</f>
        <v>EIF4G1</v>
      </c>
      <c r="C811" t="str">
        <f>""</f>
        <v/>
      </c>
      <c r="D811">
        <v>154.80000000000001</v>
      </c>
      <c r="E811">
        <v>8</v>
      </c>
      <c r="F811">
        <v>15</v>
      </c>
      <c r="G811">
        <v>11</v>
      </c>
      <c r="H811">
        <v>9</v>
      </c>
      <c r="I811" s="7">
        <v>8.4124772009145303</v>
      </c>
      <c r="J811" s="6">
        <v>6.3933363505670604</v>
      </c>
      <c r="K811" s="6">
        <v>5.4313218708536004</v>
      </c>
      <c r="L811">
        <v>-1.4228702501819701</v>
      </c>
      <c r="M811">
        <v>0.31151363077019401</v>
      </c>
    </row>
    <row r="812" spans="1:13" x14ac:dyDescent="0.25">
      <c r="A812">
        <v>856</v>
      </c>
      <c r="B812" t="str">
        <f>"CANX"</f>
        <v>CANX</v>
      </c>
      <c r="C812" t="str">
        <f>""</f>
        <v/>
      </c>
      <c r="D812">
        <v>71.501999999999995</v>
      </c>
      <c r="E812">
        <v>12.8</v>
      </c>
      <c r="F812">
        <v>23</v>
      </c>
      <c r="G812">
        <v>17</v>
      </c>
      <c r="H812">
        <v>16</v>
      </c>
      <c r="I812" s="7">
        <v>12.8991317080689</v>
      </c>
      <c r="J812" s="6">
        <v>9.88061072360364</v>
      </c>
      <c r="K812" s="6">
        <v>9.6556833259619594</v>
      </c>
      <c r="L812">
        <v>-1.3205300529714099</v>
      </c>
      <c r="M812">
        <v>0.31338476747495703</v>
      </c>
    </row>
    <row r="813" spans="1:13" x14ac:dyDescent="0.25">
      <c r="A813">
        <v>971</v>
      </c>
      <c r="B813" t="str">
        <f>"PGM1"</f>
        <v>PGM1</v>
      </c>
      <c r="C813" t="str">
        <f>""</f>
        <v/>
      </c>
      <c r="D813">
        <v>61.448</v>
      </c>
      <c r="E813">
        <v>13.5</v>
      </c>
      <c r="F813">
        <v>9</v>
      </c>
      <c r="G813">
        <v>13</v>
      </c>
      <c r="H813">
        <v>12</v>
      </c>
      <c r="I813" s="7">
        <v>5.0474863205487202</v>
      </c>
      <c r="J813" s="6">
        <v>7.5557611415792598</v>
      </c>
      <c r="K813" s="6">
        <v>7.2417624944714696</v>
      </c>
      <c r="L813">
        <v>1.46583097965108</v>
      </c>
      <c r="M813">
        <v>0.31349935399967299</v>
      </c>
    </row>
    <row r="814" spans="1:13" x14ac:dyDescent="0.25">
      <c r="A814">
        <v>1338</v>
      </c>
      <c r="B814" t="str">
        <f>"RPS28"</f>
        <v>RPS28</v>
      </c>
      <c r="C814" t="str">
        <f>""</f>
        <v/>
      </c>
      <c r="D814">
        <v>7.8409000000000004</v>
      </c>
      <c r="E814">
        <v>23.2</v>
      </c>
      <c r="F814">
        <v>2</v>
      </c>
      <c r="G814">
        <v>4</v>
      </c>
      <c r="H814">
        <v>4</v>
      </c>
      <c r="I814" s="7">
        <v>1.1216636267886</v>
      </c>
      <c r="J814" s="6">
        <v>2.32484958202439</v>
      </c>
      <c r="K814" s="6">
        <v>2.4139208314904899</v>
      </c>
      <c r="L814">
        <v>2.1123848096431002</v>
      </c>
      <c r="M814">
        <v>0.31359961327749702</v>
      </c>
    </row>
    <row r="815" spans="1:13" x14ac:dyDescent="0.25">
      <c r="A815">
        <v>1795</v>
      </c>
      <c r="B815" t="str">
        <f>"TSR1"</f>
        <v>TSR1</v>
      </c>
      <c r="C815" t="str">
        <f>""</f>
        <v/>
      </c>
      <c r="D815">
        <v>91.808999999999997</v>
      </c>
      <c r="E815">
        <v>3</v>
      </c>
      <c r="F815">
        <v>2</v>
      </c>
      <c r="G815">
        <v>4</v>
      </c>
      <c r="H815">
        <v>4</v>
      </c>
      <c r="I815" s="7">
        <v>1.1216636267886</v>
      </c>
      <c r="J815" s="6">
        <v>2.32484958202439</v>
      </c>
      <c r="K815" s="6">
        <v>2.4139208314904899</v>
      </c>
      <c r="L815">
        <v>2.1123848096431002</v>
      </c>
      <c r="M815">
        <v>0.31359961327749702</v>
      </c>
    </row>
    <row r="816" spans="1:13" x14ac:dyDescent="0.25">
      <c r="A816">
        <v>1879</v>
      </c>
      <c r="B816" t="str">
        <f>"RPRD2"</f>
        <v>RPRD2</v>
      </c>
      <c r="C816" t="str">
        <f>""</f>
        <v/>
      </c>
      <c r="D816">
        <v>152.59</v>
      </c>
      <c r="E816">
        <v>6</v>
      </c>
      <c r="F816">
        <v>2</v>
      </c>
      <c r="G816">
        <v>4</v>
      </c>
      <c r="H816">
        <v>4</v>
      </c>
      <c r="I816" s="7">
        <v>1.1216636267886</v>
      </c>
      <c r="J816" s="6">
        <v>2.32484958202439</v>
      </c>
      <c r="K816" s="6">
        <v>2.4139208314904899</v>
      </c>
      <c r="L816">
        <v>2.1123848096431002</v>
      </c>
      <c r="M816">
        <v>0.31359961327749702</v>
      </c>
    </row>
    <row r="817" spans="1:13" x14ac:dyDescent="0.25">
      <c r="A817">
        <v>2162</v>
      </c>
      <c r="B817" t="str">
        <f>"ENAH"</f>
        <v>ENAH</v>
      </c>
      <c r="C817" t="str">
        <f>""</f>
        <v/>
      </c>
      <c r="D817">
        <v>60.347999999999999</v>
      </c>
      <c r="E817">
        <v>6.9</v>
      </c>
      <c r="F817">
        <v>2</v>
      </c>
      <c r="G817">
        <v>4</v>
      </c>
      <c r="H817">
        <v>4</v>
      </c>
      <c r="I817" s="7">
        <v>1.1216636267886</v>
      </c>
      <c r="J817" s="6">
        <v>2.32484958202439</v>
      </c>
      <c r="K817" s="6">
        <v>2.4139208314904899</v>
      </c>
      <c r="L817">
        <v>2.1123848096431002</v>
      </c>
      <c r="M817">
        <v>0.31359961327749702</v>
      </c>
    </row>
    <row r="818" spans="1:13" x14ac:dyDescent="0.25">
      <c r="A818">
        <v>2512</v>
      </c>
      <c r="B818" t="str">
        <f>"GRWD1"</f>
        <v>GRWD1</v>
      </c>
      <c r="C818" t="str">
        <f>""</f>
        <v/>
      </c>
      <c r="D818">
        <v>49.418999999999997</v>
      </c>
      <c r="E818">
        <v>11.7</v>
      </c>
      <c r="F818">
        <v>2</v>
      </c>
      <c r="G818">
        <v>4</v>
      </c>
      <c r="H818">
        <v>4</v>
      </c>
      <c r="I818" s="7">
        <v>1.1216636267886</v>
      </c>
      <c r="J818" s="6">
        <v>2.32484958202439</v>
      </c>
      <c r="K818" s="6">
        <v>2.4139208314904899</v>
      </c>
      <c r="L818">
        <v>2.1123848096431002</v>
      </c>
      <c r="M818">
        <v>0.31359961327749702</v>
      </c>
    </row>
    <row r="819" spans="1:13" x14ac:dyDescent="0.25">
      <c r="A819">
        <v>2834</v>
      </c>
      <c r="B819" t="str">
        <f>"NLE1"</f>
        <v>NLE1</v>
      </c>
      <c r="C819" t="str">
        <f>""</f>
        <v/>
      </c>
      <c r="D819">
        <v>53.32</v>
      </c>
      <c r="E819">
        <v>9.3000000000000007</v>
      </c>
      <c r="F819">
        <v>2</v>
      </c>
      <c r="G819">
        <v>4</v>
      </c>
      <c r="H819">
        <v>4</v>
      </c>
      <c r="I819" s="7">
        <v>1.1216636267886</v>
      </c>
      <c r="J819" s="6">
        <v>2.32484958202439</v>
      </c>
      <c r="K819" s="6">
        <v>2.4139208314904899</v>
      </c>
      <c r="L819">
        <v>2.1123848096431002</v>
      </c>
      <c r="M819">
        <v>0.31359961327749702</v>
      </c>
    </row>
    <row r="820" spans="1:13" x14ac:dyDescent="0.25">
      <c r="A820">
        <v>1246</v>
      </c>
      <c r="B820" t="str">
        <f>"MARS"</f>
        <v>MARS</v>
      </c>
      <c r="C820" t="str">
        <f>""</f>
        <v/>
      </c>
      <c r="D820">
        <v>101.11</v>
      </c>
      <c r="E820">
        <v>10.8</v>
      </c>
      <c r="F820">
        <v>2</v>
      </c>
      <c r="G820">
        <v>3</v>
      </c>
      <c r="H820">
        <v>5</v>
      </c>
      <c r="I820" s="7">
        <v>1.1216636267886</v>
      </c>
      <c r="J820" s="6">
        <v>1.74363718651829</v>
      </c>
      <c r="K820" s="6">
        <v>3.0174010393631101</v>
      </c>
      <c r="L820">
        <v>2.1223110530527598</v>
      </c>
      <c r="M820">
        <v>0.31387302432328701</v>
      </c>
    </row>
    <row r="821" spans="1:13" x14ac:dyDescent="0.25">
      <c r="A821">
        <v>2601</v>
      </c>
      <c r="B821" t="str">
        <f>"MRPL13"</f>
        <v>MRPL13</v>
      </c>
      <c r="C821" t="str">
        <f>""</f>
        <v/>
      </c>
      <c r="D821">
        <v>20.692</v>
      </c>
      <c r="E821">
        <v>11.2</v>
      </c>
      <c r="F821">
        <v>2</v>
      </c>
      <c r="G821">
        <v>5</v>
      </c>
      <c r="H821">
        <v>3</v>
      </c>
      <c r="I821" s="7">
        <v>1.1216636267886</v>
      </c>
      <c r="J821" s="6">
        <v>2.9060619775304799</v>
      </c>
      <c r="K821" s="6">
        <v>1.8104406236178701</v>
      </c>
      <c r="L821">
        <v>2.1024585662334498</v>
      </c>
      <c r="M821">
        <v>0.31387305453741698</v>
      </c>
    </row>
    <row r="822" spans="1:13" x14ac:dyDescent="0.25">
      <c r="A822">
        <v>972</v>
      </c>
      <c r="B822" t="str">
        <f>"GNL1"</f>
        <v>GNL1</v>
      </c>
      <c r="C822" t="str">
        <f>""</f>
        <v/>
      </c>
      <c r="D822">
        <v>68.66</v>
      </c>
      <c r="E822">
        <v>5.3</v>
      </c>
      <c r="F822">
        <v>2</v>
      </c>
      <c r="G822">
        <v>5</v>
      </c>
      <c r="H822">
        <v>3</v>
      </c>
      <c r="I822" s="7">
        <v>1.1216636267886</v>
      </c>
      <c r="J822" s="6">
        <v>2.9060619775304799</v>
      </c>
      <c r="K822" s="6">
        <v>1.8104406236178701</v>
      </c>
      <c r="L822">
        <v>2.1024585662334498</v>
      </c>
      <c r="M822">
        <v>0.31387305453741698</v>
      </c>
    </row>
    <row r="823" spans="1:13" x14ac:dyDescent="0.25">
      <c r="A823">
        <v>1561</v>
      </c>
      <c r="B823" t="str">
        <f>"EIF3I"</f>
        <v>EIF3I</v>
      </c>
      <c r="C823" t="str">
        <f>""</f>
        <v/>
      </c>
      <c r="D823">
        <v>36.500999999999998</v>
      </c>
      <c r="E823">
        <v>6.5</v>
      </c>
      <c r="F823">
        <v>2</v>
      </c>
      <c r="G823">
        <v>5</v>
      </c>
      <c r="H823">
        <v>3</v>
      </c>
      <c r="I823" s="7">
        <v>1.1216636267886</v>
      </c>
      <c r="J823" s="6">
        <v>2.9060619775304799</v>
      </c>
      <c r="K823" s="6">
        <v>1.8104406236178701</v>
      </c>
      <c r="L823">
        <v>2.1024585662334498</v>
      </c>
      <c r="M823">
        <v>0.31387305453741698</v>
      </c>
    </row>
    <row r="824" spans="1:13" x14ac:dyDescent="0.25">
      <c r="A824">
        <v>1745</v>
      </c>
      <c r="B824" t="str">
        <f>"NSDHL"</f>
        <v>NSDHL</v>
      </c>
      <c r="C824" t="str">
        <f>""</f>
        <v/>
      </c>
      <c r="D824">
        <v>41.9</v>
      </c>
      <c r="E824">
        <v>5.6</v>
      </c>
      <c r="F824">
        <v>2</v>
      </c>
      <c r="G824">
        <v>5</v>
      </c>
      <c r="H824">
        <v>3</v>
      </c>
      <c r="I824" s="7">
        <v>1.1216636267886</v>
      </c>
      <c r="J824" s="6">
        <v>2.9060619775304799</v>
      </c>
      <c r="K824" s="6">
        <v>1.8104406236178701</v>
      </c>
      <c r="L824">
        <v>2.1024585662334498</v>
      </c>
      <c r="M824">
        <v>0.31387305453741698</v>
      </c>
    </row>
    <row r="825" spans="1:13" x14ac:dyDescent="0.25">
      <c r="A825">
        <v>2023</v>
      </c>
      <c r="B825" t="str">
        <f>"DHX29"</f>
        <v>DHX29</v>
      </c>
      <c r="C825" t="str">
        <f>""</f>
        <v/>
      </c>
      <c r="D825">
        <v>155.22999999999999</v>
      </c>
      <c r="E825">
        <v>4.2</v>
      </c>
      <c r="F825">
        <v>2</v>
      </c>
      <c r="G825">
        <v>5</v>
      </c>
      <c r="H825">
        <v>3</v>
      </c>
      <c r="I825" s="7">
        <v>1.1216636267886</v>
      </c>
      <c r="J825" s="6">
        <v>2.9060619775304799</v>
      </c>
      <c r="K825" s="6">
        <v>1.8104406236178701</v>
      </c>
      <c r="L825">
        <v>2.1024585662334498</v>
      </c>
      <c r="M825">
        <v>0.31387305453741698</v>
      </c>
    </row>
    <row r="826" spans="1:13" x14ac:dyDescent="0.25">
      <c r="A826">
        <v>3049</v>
      </c>
      <c r="B826" t="str">
        <f>"DRG1"</f>
        <v>DRG1</v>
      </c>
      <c r="C826" t="str">
        <f>""</f>
        <v/>
      </c>
      <c r="D826">
        <v>40.542000000000002</v>
      </c>
      <c r="E826">
        <v>18.3</v>
      </c>
      <c r="F826">
        <v>2</v>
      </c>
      <c r="G826">
        <v>5</v>
      </c>
      <c r="H826">
        <v>3</v>
      </c>
      <c r="I826" s="7">
        <v>1.1216636267886</v>
      </c>
      <c r="J826" s="6">
        <v>2.9060619775304799</v>
      </c>
      <c r="K826" s="6">
        <v>1.8104406236178701</v>
      </c>
      <c r="L826">
        <v>2.1024585662334498</v>
      </c>
      <c r="M826">
        <v>0.31387305453741698</v>
      </c>
    </row>
    <row r="827" spans="1:13" x14ac:dyDescent="0.25">
      <c r="A827">
        <v>2142</v>
      </c>
      <c r="B827" t="str">
        <f>"STAG2"</f>
        <v>STAG2</v>
      </c>
      <c r="C827" t="str">
        <f>""</f>
        <v/>
      </c>
      <c r="D827">
        <v>141.32</v>
      </c>
      <c r="E827">
        <v>3.1</v>
      </c>
      <c r="F827">
        <v>6</v>
      </c>
      <c r="G827">
        <v>8</v>
      </c>
      <c r="H827">
        <v>10</v>
      </c>
      <c r="I827" s="7">
        <v>3.3649908803658102</v>
      </c>
      <c r="J827" s="6">
        <v>4.6496991640487702</v>
      </c>
      <c r="K827" s="6">
        <v>6.03480207872623</v>
      </c>
      <c r="L827">
        <v>1.58759735503555</v>
      </c>
      <c r="M827">
        <v>0.31465694044496501</v>
      </c>
    </row>
    <row r="828" spans="1:13" x14ac:dyDescent="0.25">
      <c r="A828">
        <v>875</v>
      </c>
      <c r="B828" t="str">
        <f>"TKT"</f>
        <v>TKT</v>
      </c>
      <c r="C828" t="str">
        <f>""</f>
        <v/>
      </c>
      <c r="D828">
        <v>67.876999999999995</v>
      </c>
      <c r="E828">
        <v>19.100000000000001</v>
      </c>
      <c r="F828">
        <v>25</v>
      </c>
      <c r="G828">
        <v>30</v>
      </c>
      <c r="H828">
        <v>30</v>
      </c>
      <c r="I828" s="7">
        <v>14.020795334857601</v>
      </c>
      <c r="J828" s="6">
        <v>17.436371865182899</v>
      </c>
      <c r="K828" s="6">
        <v>18.104406236178701</v>
      </c>
      <c r="L828">
        <v>1.2674308857858601</v>
      </c>
      <c r="M828">
        <v>0.31468351821260998</v>
      </c>
    </row>
    <row r="829" spans="1:13" x14ac:dyDescent="0.25">
      <c r="A829">
        <v>2782</v>
      </c>
      <c r="B829" t="str">
        <f>"CTPS2"</f>
        <v>CTPS2</v>
      </c>
      <c r="C829" t="str">
        <f>""</f>
        <v/>
      </c>
      <c r="D829">
        <v>65.677000000000007</v>
      </c>
      <c r="E829">
        <v>11.8</v>
      </c>
      <c r="F829">
        <v>2</v>
      </c>
      <c r="G829">
        <v>6</v>
      </c>
      <c r="H829">
        <v>2</v>
      </c>
      <c r="I829" s="7">
        <v>1.1216636267886</v>
      </c>
      <c r="J829" s="6">
        <v>3.4872743730365801</v>
      </c>
      <c r="K829" s="6">
        <v>1.20696041574525</v>
      </c>
      <c r="L829">
        <v>2.0925323228237902</v>
      </c>
      <c r="M829">
        <v>0.31577414424991701</v>
      </c>
    </row>
    <row r="830" spans="1:13" x14ac:dyDescent="0.25">
      <c r="A830">
        <v>2762</v>
      </c>
      <c r="B830" t="str">
        <f>"LZTFL1"</f>
        <v>LZTFL1</v>
      </c>
      <c r="C830" t="str">
        <f>""</f>
        <v/>
      </c>
      <c r="D830">
        <v>29.332000000000001</v>
      </c>
      <c r="E830">
        <v>10.199999999999999</v>
      </c>
      <c r="F830">
        <v>5</v>
      </c>
      <c r="G830">
        <v>4</v>
      </c>
      <c r="H830">
        <v>1</v>
      </c>
      <c r="I830" s="7">
        <v>2.80415906697151</v>
      </c>
      <c r="J830" s="6">
        <v>2.32484958202439</v>
      </c>
      <c r="K830" s="6">
        <v>0.60348020787262302</v>
      </c>
      <c r="L830">
        <v>-1.9151934844539</v>
      </c>
      <c r="M830">
        <v>0.31811256391537301</v>
      </c>
    </row>
    <row r="831" spans="1:13" x14ac:dyDescent="0.25">
      <c r="A831">
        <v>1195</v>
      </c>
      <c r="B831" t="str">
        <f>"NUP98"</f>
        <v>NUP98</v>
      </c>
      <c r="C831" t="str">
        <f>""</f>
        <v/>
      </c>
      <c r="D831">
        <v>186.27</v>
      </c>
      <c r="E831">
        <v>2.6</v>
      </c>
      <c r="F831">
        <v>5</v>
      </c>
      <c r="G831">
        <v>3</v>
      </c>
      <c r="H831">
        <v>2</v>
      </c>
      <c r="I831" s="7">
        <v>2.80415906697151</v>
      </c>
      <c r="J831" s="6">
        <v>1.74363718651829</v>
      </c>
      <c r="K831" s="6">
        <v>1.20696041574525</v>
      </c>
      <c r="L831">
        <v>-1.90073974493866</v>
      </c>
      <c r="M831">
        <v>0.319063528379122</v>
      </c>
    </row>
    <row r="832" spans="1:13" x14ac:dyDescent="0.25">
      <c r="A832">
        <v>1289</v>
      </c>
      <c r="B832" t="str">
        <f>"RPL27"</f>
        <v>RPL27</v>
      </c>
      <c r="C832" t="str">
        <f>""</f>
        <v/>
      </c>
      <c r="D832">
        <v>15.798</v>
      </c>
      <c r="E832">
        <v>18.399999999999999</v>
      </c>
      <c r="F832">
        <v>5</v>
      </c>
      <c r="G832">
        <v>3</v>
      </c>
      <c r="H832">
        <v>2</v>
      </c>
      <c r="I832" s="7">
        <v>2.80415906697151</v>
      </c>
      <c r="J832" s="6">
        <v>1.74363718651829</v>
      </c>
      <c r="K832" s="6">
        <v>1.20696041574525</v>
      </c>
      <c r="L832">
        <v>-1.90073974493866</v>
      </c>
      <c r="M832">
        <v>0.319063528379122</v>
      </c>
    </row>
    <row r="833" spans="1:13" x14ac:dyDescent="0.25">
      <c r="A833">
        <v>880</v>
      </c>
      <c r="B833" t="str">
        <f>"MARCKS"</f>
        <v>MARCKS</v>
      </c>
      <c r="C833" t="str">
        <f>""</f>
        <v/>
      </c>
      <c r="D833">
        <v>31.553999999999998</v>
      </c>
      <c r="E833">
        <v>5.4</v>
      </c>
      <c r="F833">
        <v>5</v>
      </c>
      <c r="G833">
        <v>2</v>
      </c>
      <c r="H833">
        <v>3</v>
      </c>
      <c r="I833" s="7">
        <v>2.80415906697151</v>
      </c>
      <c r="J833" s="6">
        <v>1.1624247910121901</v>
      </c>
      <c r="K833" s="6">
        <v>1.8104406236178701</v>
      </c>
      <c r="L833">
        <v>-1.88650253265532</v>
      </c>
      <c r="M833">
        <v>0.31906354109047302</v>
      </c>
    </row>
    <row r="834" spans="1:13" x14ac:dyDescent="0.25">
      <c r="A834">
        <v>1553</v>
      </c>
      <c r="B834" t="str">
        <f>"SRSF5"</f>
        <v>SRSF5</v>
      </c>
      <c r="C834" t="str">
        <f>""</f>
        <v/>
      </c>
      <c r="D834">
        <v>31.263000000000002</v>
      </c>
      <c r="E834">
        <v>7.7</v>
      </c>
      <c r="F834">
        <v>5</v>
      </c>
      <c r="G834">
        <v>2</v>
      </c>
      <c r="H834">
        <v>3</v>
      </c>
      <c r="I834" s="7">
        <v>2.80415906697151</v>
      </c>
      <c r="J834" s="6">
        <v>1.1624247910121901</v>
      </c>
      <c r="K834" s="6">
        <v>1.8104406236178701</v>
      </c>
      <c r="L834">
        <v>-1.88650253265532</v>
      </c>
      <c r="M834">
        <v>0.31906354109047302</v>
      </c>
    </row>
    <row r="835" spans="1:13" x14ac:dyDescent="0.25">
      <c r="A835">
        <v>2751</v>
      </c>
      <c r="B835" t="str">
        <f>"VTA1"</f>
        <v>VTA1</v>
      </c>
      <c r="C835" t="str">
        <f>""</f>
        <v/>
      </c>
      <c r="D835">
        <v>33.878999999999998</v>
      </c>
      <c r="E835">
        <v>5.5</v>
      </c>
      <c r="F835">
        <v>2</v>
      </c>
      <c r="G835">
        <v>2</v>
      </c>
      <c r="H835">
        <v>6</v>
      </c>
      <c r="I835" s="7">
        <v>1.1216636267886</v>
      </c>
      <c r="J835" s="6">
        <v>1.1624247910121901</v>
      </c>
      <c r="K835" s="6">
        <v>3.6208812472357401</v>
      </c>
      <c r="L835">
        <v>2.1322372964624199</v>
      </c>
      <c r="M835">
        <v>0.32225561034566003</v>
      </c>
    </row>
    <row r="836" spans="1:13" x14ac:dyDescent="0.25">
      <c r="A836">
        <v>2297</v>
      </c>
      <c r="B836" t="str">
        <f>"RAD50"</f>
        <v>RAD50</v>
      </c>
      <c r="C836" t="str">
        <f>""</f>
        <v/>
      </c>
      <c r="D836">
        <v>154.59</v>
      </c>
      <c r="E836">
        <v>5.0999999999999996</v>
      </c>
      <c r="F836">
        <v>13</v>
      </c>
      <c r="G836">
        <v>9</v>
      </c>
      <c r="H836">
        <v>8</v>
      </c>
      <c r="I836" s="7">
        <v>7.2908135741259299</v>
      </c>
      <c r="J836" s="6">
        <v>5.2309115595548699</v>
      </c>
      <c r="K836" s="6">
        <v>4.8278416629809797</v>
      </c>
      <c r="L836">
        <v>-1.44964557988985</v>
      </c>
      <c r="M836">
        <v>0.32227799706889698</v>
      </c>
    </row>
    <row r="837" spans="1:13" x14ac:dyDescent="0.25">
      <c r="A837">
        <v>17</v>
      </c>
      <c r="B837" t="str">
        <f>"CNOT1"</f>
        <v>CNOT1</v>
      </c>
      <c r="C837" t="str">
        <f>""</f>
        <v/>
      </c>
      <c r="D837">
        <v>266.38</v>
      </c>
      <c r="E837">
        <v>8.1</v>
      </c>
      <c r="F837">
        <v>13</v>
      </c>
      <c r="G837">
        <v>8</v>
      </c>
      <c r="H837">
        <v>9</v>
      </c>
      <c r="I837" s="7">
        <v>7.2908135741259299</v>
      </c>
      <c r="J837" s="6">
        <v>4.6496991640487702</v>
      </c>
      <c r="K837" s="6">
        <v>5.4313218708536004</v>
      </c>
      <c r="L837">
        <v>-1.4464434800569801</v>
      </c>
      <c r="M837">
        <v>0.32227802374925102</v>
      </c>
    </row>
    <row r="838" spans="1:13" x14ac:dyDescent="0.25">
      <c r="A838">
        <v>537</v>
      </c>
      <c r="B838" t="str">
        <f>"EIF2S1"</f>
        <v>EIF2S1</v>
      </c>
      <c r="C838" t="str">
        <f>""</f>
        <v/>
      </c>
      <c r="D838">
        <v>36.112000000000002</v>
      </c>
      <c r="E838">
        <v>21.6</v>
      </c>
      <c r="F838">
        <v>13</v>
      </c>
      <c r="G838">
        <v>12</v>
      </c>
      <c r="H838">
        <v>5</v>
      </c>
      <c r="I838" s="7">
        <v>7.2908135741259299</v>
      </c>
      <c r="J838" s="6">
        <v>6.9745487460731601</v>
      </c>
      <c r="K838" s="6">
        <v>3.0174010393631101</v>
      </c>
      <c r="L838">
        <v>-1.45933751283511</v>
      </c>
      <c r="M838">
        <v>0.323843316652622</v>
      </c>
    </row>
    <row r="839" spans="1:13" x14ac:dyDescent="0.25">
      <c r="A839">
        <v>578</v>
      </c>
      <c r="B839" t="str">
        <f>"EPRS"</f>
        <v>EPRS</v>
      </c>
      <c r="C839" t="str">
        <f>""</f>
        <v/>
      </c>
      <c r="D839">
        <v>170.59</v>
      </c>
      <c r="E839">
        <v>8.1999999999999993</v>
      </c>
      <c r="F839">
        <v>14</v>
      </c>
      <c r="G839">
        <v>17</v>
      </c>
      <c r="H839">
        <v>19</v>
      </c>
      <c r="I839" s="7">
        <v>7.8516453875202297</v>
      </c>
      <c r="J839" s="6">
        <v>9.88061072360364</v>
      </c>
      <c r="K839" s="6">
        <v>11.466123949579799</v>
      </c>
      <c r="L839">
        <v>1.3593796981148001</v>
      </c>
      <c r="M839">
        <v>0.32391519086667703</v>
      </c>
    </row>
    <row r="840" spans="1:13" x14ac:dyDescent="0.25">
      <c r="A840">
        <v>1059</v>
      </c>
      <c r="B840" t="str">
        <f>"RPL28"</f>
        <v>RPL28</v>
      </c>
      <c r="C840" t="str">
        <f>""</f>
        <v/>
      </c>
      <c r="D840">
        <v>7.8879999999999999</v>
      </c>
      <c r="E840">
        <v>27.5</v>
      </c>
      <c r="F840">
        <v>4</v>
      </c>
      <c r="G840">
        <v>6</v>
      </c>
      <c r="H840">
        <v>7</v>
      </c>
      <c r="I840" s="7">
        <v>2.2433272535772102</v>
      </c>
      <c r="J840" s="6">
        <v>3.4872743730365801</v>
      </c>
      <c r="K840" s="6">
        <v>4.2243614551083599</v>
      </c>
      <c r="L840">
        <v>1.7187942186874401</v>
      </c>
      <c r="M840">
        <v>0.326300358883367</v>
      </c>
    </row>
    <row r="841" spans="1:13" x14ac:dyDescent="0.25">
      <c r="A841">
        <v>716</v>
      </c>
      <c r="B841" t="str">
        <f>"HIST1H1C;HIST1H1E;HIST1H1D"</f>
        <v>HIST1H1C;HIST1H1E;HIST1H1D</v>
      </c>
      <c r="C841" t="str">
        <f>""</f>
        <v/>
      </c>
      <c r="D841">
        <v>21.364000000000001</v>
      </c>
      <c r="E841">
        <v>26.8</v>
      </c>
      <c r="F841">
        <v>4</v>
      </c>
      <c r="G841">
        <v>7</v>
      </c>
      <c r="H841">
        <v>6</v>
      </c>
      <c r="I841" s="7">
        <v>2.2433272535772102</v>
      </c>
      <c r="J841" s="6">
        <v>4.0684867685426802</v>
      </c>
      <c r="K841" s="6">
        <v>3.6208812472357401</v>
      </c>
      <c r="L841">
        <v>1.71383109698261</v>
      </c>
      <c r="M841">
        <v>0.32630038132855099</v>
      </c>
    </row>
    <row r="842" spans="1:13" x14ac:dyDescent="0.25">
      <c r="A842">
        <v>280</v>
      </c>
      <c r="B842" t="str">
        <f>"DPM1"</f>
        <v>DPM1</v>
      </c>
      <c r="C842" t="str">
        <f>""</f>
        <v/>
      </c>
      <c r="D842">
        <v>29.634</v>
      </c>
      <c r="E842">
        <v>21.9</v>
      </c>
      <c r="F842">
        <v>4</v>
      </c>
      <c r="G842">
        <v>5</v>
      </c>
      <c r="H842">
        <v>8</v>
      </c>
      <c r="I842" s="7">
        <v>2.2433272535772102</v>
      </c>
      <c r="J842" s="6">
        <v>2.9060619775304799</v>
      </c>
      <c r="K842" s="6">
        <v>4.8278416629809797</v>
      </c>
      <c r="L842">
        <v>1.7237573403922599</v>
      </c>
      <c r="M842">
        <v>0.32656881945864402</v>
      </c>
    </row>
    <row r="843" spans="1:13" x14ac:dyDescent="0.25">
      <c r="A843">
        <v>437</v>
      </c>
      <c r="B843" t="str">
        <f>"LDHA"</f>
        <v>LDHA</v>
      </c>
      <c r="C843" t="str">
        <f>""</f>
        <v/>
      </c>
      <c r="D843">
        <v>30.204999999999998</v>
      </c>
      <c r="E843">
        <v>19.3</v>
      </c>
      <c r="F843">
        <v>4</v>
      </c>
      <c r="G843">
        <v>8</v>
      </c>
      <c r="H843">
        <v>5</v>
      </c>
      <c r="I843" s="7">
        <v>2.2433272535772102</v>
      </c>
      <c r="J843" s="6">
        <v>4.6496991640487702</v>
      </c>
      <c r="K843" s="6">
        <v>3.0174010393631101</v>
      </c>
      <c r="L843">
        <v>1.70886797527778</v>
      </c>
      <c r="M843">
        <v>0.32656886907911797</v>
      </c>
    </row>
    <row r="844" spans="1:13" x14ac:dyDescent="0.25">
      <c r="A844">
        <v>1510</v>
      </c>
      <c r="B844" t="str">
        <f>"AKAP13"</f>
        <v>AKAP13</v>
      </c>
      <c r="C844" t="str">
        <f>""</f>
        <v/>
      </c>
      <c r="D844">
        <v>305.27999999999997</v>
      </c>
      <c r="E844">
        <v>1</v>
      </c>
      <c r="F844">
        <v>1</v>
      </c>
      <c r="G844">
        <v>2</v>
      </c>
      <c r="H844">
        <v>3</v>
      </c>
      <c r="I844" s="7">
        <v>0.56083181339430199</v>
      </c>
      <c r="J844" s="6">
        <v>1.1624247910121901</v>
      </c>
      <c r="K844" s="6">
        <v>1.8104406236178701</v>
      </c>
      <c r="L844">
        <v>2.6504072554635401</v>
      </c>
      <c r="M844">
        <v>0.33018950686017401</v>
      </c>
    </row>
    <row r="845" spans="1:13" x14ac:dyDescent="0.25">
      <c r="A845">
        <v>1720</v>
      </c>
      <c r="B845" t="str">
        <f>"TCEB2"</f>
        <v>TCEB2</v>
      </c>
      <c r="C845" t="str">
        <f>""</f>
        <v/>
      </c>
      <c r="D845">
        <v>13.132999999999999</v>
      </c>
      <c r="E845">
        <v>10.199999999999999</v>
      </c>
      <c r="F845">
        <v>1</v>
      </c>
      <c r="G845">
        <v>2</v>
      </c>
      <c r="H845">
        <v>3</v>
      </c>
      <c r="I845" s="7">
        <v>0.56083181339430199</v>
      </c>
      <c r="J845" s="6">
        <v>1.1624247910121901</v>
      </c>
      <c r="K845" s="6">
        <v>1.8104406236178701</v>
      </c>
      <c r="L845">
        <v>2.6504072554635401</v>
      </c>
      <c r="M845">
        <v>0.33018950686017401</v>
      </c>
    </row>
    <row r="846" spans="1:13" x14ac:dyDescent="0.25">
      <c r="A846">
        <v>2894</v>
      </c>
      <c r="B846" t="str">
        <f>"RCC2"</f>
        <v>RCC2</v>
      </c>
      <c r="C846" t="str">
        <f>""</f>
        <v/>
      </c>
      <c r="D846">
        <v>56.084000000000003</v>
      </c>
      <c r="E846">
        <v>3.3</v>
      </c>
      <c r="F846">
        <v>1</v>
      </c>
      <c r="G846">
        <v>2</v>
      </c>
      <c r="H846">
        <v>3</v>
      </c>
      <c r="I846" s="7">
        <v>0.56083181339430199</v>
      </c>
      <c r="J846" s="6">
        <v>1.1624247910121901</v>
      </c>
      <c r="K846" s="6">
        <v>1.8104406236178701</v>
      </c>
      <c r="L846">
        <v>2.6504072554635401</v>
      </c>
      <c r="M846">
        <v>0.33018950686017401</v>
      </c>
    </row>
    <row r="847" spans="1:13" x14ac:dyDescent="0.25">
      <c r="A847">
        <v>181</v>
      </c>
      <c r="B847" t="str">
        <f>"RER1"</f>
        <v>RER1</v>
      </c>
      <c r="C847" t="str">
        <f>""</f>
        <v/>
      </c>
      <c r="D847">
        <v>22.957999999999998</v>
      </c>
      <c r="E847">
        <v>9.6999999999999993</v>
      </c>
      <c r="F847">
        <v>1</v>
      </c>
      <c r="G847">
        <v>2</v>
      </c>
      <c r="H847">
        <v>3</v>
      </c>
      <c r="I847" s="7">
        <v>0.56083181339430199</v>
      </c>
      <c r="J847" s="6">
        <v>1.1624247910121901</v>
      </c>
      <c r="K847" s="6">
        <v>1.8104406236178701</v>
      </c>
      <c r="L847">
        <v>2.6504072554635401</v>
      </c>
      <c r="M847">
        <v>0.33018950686017401</v>
      </c>
    </row>
    <row r="848" spans="1:13" x14ac:dyDescent="0.25">
      <c r="A848">
        <v>203</v>
      </c>
      <c r="B848" t="str">
        <f>"PRPF4"</f>
        <v>PRPF4</v>
      </c>
      <c r="C848" t="str">
        <f>""</f>
        <v/>
      </c>
      <c r="D848">
        <v>58.32</v>
      </c>
      <c r="E848">
        <v>7.5</v>
      </c>
      <c r="F848">
        <v>1</v>
      </c>
      <c r="G848">
        <v>2</v>
      </c>
      <c r="H848">
        <v>3</v>
      </c>
      <c r="I848" s="7">
        <v>0.56083181339430199</v>
      </c>
      <c r="J848" s="6">
        <v>1.1624247910121901</v>
      </c>
      <c r="K848" s="6">
        <v>1.8104406236178701</v>
      </c>
      <c r="L848">
        <v>2.6504072554635401</v>
      </c>
      <c r="M848">
        <v>0.33018950686017401</v>
      </c>
    </row>
    <row r="849" spans="1:13" x14ac:dyDescent="0.25">
      <c r="A849">
        <v>1696</v>
      </c>
      <c r="B849" t="str">
        <f>"RAB3GAP1"</f>
        <v>RAB3GAP1</v>
      </c>
      <c r="C849" t="str">
        <f>""</f>
        <v/>
      </c>
      <c r="D849">
        <v>111.28</v>
      </c>
      <c r="E849">
        <v>5.7</v>
      </c>
      <c r="F849">
        <v>1</v>
      </c>
      <c r="G849">
        <v>2</v>
      </c>
      <c r="H849">
        <v>3</v>
      </c>
      <c r="I849" s="7">
        <v>0.56083181339430199</v>
      </c>
      <c r="J849" s="6">
        <v>1.1624247910121901</v>
      </c>
      <c r="K849" s="6">
        <v>1.8104406236178701</v>
      </c>
      <c r="L849">
        <v>2.6504072554635401</v>
      </c>
      <c r="M849">
        <v>0.33018950686017401</v>
      </c>
    </row>
    <row r="850" spans="1:13" x14ac:dyDescent="0.25">
      <c r="A850">
        <v>1719</v>
      </c>
      <c r="B850" t="str">
        <f>"TCEB1"</f>
        <v>TCEB1</v>
      </c>
      <c r="C850" t="str">
        <f>""</f>
        <v/>
      </c>
      <c r="D850">
        <v>12.473000000000001</v>
      </c>
      <c r="E850">
        <v>12.5</v>
      </c>
      <c r="F850">
        <v>1</v>
      </c>
      <c r="G850">
        <v>2</v>
      </c>
      <c r="H850">
        <v>3</v>
      </c>
      <c r="I850" s="7">
        <v>0.56083181339430199</v>
      </c>
      <c r="J850" s="6">
        <v>1.1624247910121901</v>
      </c>
      <c r="K850" s="6">
        <v>1.8104406236178701</v>
      </c>
      <c r="L850">
        <v>2.6504072554635401</v>
      </c>
      <c r="M850">
        <v>0.33018950686017401</v>
      </c>
    </row>
    <row r="851" spans="1:13" x14ac:dyDescent="0.25">
      <c r="A851">
        <v>1820</v>
      </c>
      <c r="B851" t="str">
        <f>"GRIPAP1"</f>
        <v>GRIPAP1</v>
      </c>
      <c r="C851" t="str">
        <f>""</f>
        <v/>
      </c>
      <c r="D851">
        <v>71.893000000000001</v>
      </c>
      <c r="E851">
        <v>7.2</v>
      </c>
      <c r="F851">
        <v>1</v>
      </c>
      <c r="G851">
        <v>2</v>
      </c>
      <c r="H851">
        <v>3</v>
      </c>
      <c r="I851" s="7">
        <v>0.56083181339430199</v>
      </c>
      <c r="J851" s="6">
        <v>1.1624247910121901</v>
      </c>
      <c r="K851" s="6">
        <v>1.8104406236178701</v>
      </c>
      <c r="L851">
        <v>2.6504072554635401</v>
      </c>
      <c r="M851">
        <v>0.33018950686017401</v>
      </c>
    </row>
    <row r="852" spans="1:13" x14ac:dyDescent="0.25">
      <c r="A852">
        <v>2139</v>
      </c>
      <c r="B852" t="str">
        <f>"ASCC3"</f>
        <v>ASCC3</v>
      </c>
      <c r="C852" t="str">
        <f>""</f>
        <v/>
      </c>
      <c r="D852">
        <v>251.46</v>
      </c>
      <c r="E852">
        <v>2.1</v>
      </c>
      <c r="F852">
        <v>1</v>
      </c>
      <c r="G852">
        <v>2</v>
      </c>
      <c r="H852">
        <v>3</v>
      </c>
      <c r="I852" s="7">
        <v>0.56083181339430199</v>
      </c>
      <c r="J852" s="6">
        <v>1.1624247910121901</v>
      </c>
      <c r="K852" s="6">
        <v>1.8104406236178701</v>
      </c>
      <c r="L852">
        <v>2.6504072554635401</v>
      </c>
      <c r="M852">
        <v>0.33018950686017401</v>
      </c>
    </row>
    <row r="853" spans="1:13" x14ac:dyDescent="0.25">
      <c r="A853">
        <v>1278</v>
      </c>
      <c r="B853" t="str">
        <f>"ACTR3"</f>
        <v>ACTR3</v>
      </c>
      <c r="C853" t="str">
        <f>""</f>
        <v/>
      </c>
      <c r="D853">
        <v>47.371000000000002</v>
      </c>
      <c r="E853">
        <v>18.399999999999999</v>
      </c>
      <c r="F853">
        <v>1</v>
      </c>
      <c r="G853">
        <v>3</v>
      </c>
      <c r="H853">
        <v>2</v>
      </c>
      <c r="I853" s="7">
        <v>0.56083181339430199</v>
      </c>
      <c r="J853" s="6">
        <v>1.74363718651829</v>
      </c>
      <c r="K853" s="6">
        <v>1.20696041574525</v>
      </c>
      <c r="L853">
        <v>2.6305547686442199</v>
      </c>
      <c r="M853">
        <v>0.33018951636056598</v>
      </c>
    </row>
    <row r="854" spans="1:13" x14ac:dyDescent="0.25">
      <c r="A854">
        <v>2194</v>
      </c>
      <c r="B854" t="str">
        <f>"BOD1L1"</f>
        <v>BOD1L1</v>
      </c>
      <c r="C854" t="str">
        <f>""</f>
        <v/>
      </c>
      <c r="D854">
        <v>330.46</v>
      </c>
      <c r="E854">
        <v>1.8</v>
      </c>
      <c r="F854">
        <v>1</v>
      </c>
      <c r="G854">
        <v>3</v>
      </c>
      <c r="H854">
        <v>2</v>
      </c>
      <c r="I854" s="7">
        <v>0.56083181339430199</v>
      </c>
      <c r="J854" s="6">
        <v>1.74363718651829</v>
      </c>
      <c r="K854" s="6">
        <v>1.20696041574525</v>
      </c>
      <c r="L854">
        <v>2.6305547686442199</v>
      </c>
      <c r="M854">
        <v>0.33018951636056598</v>
      </c>
    </row>
    <row r="855" spans="1:13" x14ac:dyDescent="0.25">
      <c r="A855">
        <v>2390</v>
      </c>
      <c r="B855" t="str">
        <f>"PGM2"</f>
        <v>PGM2</v>
      </c>
      <c r="C855" t="str">
        <f>""</f>
        <v/>
      </c>
      <c r="D855">
        <v>68.283000000000001</v>
      </c>
      <c r="E855">
        <v>3.8</v>
      </c>
      <c r="F855">
        <v>1</v>
      </c>
      <c r="G855">
        <v>3</v>
      </c>
      <c r="H855">
        <v>2</v>
      </c>
      <c r="I855" s="7">
        <v>0.56083181339430199</v>
      </c>
      <c r="J855" s="6">
        <v>1.74363718651829</v>
      </c>
      <c r="K855" s="6">
        <v>1.20696041574525</v>
      </c>
      <c r="L855">
        <v>2.6305547686442199</v>
      </c>
      <c r="M855">
        <v>0.33018951636056598</v>
      </c>
    </row>
    <row r="856" spans="1:13" x14ac:dyDescent="0.25">
      <c r="A856">
        <v>191</v>
      </c>
      <c r="B856" t="str">
        <f>"EIF3D"</f>
        <v>EIF3D</v>
      </c>
      <c r="C856" t="str">
        <f>""</f>
        <v/>
      </c>
      <c r="D856">
        <v>58.14</v>
      </c>
      <c r="E856">
        <v>9</v>
      </c>
      <c r="F856">
        <v>1</v>
      </c>
      <c r="G856">
        <v>3</v>
      </c>
      <c r="H856">
        <v>2</v>
      </c>
      <c r="I856" s="7">
        <v>0.56083181339430199</v>
      </c>
      <c r="J856" s="6">
        <v>1.74363718651829</v>
      </c>
      <c r="K856" s="6">
        <v>1.20696041574525</v>
      </c>
      <c r="L856">
        <v>2.6305547686442199</v>
      </c>
      <c r="M856">
        <v>0.33018951636056598</v>
      </c>
    </row>
    <row r="857" spans="1:13" x14ac:dyDescent="0.25">
      <c r="A857">
        <v>195</v>
      </c>
      <c r="B857" t="str">
        <f>"TOX;TOX3;TOX4;TOX2"</f>
        <v>TOX;TOX3;TOX4;TOX2</v>
      </c>
      <c r="C857" t="str">
        <f>""</f>
        <v/>
      </c>
      <c r="D857">
        <v>57.512</v>
      </c>
      <c r="E857">
        <v>5.7</v>
      </c>
      <c r="F857">
        <v>1</v>
      </c>
      <c r="G857">
        <v>3</v>
      </c>
      <c r="H857">
        <v>2</v>
      </c>
      <c r="I857" s="7">
        <v>0.56083181339430199</v>
      </c>
      <c r="J857" s="6">
        <v>1.74363718651829</v>
      </c>
      <c r="K857" s="6">
        <v>1.20696041574525</v>
      </c>
      <c r="L857">
        <v>2.6305547686442199</v>
      </c>
      <c r="M857">
        <v>0.33018951636056598</v>
      </c>
    </row>
    <row r="858" spans="1:13" x14ac:dyDescent="0.25">
      <c r="A858">
        <v>903</v>
      </c>
      <c r="B858" t="str">
        <f>"SLC7A1"</f>
        <v>SLC7A1</v>
      </c>
      <c r="C858" t="str">
        <f>""</f>
        <v/>
      </c>
      <c r="D858">
        <v>67.638000000000005</v>
      </c>
      <c r="E858">
        <v>1.3</v>
      </c>
      <c r="F858">
        <v>1</v>
      </c>
      <c r="G858">
        <v>3</v>
      </c>
      <c r="H858">
        <v>2</v>
      </c>
      <c r="I858" s="7">
        <v>0.56083181339430199</v>
      </c>
      <c r="J858" s="6">
        <v>1.74363718651829</v>
      </c>
      <c r="K858" s="6">
        <v>1.20696041574525</v>
      </c>
      <c r="L858">
        <v>2.6305547686442199</v>
      </c>
      <c r="M858">
        <v>0.33018951636056598</v>
      </c>
    </row>
    <row r="859" spans="1:13" x14ac:dyDescent="0.25">
      <c r="A859">
        <v>1166</v>
      </c>
      <c r="B859" t="str">
        <f>"PSMD7"</f>
        <v>PSMD7</v>
      </c>
      <c r="C859" t="str">
        <f>""</f>
        <v/>
      </c>
      <c r="D859">
        <v>37.024999999999999</v>
      </c>
      <c r="E859">
        <v>3.1</v>
      </c>
      <c r="F859">
        <v>1</v>
      </c>
      <c r="G859">
        <v>3</v>
      </c>
      <c r="H859">
        <v>2</v>
      </c>
      <c r="I859" s="7">
        <v>0.56083181339430199</v>
      </c>
      <c r="J859" s="6">
        <v>1.74363718651829</v>
      </c>
      <c r="K859" s="6">
        <v>1.20696041574525</v>
      </c>
      <c r="L859">
        <v>2.6305547686442199</v>
      </c>
      <c r="M859">
        <v>0.33018951636056598</v>
      </c>
    </row>
    <row r="860" spans="1:13" x14ac:dyDescent="0.25">
      <c r="A860">
        <v>1227</v>
      </c>
      <c r="B860" t="str">
        <f>"DRG2"</f>
        <v>DRG2</v>
      </c>
      <c r="C860" t="str">
        <f>""</f>
        <v/>
      </c>
      <c r="D860">
        <v>40.746000000000002</v>
      </c>
      <c r="E860">
        <v>5.5</v>
      </c>
      <c r="F860">
        <v>1</v>
      </c>
      <c r="G860">
        <v>3</v>
      </c>
      <c r="H860">
        <v>2</v>
      </c>
      <c r="I860" s="7">
        <v>0.56083181339430199</v>
      </c>
      <c r="J860" s="6">
        <v>1.74363718651829</v>
      </c>
      <c r="K860" s="6">
        <v>1.20696041574525</v>
      </c>
      <c r="L860">
        <v>2.6305547686442199</v>
      </c>
      <c r="M860">
        <v>0.33018951636056598</v>
      </c>
    </row>
    <row r="861" spans="1:13" x14ac:dyDescent="0.25">
      <c r="A861">
        <v>1290</v>
      </c>
      <c r="B861" t="str">
        <f>"ATP6V0D1"</f>
        <v>ATP6V0D1</v>
      </c>
      <c r="C861" t="str">
        <f>""</f>
        <v/>
      </c>
      <c r="D861">
        <v>40.329000000000001</v>
      </c>
      <c r="E861">
        <v>3.7</v>
      </c>
      <c r="F861">
        <v>1</v>
      </c>
      <c r="G861">
        <v>3</v>
      </c>
      <c r="H861">
        <v>2</v>
      </c>
      <c r="I861" s="7">
        <v>0.56083181339430199</v>
      </c>
      <c r="J861" s="6">
        <v>1.74363718651829</v>
      </c>
      <c r="K861" s="6">
        <v>1.20696041574525</v>
      </c>
      <c r="L861">
        <v>2.6305547686442199</v>
      </c>
      <c r="M861">
        <v>0.33018951636056598</v>
      </c>
    </row>
    <row r="862" spans="1:13" x14ac:dyDescent="0.25">
      <c r="A862">
        <v>1323</v>
      </c>
      <c r="B862" t="str">
        <f>"RPL7A"</f>
        <v>RPL7A</v>
      </c>
      <c r="C862" t="str">
        <f>""</f>
        <v/>
      </c>
      <c r="D862">
        <v>29.995000000000001</v>
      </c>
      <c r="E862">
        <v>12</v>
      </c>
      <c r="F862">
        <v>1</v>
      </c>
      <c r="G862">
        <v>3</v>
      </c>
      <c r="H862">
        <v>2</v>
      </c>
      <c r="I862" s="7">
        <v>0.56083181339430199</v>
      </c>
      <c r="J862" s="6">
        <v>1.74363718651829</v>
      </c>
      <c r="K862" s="6">
        <v>1.20696041574525</v>
      </c>
      <c r="L862">
        <v>2.6305547686442199</v>
      </c>
      <c r="M862">
        <v>0.33018951636056598</v>
      </c>
    </row>
    <row r="863" spans="1:13" x14ac:dyDescent="0.25">
      <c r="A863">
        <v>2174</v>
      </c>
      <c r="B863" t="str">
        <f>"SERBP1"</f>
        <v>SERBP1</v>
      </c>
      <c r="C863" t="str">
        <f>""</f>
        <v/>
      </c>
      <c r="D863">
        <v>44.256</v>
      </c>
      <c r="E863">
        <v>13.7</v>
      </c>
      <c r="F863">
        <v>1</v>
      </c>
      <c r="G863">
        <v>3</v>
      </c>
      <c r="H863">
        <v>2</v>
      </c>
      <c r="I863" s="7">
        <v>0.56083181339430199</v>
      </c>
      <c r="J863" s="6">
        <v>1.74363718651829</v>
      </c>
      <c r="K863" s="6">
        <v>1.20696041574525</v>
      </c>
      <c r="L863">
        <v>2.6305547686442199</v>
      </c>
      <c r="M863">
        <v>0.33018951636056598</v>
      </c>
    </row>
    <row r="864" spans="1:13" x14ac:dyDescent="0.25">
      <c r="A864">
        <v>2427</v>
      </c>
      <c r="B864" t="str">
        <f>"PRRC1"</f>
        <v>PRRC1</v>
      </c>
      <c r="C864" t="str">
        <f>""</f>
        <v/>
      </c>
      <c r="D864">
        <v>31.425000000000001</v>
      </c>
      <c r="E864">
        <v>4.2</v>
      </c>
      <c r="F864">
        <v>1</v>
      </c>
      <c r="G864">
        <v>3</v>
      </c>
      <c r="H864">
        <v>2</v>
      </c>
      <c r="I864" s="7">
        <v>0.56083181339430199</v>
      </c>
      <c r="J864" s="6">
        <v>1.74363718651829</v>
      </c>
      <c r="K864" s="6">
        <v>1.20696041574525</v>
      </c>
      <c r="L864">
        <v>2.6305547686442199</v>
      </c>
      <c r="M864">
        <v>0.33018951636056598</v>
      </c>
    </row>
    <row r="865" spans="1:13" x14ac:dyDescent="0.25">
      <c r="A865">
        <v>2689</v>
      </c>
      <c r="B865" t="str">
        <f>"YTHDC2"</f>
        <v>YTHDC2</v>
      </c>
      <c r="C865" t="str">
        <f>""</f>
        <v/>
      </c>
      <c r="D865">
        <v>160.25</v>
      </c>
      <c r="E865">
        <v>3.8</v>
      </c>
      <c r="F865">
        <v>1</v>
      </c>
      <c r="G865">
        <v>3</v>
      </c>
      <c r="H865">
        <v>2</v>
      </c>
      <c r="I865" s="7">
        <v>0.56083181339430199</v>
      </c>
      <c r="J865" s="6">
        <v>1.74363718651829</v>
      </c>
      <c r="K865" s="6">
        <v>1.20696041574525</v>
      </c>
      <c r="L865">
        <v>2.6305547686442199</v>
      </c>
      <c r="M865">
        <v>0.33018951636056598</v>
      </c>
    </row>
    <row r="866" spans="1:13" x14ac:dyDescent="0.25">
      <c r="A866">
        <v>3006</v>
      </c>
      <c r="B866" t="str">
        <f>"STUB1"</f>
        <v>STUB1</v>
      </c>
      <c r="C866" t="str">
        <f>""</f>
        <v/>
      </c>
      <c r="D866">
        <v>34.856000000000002</v>
      </c>
      <c r="E866">
        <v>7.6</v>
      </c>
      <c r="F866">
        <v>1</v>
      </c>
      <c r="G866">
        <v>3</v>
      </c>
      <c r="H866">
        <v>2</v>
      </c>
      <c r="I866" s="7">
        <v>0.56083181339430199</v>
      </c>
      <c r="J866" s="6">
        <v>1.74363718651829</v>
      </c>
      <c r="K866" s="6">
        <v>1.20696041574525</v>
      </c>
      <c r="L866">
        <v>2.6305547686442199</v>
      </c>
      <c r="M866">
        <v>0.33018951636056598</v>
      </c>
    </row>
    <row r="867" spans="1:13" x14ac:dyDescent="0.25">
      <c r="A867">
        <v>3159</v>
      </c>
      <c r="B867" t="str">
        <f>"DDX49"</f>
        <v>DDX49</v>
      </c>
      <c r="C867" t="str">
        <f>""</f>
        <v/>
      </c>
      <c r="D867">
        <v>54.225999999999999</v>
      </c>
      <c r="E867">
        <v>2.2999999999999998</v>
      </c>
      <c r="F867">
        <v>1</v>
      </c>
      <c r="G867">
        <v>3</v>
      </c>
      <c r="H867">
        <v>2</v>
      </c>
      <c r="I867" s="7">
        <v>0.56083181339430199</v>
      </c>
      <c r="J867" s="6">
        <v>1.74363718651829</v>
      </c>
      <c r="K867" s="6">
        <v>1.20696041574525</v>
      </c>
      <c r="L867">
        <v>2.6305547686442199</v>
      </c>
      <c r="M867">
        <v>0.33018951636056598</v>
      </c>
    </row>
    <row r="868" spans="1:13" x14ac:dyDescent="0.25">
      <c r="A868">
        <v>2063</v>
      </c>
      <c r="B868" t="str">
        <f>"CAND1"</f>
        <v>CAND1</v>
      </c>
      <c r="C868" t="str">
        <f>""</f>
        <v/>
      </c>
      <c r="D868">
        <v>136.37</v>
      </c>
      <c r="E868">
        <v>14</v>
      </c>
      <c r="F868">
        <v>29</v>
      </c>
      <c r="G868">
        <v>35</v>
      </c>
      <c r="H868">
        <v>33</v>
      </c>
      <c r="I868" s="7">
        <v>16.264122588434802</v>
      </c>
      <c r="J868" s="6">
        <v>20.342433842713401</v>
      </c>
      <c r="K868" s="6">
        <v>19.914846859796601</v>
      </c>
      <c r="L868">
        <v>1.23760997507288</v>
      </c>
      <c r="M868">
        <v>0.331291097405159</v>
      </c>
    </row>
    <row r="869" spans="1:13" x14ac:dyDescent="0.25">
      <c r="A869">
        <v>2008</v>
      </c>
      <c r="B869" t="str">
        <f>"LPCAT2"</f>
        <v>LPCAT2</v>
      </c>
      <c r="C869" t="str">
        <f>""</f>
        <v/>
      </c>
      <c r="D869">
        <v>60.207000000000001</v>
      </c>
      <c r="E869">
        <v>1.7</v>
      </c>
      <c r="F869">
        <v>1</v>
      </c>
      <c r="G869">
        <v>4</v>
      </c>
      <c r="H869">
        <v>1</v>
      </c>
      <c r="I869" s="7">
        <v>0.56083181339430199</v>
      </c>
      <c r="J869" s="6">
        <v>2.32484958202439</v>
      </c>
      <c r="K869" s="6">
        <v>0.60348020787262302</v>
      </c>
      <c r="L869">
        <v>2.6107022818249099</v>
      </c>
      <c r="M869">
        <v>0.33134417519422599</v>
      </c>
    </row>
    <row r="870" spans="1:13" x14ac:dyDescent="0.25">
      <c r="A870">
        <v>817</v>
      </c>
      <c r="B870" t="str">
        <f>"CDK2"</f>
        <v>CDK2</v>
      </c>
      <c r="C870" t="str">
        <f>"CDK2"</f>
        <v>CDK2</v>
      </c>
      <c r="D870">
        <v>30.035</v>
      </c>
      <c r="E870">
        <v>15.9</v>
      </c>
      <c r="F870">
        <v>1</v>
      </c>
      <c r="G870">
        <v>4</v>
      </c>
      <c r="H870">
        <v>1</v>
      </c>
      <c r="I870" s="7">
        <v>0.56083181339430199</v>
      </c>
      <c r="J870" s="6">
        <v>2.32484958202439</v>
      </c>
      <c r="K870" s="6">
        <v>0.60348020787262302</v>
      </c>
      <c r="L870">
        <v>2.6107022818249099</v>
      </c>
      <c r="M870">
        <v>0.33134417519422599</v>
      </c>
    </row>
    <row r="871" spans="1:13" x14ac:dyDescent="0.25">
      <c r="A871">
        <v>1854</v>
      </c>
      <c r="B871" t="str">
        <f>"NOL9"</f>
        <v>NOL9</v>
      </c>
      <c r="C871" t="str">
        <f>""</f>
        <v/>
      </c>
      <c r="D871">
        <v>79.322000000000003</v>
      </c>
      <c r="E871">
        <v>5.6</v>
      </c>
      <c r="F871">
        <v>1</v>
      </c>
      <c r="G871">
        <v>1</v>
      </c>
      <c r="H871">
        <v>4</v>
      </c>
      <c r="I871" s="7">
        <v>0.56083181339430199</v>
      </c>
      <c r="J871" s="6">
        <v>0.58121239550609605</v>
      </c>
      <c r="K871" s="6">
        <v>2.4139208314904899</v>
      </c>
      <c r="L871">
        <v>2.67025974228285</v>
      </c>
      <c r="M871">
        <v>0.33286226759840298</v>
      </c>
    </row>
    <row r="872" spans="1:13" x14ac:dyDescent="0.25">
      <c r="A872">
        <v>966</v>
      </c>
      <c r="B872" t="str">
        <f>"ATP6V1E1"</f>
        <v>ATP6V1E1</v>
      </c>
      <c r="C872" t="str">
        <f>""</f>
        <v/>
      </c>
      <c r="D872">
        <v>26.145</v>
      </c>
      <c r="E872">
        <v>15.9</v>
      </c>
      <c r="F872">
        <v>7</v>
      </c>
      <c r="G872">
        <v>3</v>
      </c>
      <c r="H872">
        <v>5</v>
      </c>
      <c r="I872" s="7">
        <v>3.9258226937601099</v>
      </c>
      <c r="J872" s="6">
        <v>1.74363718651829</v>
      </c>
      <c r="K872" s="6">
        <v>3.0174010393631101</v>
      </c>
      <c r="L872">
        <v>-1.64914563063956</v>
      </c>
      <c r="M872">
        <v>0.336472619404522</v>
      </c>
    </row>
    <row r="873" spans="1:13" x14ac:dyDescent="0.25">
      <c r="A873">
        <v>932</v>
      </c>
      <c r="B873" t="str">
        <f>"MCM4"</f>
        <v>MCM4</v>
      </c>
      <c r="C873" t="str">
        <f>""</f>
        <v/>
      </c>
      <c r="D873">
        <v>96.557000000000002</v>
      </c>
      <c r="E873">
        <v>9.1999999999999993</v>
      </c>
      <c r="F873">
        <v>7</v>
      </c>
      <c r="G873">
        <v>3</v>
      </c>
      <c r="H873">
        <v>5</v>
      </c>
      <c r="I873" s="7">
        <v>3.9258226937601099</v>
      </c>
      <c r="J873" s="6">
        <v>1.74363718651829</v>
      </c>
      <c r="K873" s="6">
        <v>3.0174010393631101</v>
      </c>
      <c r="L873">
        <v>-1.64914563063956</v>
      </c>
      <c r="M873">
        <v>0.336472619404522</v>
      </c>
    </row>
    <row r="874" spans="1:13" x14ac:dyDescent="0.25">
      <c r="A874">
        <v>1596</v>
      </c>
      <c r="B874" t="str">
        <f>"CUL4B;CUL4A"</f>
        <v>CUL4B;CUL4A</v>
      </c>
      <c r="C874" t="str">
        <f>""</f>
        <v/>
      </c>
      <c r="D874">
        <v>84.016000000000005</v>
      </c>
      <c r="E874">
        <v>8.8000000000000007</v>
      </c>
      <c r="F874">
        <v>7</v>
      </c>
      <c r="G874">
        <v>3</v>
      </c>
      <c r="H874">
        <v>5</v>
      </c>
      <c r="I874" s="7">
        <v>3.9258226937601099</v>
      </c>
      <c r="J874" s="6">
        <v>1.74363718651829</v>
      </c>
      <c r="K874" s="6">
        <v>3.0174010393631101</v>
      </c>
      <c r="L874">
        <v>-1.64914563063956</v>
      </c>
      <c r="M874">
        <v>0.336472619404522</v>
      </c>
    </row>
    <row r="875" spans="1:13" x14ac:dyDescent="0.25">
      <c r="A875">
        <v>2693</v>
      </c>
      <c r="B875" t="str">
        <f>"RANBP3"</f>
        <v>RANBP3</v>
      </c>
      <c r="C875" t="str">
        <f>""</f>
        <v/>
      </c>
      <c r="D875">
        <v>53.41</v>
      </c>
      <c r="E875">
        <v>10</v>
      </c>
      <c r="F875">
        <v>9</v>
      </c>
      <c r="G875">
        <v>3</v>
      </c>
      <c r="H875">
        <v>8</v>
      </c>
      <c r="I875" s="7">
        <v>5.0474863205487202</v>
      </c>
      <c r="J875" s="6">
        <v>1.74363718651829</v>
      </c>
      <c r="K875" s="6">
        <v>4.8278416629809797</v>
      </c>
      <c r="L875">
        <v>-1.53617973553497</v>
      </c>
      <c r="M875">
        <v>0.33664095705230801</v>
      </c>
    </row>
    <row r="876" spans="1:13" x14ac:dyDescent="0.25">
      <c r="A876">
        <v>1080</v>
      </c>
      <c r="B876" t="str">
        <f>"PRRC2A"</f>
        <v>PRRC2A</v>
      </c>
      <c r="C876" t="str">
        <f>""</f>
        <v/>
      </c>
      <c r="D876">
        <v>228.86</v>
      </c>
      <c r="E876">
        <v>5.5</v>
      </c>
      <c r="F876">
        <v>7</v>
      </c>
      <c r="G876">
        <v>10</v>
      </c>
      <c r="H876">
        <v>10</v>
      </c>
      <c r="I876" s="7">
        <v>3.9258226937601099</v>
      </c>
      <c r="J876" s="6">
        <v>5.8121239550609696</v>
      </c>
      <c r="K876" s="6">
        <v>6.03480207872623</v>
      </c>
      <c r="L876">
        <v>1.5088462926022199</v>
      </c>
      <c r="M876">
        <v>0.33688709807109402</v>
      </c>
    </row>
    <row r="877" spans="1:13" x14ac:dyDescent="0.25">
      <c r="A877">
        <v>1069</v>
      </c>
      <c r="B877" t="str">
        <f>"CAPZB"</f>
        <v>CAPZB</v>
      </c>
      <c r="C877" t="str">
        <f>""</f>
        <v/>
      </c>
      <c r="D877">
        <v>30.628</v>
      </c>
      <c r="E877">
        <v>27.6</v>
      </c>
      <c r="F877">
        <v>16</v>
      </c>
      <c r="G877">
        <v>12</v>
      </c>
      <c r="H877">
        <v>10</v>
      </c>
      <c r="I877" s="7">
        <v>8.9733090143088301</v>
      </c>
      <c r="J877" s="6">
        <v>6.9745487460731601</v>
      </c>
      <c r="K877" s="6">
        <v>6.03480207872623</v>
      </c>
      <c r="L877">
        <v>-1.37951680066975</v>
      </c>
      <c r="M877">
        <v>0.33691406046005501</v>
      </c>
    </row>
    <row r="878" spans="1:13" x14ac:dyDescent="0.25">
      <c r="A878">
        <v>1658</v>
      </c>
      <c r="B878" t="str">
        <f>"SMC1A"</f>
        <v>SMC1A</v>
      </c>
      <c r="C878" t="str">
        <f>""</f>
        <v/>
      </c>
      <c r="D878">
        <v>143.22999999999999</v>
      </c>
      <c r="E878">
        <v>6.4</v>
      </c>
      <c r="F878">
        <v>7</v>
      </c>
      <c r="G878">
        <v>9</v>
      </c>
      <c r="H878">
        <v>11</v>
      </c>
      <c r="I878" s="7">
        <v>3.9258226937601099</v>
      </c>
      <c r="J878" s="6">
        <v>5.2309115595548699</v>
      </c>
      <c r="K878" s="6">
        <v>6.6382822865988498</v>
      </c>
      <c r="L878">
        <v>1.5116823621478299</v>
      </c>
      <c r="M878">
        <v>0.33695828706987002</v>
      </c>
    </row>
    <row r="879" spans="1:13" x14ac:dyDescent="0.25">
      <c r="A879">
        <v>242</v>
      </c>
      <c r="B879" t="str">
        <f>"NARS"</f>
        <v>NARS</v>
      </c>
      <c r="C879" t="str">
        <f>""</f>
        <v/>
      </c>
      <c r="D879">
        <v>62.942</v>
      </c>
      <c r="E879">
        <v>12</v>
      </c>
      <c r="F879">
        <v>7</v>
      </c>
      <c r="G879">
        <v>12</v>
      </c>
      <c r="H879">
        <v>8</v>
      </c>
      <c r="I879" s="7">
        <v>3.9258226937601099</v>
      </c>
      <c r="J879" s="6">
        <v>6.9745487460731601</v>
      </c>
      <c r="K879" s="6">
        <v>4.8278416629809797</v>
      </c>
      <c r="L879">
        <v>1.5031741535109799</v>
      </c>
      <c r="M879">
        <v>0.337172102097062</v>
      </c>
    </row>
    <row r="880" spans="1:13" x14ac:dyDescent="0.25">
      <c r="A880">
        <v>1082</v>
      </c>
      <c r="B880" t="str">
        <f>"CCT5"</f>
        <v>CCT5</v>
      </c>
      <c r="C880" t="str">
        <f>""</f>
        <v/>
      </c>
      <c r="D880">
        <v>49.526000000000003</v>
      </c>
      <c r="E880">
        <v>20.100000000000001</v>
      </c>
      <c r="F880">
        <v>11</v>
      </c>
      <c r="G880">
        <v>14</v>
      </c>
      <c r="H880">
        <v>15</v>
      </c>
      <c r="I880" s="7">
        <v>6.1691499473373197</v>
      </c>
      <c r="J880" s="6">
        <v>8.1369735370853498</v>
      </c>
      <c r="K880" s="6">
        <v>9.0522031180893396</v>
      </c>
      <c r="L880">
        <v>1.39315601030201</v>
      </c>
      <c r="M880">
        <v>0.34161612618925502</v>
      </c>
    </row>
    <row r="881" spans="1:13" x14ac:dyDescent="0.25">
      <c r="A881">
        <v>566</v>
      </c>
      <c r="B881" t="str">
        <f>"P4HB"</f>
        <v>P4HB</v>
      </c>
      <c r="C881" t="str">
        <f>""</f>
        <v/>
      </c>
      <c r="D881">
        <v>57.116</v>
      </c>
      <c r="E881">
        <v>21.1</v>
      </c>
      <c r="F881">
        <v>23</v>
      </c>
      <c r="G881">
        <v>29</v>
      </c>
      <c r="H881">
        <v>26</v>
      </c>
      <c r="I881" s="7">
        <v>12.8991317080689</v>
      </c>
      <c r="J881" s="6">
        <v>16.855159469676799</v>
      </c>
      <c r="K881" s="6">
        <v>15.6904854046882</v>
      </c>
      <c r="L881">
        <v>1.26154401749407</v>
      </c>
      <c r="M881">
        <v>0.34279972511770501</v>
      </c>
    </row>
    <row r="882" spans="1:13" x14ac:dyDescent="0.25">
      <c r="A882">
        <v>447</v>
      </c>
      <c r="B882" t="str">
        <f>"PGK1"</f>
        <v>PGK1</v>
      </c>
      <c r="C882" t="str">
        <f>""</f>
        <v/>
      </c>
      <c r="D882">
        <v>44.613999999999997</v>
      </c>
      <c r="E882">
        <v>31.7</v>
      </c>
      <c r="F882">
        <v>48</v>
      </c>
      <c r="G882">
        <v>55</v>
      </c>
      <c r="H882">
        <v>52</v>
      </c>
      <c r="I882" s="7">
        <v>26.919927042926499</v>
      </c>
      <c r="J882" s="6">
        <v>31.966681752835299</v>
      </c>
      <c r="K882" s="6">
        <v>31.3809708093764</v>
      </c>
      <c r="L882">
        <v>1.17659406099425</v>
      </c>
      <c r="M882">
        <v>0.34536261893971298</v>
      </c>
    </row>
    <row r="883" spans="1:13" x14ac:dyDescent="0.25">
      <c r="A883">
        <v>343</v>
      </c>
      <c r="B883" t="str">
        <f>"PPM1B"</f>
        <v>PPM1B</v>
      </c>
      <c r="C883" t="str">
        <f>""</f>
        <v/>
      </c>
      <c r="D883">
        <v>42.77</v>
      </c>
      <c r="E883">
        <v>26.1</v>
      </c>
      <c r="F883">
        <v>12</v>
      </c>
      <c r="G883">
        <v>17</v>
      </c>
      <c r="H883">
        <v>14</v>
      </c>
      <c r="I883" s="7">
        <v>6.7299817607316301</v>
      </c>
      <c r="J883" s="6">
        <v>9.88061072360364</v>
      </c>
      <c r="K883" s="6">
        <v>8.4487229102167198</v>
      </c>
      <c r="L883">
        <v>1.36176696204209</v>
      </c>
      <c r="M883">
        <v>0.353494103377341</v>
      </c>
    </row>
    <row r="884" spans="1:13" x14ac:dyDescent="0.25">
      <c r="A884">
        <v>2655</v>
      </c>
      <c r="B884" t="str">
        <f>"ATG5"</f>
        <v>ATG5</v>
      </c>
      <c r="C884" t="str">
        <f>""</f>
        <v/>
      </c>
      <c r="D884">
        <v>32.447000000000003</v>
      </c>
      <c r="E884">
        <v>19.3</v>
      </c>
      <c r="F884">
        <v>0</v>
      </c>
      <c r="G884">
        <v>0</v>
      </c>
      <c r="H884">
        <v>1</v>
      </c>
      <c r="I884" s="7">
        <v>0</v>
      </c>
      <c r="J884" s="6">
        <v>0</v>
      </c>
      <c r="K884" s="6">
        <v>0.60348020787262302</v>
      </c>
      <c r="L884">
        <v>10000</v>
      </c>
      <c r="M884">
        <v>0.35722728547296601</v>
      </c>
    </row>
    <row r="885" spans="1:13" x14ac:dyDescent="0.25">
      <c r="A885">
        <v>1878</v>
      </c>
      <c r="B885" t="str">
        <f>"CEP350"</f>
        <v>CEP350</v>
      </c>
      <c r="C885" t="str">
        <f>""</f>
        <v/>
      </c>
      <c r="D885">
        <v>350.93</v>
      </c>
      <c r="E885">
        <v>0.6</v>
      </c>
      <c r="F885">
        <v>0</v>
      </c>
      <c r="G885">
        <v>0</v>
      </c>
      <c r="H885">
        <v>1</v>
      </c>
      <c r="I885" s="7">
        <v>0</v>
      </c>
      <c r="J885" s="6">
        <v>0</v>
      </c>
      <c r="K885" s="6">
        <v>0.60348020787262302</v>
      </c>
      <c r="L885">
        <v>10000</v>
      </c>
      <c r="M885">
        <v>0.35722728547296601</v>
      </c>
    </row>
    <row r="886" spans="1:13" x14ac:dyDescent="0.25">
      <c r="A886">
        <v>2221</v>
      </c>
      <c r="B886" t="str">
        <f>"NEK7"</f>
        <v>NEK7</v>
      </c>
      <c r="C886" t="str">
        <f>"NEK7"</f>
        <v>NEK7</v>
      </c>
      <c r="D886">
        <v>34.551000000000002</v>
      </c>
      <c r="E886">
        <v>11.9</v>
      </c>
      <c r="F886">
        <v>0</v>
      </c>
      <c r="G886">
        <v>0</v>
      </c>
      <c r="H886">
        <v>1</v>
      </c>
      <c r="I886" s="7">
        <v>0</v>
      </c>
      <c r="J886" s="6">
        <v>0</v>
      </c>
      <c r="K886" s="6">
        <v>0.60348020787262302</v>
      </c>
      <c r="L886">
        <v>10000</v>
      </c>
      <c r="M886">
        <v>0.35722728547296601</v>
      </c>
    </row>
    <row r="887" spans="1:13" x14ac:dyDescent="0.25">
      <c r="A887">
        <v>2855</v>
      </c>
      <c r="B887" t="str">
        <f>"DPP3"</f>
        <v>DPP3</v>
      </c>
      <c r="C887" t="str">
        <f>""</f>
        <v/>
      </c>
      <c r="D887">
        <v>82.587999999999994</v>
      </c>
      <c r="E887">
        <v>4.5</v>
      </c>
      <c r="F887">
        <v>0</v>
      </c>
      <c r="G887">
        <v>0</v>
      </c>
      <c r="H887">
        <v>1</v>
      </c>
      <c r="I887" s="7">
        <v>0</v>
      </c>
      <c r="J887" s="6">
        <v>0</v>
      </c>
      <c r="K887" s="6">
        <v>0.60348020787262302</v>
      </c>
      <c r="L887">
        <v>10000</v>
      </c>
      <c r="M887">
        <v>0.35722728547296601</v>
      </c>
    </row>
    <row r="888" spans="1:13" x14ac:dyDescent="0.25">
      <c r="A888">
        <v>2415</v>
      </c>
      <c r="B888" t="str">
        <f>"CHAMP1"</f>
        <v>CHAMP1</v>
      </c>
      <c r="C888" t="str">
        <f>""</f>
        <v/>
      </c>
      <c r="D888">
        <v>89.097999999999999</v>
      </c>
      <c r="E888">
        <v>1.1000000000000001</v>
      </c>
      <c r="F888">
        <v>0</v>
      </c>
      <c r="G888">
        <v>0</v>
      </c>
      <c r="H888">
        <v>1</v>
      </c>
      <c r="I888" s="7">
        <v>0</v>
      </c>
      <c r="J888" s="6">
        <v>0</v>
      </c>
      <c r="K888" s="6">
        <v>0.60348020787262302</v>
      </c>
      <c r="L888">
        <v>10000</v>
      </c>
      <c r="M888">
        <v>0.35722728547296601</v>
      </c>
    </row>
    <row r="889" spans="1:13" x14ac:dyDescent="0.25">
      <c r="A889">
        <v>2718</v>
      </c>
      <c r="B889" t="str">
        <f>"VIPAS39"</f>
        <v>VIPAS39</v>
      </c>
      <c r="C889" t="str">
        <f>""</f>
        <v/>
      </c>
      <c r="D889">
        <v>51.581000000000003</v>
      </c>
      <c r="E889">
        <v>4.3</v>
      </c>
      <c r="F889">
        <v>0</v>
      </c>
      <c r="G889">
        <v>0</v>
      </c>
      <c r="H889">
        <v>1</v>
      </c>
      <c r="I889" s="7">
        <v>0</v>
      </c>
      <c r="J889" s="6">
        <v>0</v>
      </c>
      <c r="K889" s="6">
        <v>0.60348020787262302</v>
      </c>
      <c r="L889">
        <v>10000</v>
      </c>
      <c r="M889">
        <v>0.35722728547296601</v>
      </c>
    </row>
    <row r="890" spans="1:13" x14ac:dyDescent="0.25">
      <c r="A890">
        <v>854</v>
      </c>
      <c r="B890" t="str">
        <f>"CALR"</f>
        <v>CALR</v>
      </c>
      <c r="C890" t="str">
        <f>""</f>
        <v/>
      </c>
      <c r="D890">
        <v>48.140999999999998</v>
      </c>
      <c r="E890">
        <v>12.9</v>
      </c>
      <c r="F890">
        <v>0</v>
      </c>
      <c r="G890">
        <v>0</v>
      </c>
      <c r="H890">
        <v>1</v>
      </c>
      <c r="I890" s="7">
        <v>0</v>
      </c>
      <c r="J890" s="6">
        <v>0</v>
      </c>
      <c r="K890" s="6">
        <v>0.60348020787262302</v>
      </c>
      <c r="L890">
        <v>10000</v>
      </c>
      <c r="M890">
        <v>0.35722728547296601</v>
      </c>
    </row>
    <row r="891" spans="1:13" x14ac:dyDescent="0.25">
      <c r="A891">
        <v>927</v>
      </c>
      <c r="B891" t="str">
        <f>"ACSL1"</f>
        <v>ACSL1</v>
      </c>
      <c r="C891" t="str">
        <f>""</f>
        <v/>
      </c>
      <c r="D891">
        <v>76.87</v>
      </c>
      <c r="E891">
        <v>1.6</v>
      </c>
      <c r="F891">
        <v>0</v>
      </c>
      <c r="G891">
        <v>0</v>
      </c>
      <c r="H891">
        <v>1</v>
      </c>
      <c r="I891" s="7">
        <v>0</v>
      </c>
      <c r="J891" s="6">
        <v>0</v>
      </c>
      <c r="K891" s="6">
        <v>0.60348020787262302</v>
      </c>
      <c r="L891">
        <v>10000</v>
      </c>
      <c r="M891">
        <v>0.35722728547296601</v>
      </c>
    </row>
    <row r="892" spans="1:13" x14ac:dyDescent="0.25">
      <c r="A892">
        <v>2093</v>
      </c>
      <c r="B892" t="str">
        <f>"MGA"</f>
        <v>MGA</v>
      </c>
      <c r="C892" t="str">
        <f>""</f>
        <v/>
      </c>
      <c r="D892">
        <v>315.22000000000003</v>
      </c>
      <c r="E892">
        <v>0.8</v>
      </c>
      <c r="F892">
        <v>0</v>
      </c>
      <c r="G892">
        <v>0</v>
      </c>
      <c r="H892">
        <v>1</v>
      </c>
      <c r="I892" s="7">
        <v>0</v>
      </c>
      <c r="J892" s="6">
        <v>0</v>
      </c>
      <c r="K892" s="6">
        <v>0.60348020787262302</v>
      </c>
      <c r="L892">
        <v>10000</v>
      </c>
      <c r="M892">
        <v>0.35722728547296601</v>
      </c>
    </row>
    <row r="893" spans="1:13" x14ac:dyDescent="0.25">
      <c r="A893">
        <v>2129</v>
      </c>
      <c r="B893" t="str">
        <f>"ZNF687"</f>
        <v>ZNF687</v>
      </c>
      <c r="C893" t="str">
        <f>""</f>
        <v/>
      </c>
      <c r="D893">
        <v>115.57</v>
      </c>
      <c r="E893">
        <v>2.4</v>
      </c>
      <c r="F893">
        <v>0</v>
      </c>
      <c r="G893">
        <v>0</v>
      </c>
      <c r="H893">
        <v>1</v>
      </c>
      <c r="I893" s="7">
        <v>0</v>
      </c>
      <c r="J893" s="6">
        <v>0</v>
      </c>
      <c r="K893" s="6">
        <v>0.60348020787262302</v>
      </c>
      <c r="L893">
        <v>10000</v>
      </c>
      <c r="M893">
        <v>0.35722728547296601</v>
      </c>
    </row>
    <row r="894" spans="1:13" x14ac:dyDescent="0.25">
      <c r="A894">
        <v>2137</v>
      </c>
      <c r="B894" t="str">
        <f>"AGGF1"</f>
        <v>AGGF1</v>
      </c>
      <c r="C894" t="str">
        <f>""</f>
        <v/>
      </c>
      <c r="D894">
        <v>80.975999999999999</v>
      </c>
      <c r="E894">
        <v>3.2</v>
      </c>
      <c r="F894">
        <v>0</v>
      </c>
      <c r="G894">
        <v>0</v>
      </c>
      <c r="H894">
        <v>1</v>
      </c>
      <c r="I894" s="7">
        <v>0</v>
      </c>
      <c r="J894" s="6">
        <v>0</v>
      </c>
      <c r="K894" s="6">
        <v>0.60348020787262302</v>
      </c>
      <c r="L894">
        <v>10000</v>
      </c>
      <c r="M894">
        <v>0.35722728547296601</v>
      </c>
    </row>
    <row r="895" spans="1:13" x14ac:dyDescent="0.25">
      <c r="A895">
        <v>2410</v>
      </c>
      <c r="B895" t="str">
        <f>"NGLY1"</f>
        <v>NGLY1</v>
      </c>
      <c r="C895" t="str">
        <f>""</f>
        <v/>
      </c>
      <c r="D895">
        <v>63.826999999999998</v>
      </c>
      <c r="E895">
        <v>3.6</v>
      </c>
      <c r="F895">
        <v>0</v>
      </c>
      <c r="G895">
        <v>0</v>
      </c>
      <c r="H895">
        <v>1</v>
      </c>
      <c r="I895" s="7">
        <v>0</v>
      </c>
      <c r="J895" s="6">
        <v>0</v>
      </c>
      <c r="K895" s="6">
        <v>0.60348020787262302</v>
      </c>
      <c r="L895">
        <v>10000</v>
      </c>
      <c r="M895">
        <v>0.35722728547296601</v>
      </c>
    </row>
    <row r="896" spans="1:13" x14ac:dyDescent="0.25">
      <c r="A896">
        <v>2866</v>
      </c>
      <c r="B896" t="str">
        <f>"GLTP"</f>
        <v>GLTP</v>
      </c>
      <c r="C896" t="str">
        <f>""</f>
        <v/>
      </c>
      <c r="D896">
        <v>23.85</v>
      </c>
      <c r="E896">
        <v>5.7</v>
      </c>
      <c r="F896">
        <v>0</v>
      </c>
      <c r="G896">
        <v>0</v>
      </c>
      <c r="H896">
        <v>1</v>
      </c>
      <c r="I896" s="7">
        <v>0</v>
      </c>
      <c r="J896" s="6">
        <v>0</v>
      </c>
      <c r="K896" s="6">
        <v>0.60348020787262302</v>
      </c>
      <c r="L896">
        <v>10000</v>
      </c>
      <c r="M896">
        <v>0.35722728547296601</v>
      </c>
    </row>
    <row r="897" spans="1:13" x14ac:dyDescent="0.25">
      <c r="A897">
        <v>11</v>
      </c>
      <c r="B897" t="str">
        <f>"TARSL2"</f>
        <v>TARSL2</v>
      </c>
      <c r="C897" t="str">
        <f>""</f>
        <v/>
      </c>
      <c r="D897">
        <v>81.56</v>
      </c>
      <c r="E897">
        <v>1.7</v>
      </c>
      <c r="F897">
        <v>0</v>
      </c>
      <c r="G897">
        <v>0</v>
      </c>
      <c r="H897">
        <v>1</v>
      </c>
      <c r="I897" s="7">
        <v>0</v>
      </c>
      <c r="J897" s="6">
        <v>0</v>
      </c>
      <c r="K897" s="6">
        <v>0.60348020787262302</v>
      </c>
      <c r="L897">
        <v>10000</v>
      </c>
      <c r="M897">
        <v>0.35722728547296601</v>
      </c>
    </row>
    <row r="898" spans="1:13" x14ac:dyDescent="0.25">
      <c r="A898">
        <v>80</v>
      </c>
      <c r="B898" t="str">
        <f>""</f>
        <v/>
      </c>
      <c r="C898" t="str">
        <f>""</f>
        <v/>
      </c>
      <c r="D898">
        <v>106.19</v>
      </c>
      <c r="E898">
        <v>5.4</v>
      </c>
      <c r="F898">
        <v>0</v>
      </c>
      <c r="G898">
        <v>0</v>
      </c>
      <c r="H898">
        <v>1</v>
      </c>
      <c r="I898" s="7">
        <v>0</v>
      </c>
      <c r="J898" s="6">
        <v>0</v>
      </c>
      <c r="K898" s="6">
        <v>0.60348020787262302</v>
      </c>
      <c r="L898">
        <v>10000</v>
      </c>
      <c r="M898">
        <v>0.35722728547296601</v>
      </c>
    </row>
    <row r="899" spans="1:13" x14ac:dyDescent="0.25">
      <c r="A899">
        <v>113</v>
      </c>
      <c r="B899" t="str">
        <f>"IGF2BP3"</f>
        <v>IGF2BP3</v>
      </c>
      <c r="C899" t="str">
        <f>""</f>
        <v/>
      </c>
      <c r="D899">
        <v>63.704000000000001</v>
      </c>
      <c r="E899">
        <v>5.7</v>
      </c>
      <c r="F899">
        <v>0</v>
      </c>
      <c r="G899">
        <v>0</v>
      </c>
      <c r="H899">
        <v>1</v>
      </c>
      <c r="I899" s="7">
        <v>0</v>
      </c>
      <c r="J899" s="6">
        <v>0</v>
      </c>
      <c r="K899" s="6">
        <v>0.60348020787262302</v>
      </c>
      <c r="L899">
        <v>10000</v>
      </c>
      <c r="M899">
        <v>0.35722728547296601</v>
      </c>
    </row>
    <row r="900" spans="1:13" x14ac:dyDescent="0.25">
      <c r="A900">
        <v>118</v>
      </c>
      <c r="B900" t="str">
        <f>"UPK2"</f>
        <v>UPK2</v>
      </c>
      <c r="C900" t="str">
        <f>""</f>
        <v/>
      </c>
      <c r="D900">
        <v>19.437999999999999</v>
      </c>
      <c r="E900">
        <v>4.3</v>
      </c>
      <c r="F900">
        <v>0</v>
      </c>
      <c r="G900">
        <v>0</v>
      </c>
      <c r="H900">
        <v>1</v>
      </c>
      <c r="I900" s="7">
        <v>0</v>
      </c>
      <c r="J900" s="6">
        <v>0</v>
      </c>
      <c r="K900" s="6">
        <v>0.60348020787262302</v>
      </c>
      <c r="L900">
        <v>10000</v>
      </c>
      <c r="M900">
        <v>0.35722728547296601</v>
      </c>
    </row>
    <row r="901" spans="1:13" x14ac:dyDescent="0.25">
      <c r="A901">
        <v>144</v>
      </c>
      <c r="B901" t="str">
        <f>"SLC9A3R1"</f>
        <v>SLC9A3R1</v>
      </c>
      <c r="C901" t="str">
        <f>""</f>
        <v/>
      </c>
      <c r="D901">
        <v>38.868000000000002</v>
      </c>
      <c r="E901">
        <v>8.1</v>
      </c>
      <c r="F901">
        <v>0</v>
      </c>
      <c r="G901">
        <v>0</v>
      </c>
      <c r="H901">
        <v>1</v>
      </c>
      <c r="I901" s="7">
        <v>0</v>
      </c>
      <c r="J901" s="6">
        <v>0</v>
      </c>
      <c r="K901" s="6">
        <v>0.60348020787262302</v>
      </c>
      <c r="L901">
        <v>10000</v>
      </c>
      <c r="M901">
        <v>0.35722728547296601</v>
      </c>
    </row>
    <row r="902" spans="1:13" x14ac:dyDescent="0.25">
      <c r="A902">
        <v>254</v>
      </c>
      <c r="B902" t="str">
        <f>"TIMM8A"</f>
        <v>TIMM8A</v>
      </c>
      <c r="C902" t="str">
        <f>""</f>
        <v/>
      </c>
      <c r="D902">
        <v>10.997999999999999</v>
      </c>
      <c r="E902">
        <v>22.7</v>
      </c>
      <c r="F902">
        <v>0</v>
      </c>
      <c r="G902">
        <v>0</v>
      </c>
      <c r="H902">
        <v>1</v>
      </c>
      <c r="I902" s="7">
        <v>0</v>
      </c>
      <c r="J902" s="6">
        <v>0</v>
      </c>
      <c r="K902" s="6">
        <v>0.60348020787262302</v>
      </c>
      <c r="L902">
        <v>10000</v>
      </c>
      <c r="M902">
        <v>0.35722728547296601</v>
      </c>
    </row>
    <row r="903" spans="1:13" x14ac:dyDescent="0.25">
      <c r="A903">
        <v>269</v>
      </c>
      <c r="B903" t="str">
        <f>"CDC40"</f>
        <v>CDC40</v>
      </c>
      <c r="C903" t="str">
        <f>""</f>
        <v/>
      </c>
      <c r="D903">
        <v>65.521000000000001</v>
      </c>
      <c r="E903">
        <v>1.7</v>
      </c>
      <c r="F903">
        <v>0</v>
      </c>
      <c r="G903">
        <v>0</v>
      </c>
      <c r="H903">
        <v>1</v>
      </c>
      <c r="I903" s="7">
        <v>0</v>
      </c>
      <c r="J903" s="6">
        <v>0</v>
      </c>
      <c r="K903" s="6">
        <v>0.60348020787262302</v>
      </c>
      <c r="L903">
        <v>10000</v>
      </c>
      <c r="M903">
        <v>0.35722728547296601</v>
      </c>
    </row>
    <row r="904" spans="1:13" x14ac:dyDescent="0.25">
      <c r="A904">
        <v>282</v>
      </c>
      <c r="B904" t="str">
        <f>"MRPS14"</f>
        <v>MRPS14</v>
      </c>
      <c r="C904" t="str">
        <f>""</f>
        <v/>
      </c>
      <c r="D904">
        <v>15.138999999999999</v>
      </c>
      <c r="E904">
        <v>11.7</v>
      </c>
      <c r="F904">
        <v>0</v>
      </c>
      <c r="G904">
        <v>0</v>
      </c>
      <c r="H904">
        <v>1</v>
      </c>
      <c r="I904" s="7">
        <v>0</v>
      </c>
      <c r="J904" s="6">
        <v>0</v>
      </c>
      <c r="K904" s="6">
        <v>0.60348020787262302</v>
      </c>
      <c r="L904">
        <v>10000</v>
      </c>
      <c r="M904">
        <v>0.35722728547296601</v>
      </c>
    </row>
    <row r="905" spans="1:13" x14ac:dyDescent="0.25">
      <c r="A905">
        <v>292</v>
      </c>
      <c r="B905" t="str">
        <f>"TBL1X"</f>
        <v>TBL1X</v>
      </c>
      <c r="C905" t="str">
        <f>""</f>
        <v/>
      </c>
      <c r="D905">
        <v>57.048000000000002</v>
      </c>
      <c r="E905">
        <v>9.9</v>
      </c>
      <c r="F905">
        <v>0</v>
      </c>
      <c r="G905">
        <v>0</v>
      </c>
      <c r="H905">
        <v>1</v>
      </c>
      <c r="I905" s="7">
        <v>0</v>
      </c>
      <c r="J905" s="6">
        <v>0</v>
      </c>
      <c r="K905" s="6">
        <v>0.60348020787262302</v>
      </c>
      <c r="L905">
        <v>10000</v>
      </c>
      <c r="M905">
        <v>0.35722728547296601</v>
      </c>
    </row>
    <row r="906" spans="1:13" x14ac:dyDescent="0.25">
      <c r="A906">
        <v>373</v>
      </c>
      <c r="B906" t="str">
        <f>"PROSC"</f>
        <v>PROSC</v>
      </c>
      <c r="C906" t="str">
        <f>""</f>
        <v/>
      </c>
      <c r="D906">
        <v>30.344000000000001</v>
      </c>
      <c r="E906">
        <v>7.3</v>
      </c>
      <c r="F906">
        <v>0</v>
      </c>
      <c r="G906">
        <v>0</v>
      </c>
      <c r="H906">
        <v>1</v>
      </c>
      <c r="I906" s="7">
        <v>0</v>
      </c>
      <c r="J906" s="6">
        <v>0</v>
      </c>
      <c r="K906" s="6">
        <v>0.60348020787262302</v>
      </c>
      <c r="L906">
        <v>10000</v>
      </c>
      <c r="M906">
        <v>0.35722728547296601</v>
      </c>
    </row>
    <row r="907" spans="1:13" x14ac:dyDescent="0.25">
      <c r="A907">
        <v>415</v>
      </c>
      <c r="B907" t="str">
        <f>"CNOT4"</f>
        <v>CNOT4</v>
      </c>
      <c r="C907" t="str">
        <f>""</f>
        <v/>
      </c>
      <c r="D907">
        <v>48.484000000000002</v>
      </c>
      <c r="E907">
        <v>3.5</v>
      </c>
      <c r="F907">
        <v>0</v>
      </c>
      <c r="G907">
        <v>0</v>
      </c>
      <c r="H907">
        <v>1</v>
      </c>
      <c r="I907" s="7">
        <v>0</v>
      </c>
      <c r="J907" s="6">
        <v>0</v>
      </c>
      <c r="K907" s="6">
        <v>0.60348020787262302</v>
      </c>
      <c r="L907">
        <v>10000</v>
      </c>
      <c r="M907">
        <v>0.35722728547296601</v>
      </c>
    </row>
    <row r="908" spans="1:13" x14ac:dyDescent="0.25">
      <c r="A908">
        <v>509</v>
      </c>
      <c r="B908" t="str">
        <f>"SOD2"</f>
        <v>SOD2</v>
      </c>
      <c r="C908" t="str">
        <f>""</f>
        <v/>
      </c>
      <c r="D908">
        <v>18.262</v>
      </c>
      <c r="E908">
        <v>15.4</v>
      </c>
      <c r="F908">
        <v>0</v>
      </c>
      <c r="G908">
        <v>0</v>
      </c>
      <c r="H908">
        <v>1</v>
      </c>
      <c r="I908" s="7">
        <v>0</v>
      </c>
      <c r="J908" s="6">
        <v>0</v>
      </c>
      <c r="K908" s="6">
        <v>0.60348020787262302</v>
      </c>
      <c r="L908">
        <v>10000</v>
      </c>
      <c r="M908">
        <v>0.35722728547296601</v>
      </c>
    </row>
    <row r="909" spans="1:13" x14ac:dyDescent="0.25">
      <c r="A909">
        <v>627</v>
      </c>
      <c r="B909" t="str">
        <f>"FDX1"</f>
        <v>FDX1</v>
      </c>
      <c r="C909" t="str">
        <f>""</f>
        <v/>
      </c>
      <c r="D909">
        <v>19.393000000000001</v>
      </c>
      <c r="E909">
        <v>4.9000000000000004</v>
      </c>
      <c r="F909">
        <v>0</v>
      </c>
      <c r="G909">
        <v>0</v>
      </c>
      <c r="H909">
        <v>1</v>
      </c>
      <c r="I909" s="7">
        <v>0</v>
      </c>
      <c r="J909" s="6">
        <v>0</v>
      </c>
      <c r="K909" s="6">
        <v>0.60348020787262302</v>
      </c>
      <c r="L909">
        <v>10000</v>
      </c>
      <c r="M909">
        <v>0.35722728547296601</v>
      </c>
    </row>
    <row r="910" spans="1:13" x14ac:dyDescent="0.25">
      <c r="A910">
        <v>683</v>
      </c>
      <c r="B910" t="str">
        <f>"GYS1"</f>
        <v>GYS1</v>
      </c>
      <c r="C910" t="str">
        <f>""</f>
        <v/>
      </c>
      <c r="D910">
        <v>76.481999999999999</v>
      </c>
      <c r="E910">
        <v>4.5999999999999996</v>
      </c>
      <c r="F910">
        <v>0</v>
      </c>
      <c r="G910">
        <v>0</v>
      </c>
      <c r="H910">
        <v>1</v>
      </c>
      <c r="I910" s="7">
        <v>0</v>
      </c>
      <c r="J910" s="6">
        <v>0</v>
      </c>
      <c r="K910" s="6">
        <v>0.60348020787262302</v>
      </c>
      <c r="L910">
        <v>10000</v>
      </c>
      <c r="M910">
        <v>0.35722728547296601</v>
      </c>
    </row>
    <row r="911" spans="1:13" x14ac:dyDescent="0.25">
      <c r="A911">
        <v>688</v>
      </c>
      <c r="B911" t="str">
        <f>"MTHFD2"</f>
        <v>MTHFD2</v>
      </c>
      <c r="C911" t="str">
        <f>""</f>
        <v/>
      </c>
      <c r="D911">
        <v>26.849</v>
      </c>
      <c r="E911">
        <v>4.8</v>
      </c>
      <c r="F911">
        <v>0</v>
      </c>
      <c r="G911">
        <v>0</v>
      </c>
      <c r="H911">
        <v>1</v>
      </c>
      <c r="I911" s="7">
        <v>0</v>
      </c>
      <c r="J911" s="6">
        <v>0</v>
      </c>
      <c r="K911" s="6">
        <v>0.60348020787262302</v>
      </c>
      <c r="L911">
        <v>10000</v>
      </c>
      <c r="M911">
        <v>0.35722728547296601</v>
      </c>
    </row>
    <row r="912" spans="1:13" x14ac:dyDescent="0.25">
      <c r="A912">
        <v>772</v>
      </c>
      <c r="B912" t="str">
        <f>"CDK11B;CDK11A"</f>
        <v>CDK11B;CDK11A</v>
      </c>
      <c r="C912" t="str">
        <f>"CDK11B;CDK11A"</f>
        <v>CDK11B;CDK11A</v>
      </c>
      <c r="D912">
        <v>92.619</v>
      </c>
      <c r="E912">
        <v>2.8</v>
      </c>
      <c r="F912">
        <v>0</v>
      </c>
      <c r="G912">
        <v>0</v>
      </c>
      <c r="H912">
        <v>1</v>
      </c>
      <c r="I912" s="7">
        <v>0</v>
      </c>
      <c r="J912" s="6">
        <v>0</v>
      </c>
      <c r="K912" s="6">
        <v>0.60348020787262302</v>
      </c>
      <c r="L912">
        <v>10000</v>
      </c>
      <c r="M912">
        <v>0.35722728547296601</v>
      </c>
    </row>
    <row r="913" spans="1:13" x14ac:dyDescent="0.25">
      <c r="A913">
        <v>823</v>
      </c>
      <c r="B913" t="str">
        <f>"YY1"</f>
        <v>YY1</v>
      </c>
      <c r="C913" t="str">
        <f>""</f>
        <v/>
      </c>
      <c r="D913">
        <v>44.712000000000003</v>
      </c>
      <c r="E913">
        <v>5.0999999999999996</v>
      </c>
      <c r="F913">
        <v>0</v>
      </c>
      <c r="G913">
        <v>0</v>
      </c>
      <c r="H913">
        <v>1</v>
      </c>
      <c r="I913" s="7">
        <v>0</v>
      </c>
      <c r="J913" s="6">
        <v>0</v>
      </c>
      <c r="K913" s="6">
        <v>0.60348020787262302</v>
      </c>
      <c r="L913">
        <v>10000</v>
      </c>
      <c r="M913">
        <v>0.35722728547296601</v>
      </c>
    </row>
    <row r="914" spans="1:13" x14ac:dyDescent="0.25">
      <c r="A914">
        <v>915</v>
      </c>
      <c r="B914" t="str">
        <f>"HNRNPH1"</f>
        <v>HNRNPH1</v>
      </c>
      <c r="C914" t="str">
        <f>""</f>
        <v/>
      </c>
      <c r="D914">
        <v>49.228999999999999</v>
      </c>
      <c r="E914">
        <v>6.7</v>
      </c>
      <c r="F914">
        <v>0</v>
      </c>
      <c r="G914">
        <v>0</v>
      </c>
      <c r="H914">
        <v>1</v>
      </c>
      <c r="I914" s="7">
        <v>0</v>
      </c>
      <c r="J914" s="6">
        <v>0</v>
      </c>
      <c r="K914" s="6">
        <v>0.60348020787262302</v>
      </c>
      <c r="L914">
        <v>10000</v>
      </c>
      <c r="M914">
        <v>0.35722728547296601</v>
      </c>
    </row>
    <row r="915" spans="1:13" x14ac:dyDescent="0.25">
      <c r="A915">
        <v>923</v>
      </c>
      <c r="B915" t="str">
        <f>"ELF1"</f>
        <v>ELF1</v>
      </c>
      <c r="C915" t="str">
        <f>""</f>
        <v/>
      </c>
      <c r="D915">
        <v>64.927999999999997</v>
      </c>
      <c r="E915">
        <v>2.5</v>
      </c>
      <c r="F915">
        <v>0</v>
      </c>
      <c r="G915">
        <v>0</v>
      </c>
      <c r="H915">
        <v>1</v>
      </c>
      <c r="I915" s="7">
        <v>0</v>
      </c>
      <c r="J915" s="6">
        <v>0</v>
      </c>
      <c r="K915" s="6">
        <v>0.60348020787262302</v>
      </c>
      <c r="L915">
        <v>10000</v>
      </c>
      <c r="M915">
        <v>0.35722728547296601</v>
      </c>
    </row>
    <row r="916" spans="1:13" x14ac:dyDescent="0.25">
      <c r="A916">
        <v>976</v>
      </c>
      <c r="B916" t="str">
        <f>"SRP14"</f>
        <v>SRP14</v>
      </c>
      <c r="C916" t="str">
        <f>""</f>
        <v/>
      </c>
      <c r="D916">
        <v>14.57</v>
      </c>
      <c r="E916">
        <v>6.6</v>
      </c>
      <c r="F916">
        <v>0</v>
      </c>
      <c r="G916">
        <v>0</v>
      </c>
      <c r="H916">
        <v>1</v>
      </c>
      <c r="I916" s="7">
        <v>0</v>
      </c>
      <c r="J916" s="6">
        <v>0</v>
      </c>
      <c r="K916" s="6">
        <v>0.60348020787262302</v>
      </c>
      <c r="L916">
        <v>10000</v>
      </c>
      <c r="M916">
        <v>0.35722728547296601</v>
      </c>
    </row>
    <row r="917" spans="1:13" x14ac:dyDescent="0.25">
      <c r="A917">
        <v>1022</v>
      </c>
      <c r="B917" t="str">
        <f>"CASP3"</f>
        <v>CASP3</v>
      </c>
      <c r="C917" t="str">
        <f>""</f>
        <v/>
      </c>
      <c r="D917">
        <v>31.608000000000001</v>
      </c>
      <c r="E917">
        <v>2.9</v>
      </c>
      <c r="F917">
        <v>0</v>
      </c>
      <c r="G917">
        <v>0</v>
      </c>
      <c r="H917">
        <v>1</v>
      </c>
      <c r="I917" s="7">
        <v>0</v>
      </c>
      <c r="J917" s="6">
        <v>0</v>
      </c>
      <c r="K917" s="6">
        <v>0.60348020787262302</v>
      </c>
      <c r="L917">
        <v>10000</v>
      </c>
      <c r="M917">
        <v>0.35722728547296601</v>
      </c>
    </row>
    <row r="918" spans="1:13" x14ac:dyDescent="0.25">
      <c r="A918">
        <v>1036</v>
      </c>
      <c r="B918" t="str">
        <f>"GRK6;GRK4;GRK5"</f>
        <v>GRK6;GRK4;GRK5</v>
      </c>
      <c r="C918" t="str">
        <f>"GRK6;GRK4;GRK5"</f>
        <v>GRK6;GRK4;GRK5</v>
      </c>
      <c r="D918">
        <v>64.293000000000006</v>
      </c>
      <c r="E918">
        <v>5.2</v>
      </c>
      <c r="F918">
        <v>0</v>
      </c>
      <c r="G918">
        <v>0</v>
      </c>
      <c r="H918">
        <v>1</v>
      </c>
      <c r="I918" s="7">
        <v>0</v>
      </c>
      <c r="J918" s="6">
        <v>0</v>
      </c>
      <c r="K918" s="6">
        <v>0.60348020787262302</v>
      </c>
      <c r="L918">
        <v>10000</v>
      </c>
      <c r="M918">
        <v>0.35722728547296601</v>
      </c>
    </row>
    <row r="919" spans="1:13" x14ac:dyDescent="0.25">
      <c r="A919">
        <v>1081</v>
      </c>
      <c r="B919" t="str">
        <f>"GSS"</f>
        <v>GSS</v>
      </c>
      <c r="C919" t="str">
        <f>""</f>
        <v/>
      </c>
      <c r="D919">
        <v>52.384</v>
      </c>
      <c r="E919">
        <v>3.6</v>
      </c>
      <c r="F919">
        <v>0</v>
      </c>
      <c r="G919">
        <v>0</v>
      </c>
      <c r="H919">
        <v>1</v>
      </c>
      <c r="I919" s="7">
        <v>0</v>
      </c>
      <c r="J919" s="6">
        <v>0</v>
      </c>
      <c r="K919" s="6">
        <v>0.60348020787262302</v>
      </c>
      <c r="L919">
        <v>10000</v>
      </c>
      <c r="M919">
        <v>0.35722728547296601</v>
      </c>
    </row>
    <row r="920" spans="1:13" x14ac:dyDescent="0.25">
      <c r="A920">
        <v>1116</v>
      </c>
      <c r="B920" t="str">
        <f>"YLPM1"</f>
        <v>YLPM1</v>
      </c>
      <c r="C920" t="str">
        <f>""</f>
        <v/>
      </c>
      <c r="D920">
        <v>241.64</v>
      </c>
      <c r="E920">
        <v>0.8</v>
      </c>
      <c r="F920">
        <v>0</v>
      </c>
      <c r="G920">
        <v>0</v>
      </c>
      <c r="H920">
        <v>1</v>
      </c>
      <c r="I920" s="7">
        <v>0</v>
      </c>
      <c r="J920" s="6">
        <v>0</v>
      </c>
      <c r="K920" s="6">
        <v>0.60348020787262302</v>
      </c>
      <c r="L920">
        <v>10000</v>
      </c>
      <c r="M920">
        <v>0.35722728547296601</v>
      </c>
    </row>
    <row r="921" spans="1:13" x14ac:dyDescent="0.25">
      <c r="A921">
        <v>1313</v>
      </c>
      <c r="B921" t="str">
        <f>"RPS23"</f>
        <v>RPS23</v>
      </c>
      <c r="C921" t="str">
        <f>""</f>
        <v/>
      </c>
      <c r="D921">
        <v>15.807</v>
      </c>
      <c r="E921">
        <v>13.3</v>
      </c>
      <c r="F921">
        <v>0</v>
      </c>
      <c r="G921">
        <v>0</v>
      </c>
      <c r="H921">
        <v>1</v>
      </c>
      <c r="I921" s="7">
        <v>0</v>
      </c>
      <c r="J921" s="6">
        <v>0</v>
      </c>
      <c r="K921" s="6">
        <v>0.60348020787262302</v>
      </c>
      <c r="L921">
        <v>10000</v>
      </c>
      <c r="M921">
        <v>0.35722728547296601</v>
      </c>
    </row>
    <row r="922" spans="1:13" x14ac:dyDescent="0.25">
      <c r="A922">
        <v>1361</v>
      </c>
      <c r="B922" t="str">
        <f>"CSNK2B"</f>
        <v>CSNK2B</v>
      </c>
      <c r="C922" t="str">
        <f>""</f>
        <v/>
      </c>
      <c r="D922">
        <v>24.942</v>
      </c>
      <c r="E922">
        <v>7.9</v>
      </c>
      <c r="F922">
        <v>0</v>
      </c>
      <c r="G922">
        <v>0</v>
      </c>
      <c r="H922">
        <v>1</v>
      </c>
      <c r="I922" s="7">
        <v>0</v>
      </c>
      <c r="J922" s="6">
        <v>0</v>
      </c>
      <c r="K922" s="6">
        <v>0.60348020787262302</v>
      </c>
      <c r="L922">
        <v>10000</v>
      </c>
      <c r="M922">
        <v>0.35722728547296601</v>
      </c>
    </row>
    <row r="923" spans="1:13" x14ac:dyDescent="0.25">
      <c r="A923">
        <v>1390</v>
      </c>
      <c r="B923" t="str">
        <f>"MRPS21"</f>
        <v>MRPS21</v>
      </c>
      <c r="C923" t="str">
        <f>""</f>
        <v/>
      </c>
      <c r="D923">
        <v>10.688000000000001</v>
      </c>
      <c r="E923">
        <v>16.100000000000001</v>
      </c>
      <c r="F923">
        <v>0</v>
      </c>
      <c r="G923">
        <v>0</v>
      </c>
      <c r="H923">
        <v>1</v>
      </c>
      <c r="I923" s="7">
        <v>0</v>
      </c>
      <c r="J923" s="6">
        <v>0</v>
      </c>
      <c r="K923" s="6">
        <v>0.60348020787262302</v>
      </c>
      <c r="L923">
        <v>10000</v>
      </c>
      <c r="M923">
        <v>0.35722728547296601</v>
      </c>
    </row>
    <row r="924" spans="1:13" x14ac:dyDescent="0.25">
      <c r="A924">
        <v>1407</v>
      </c>
      <c r="B924" t="str">
        <f>"GTF2B"</f>
        <v>GTF2B</v>
      </c>
      <c r="C924" t="str">
        <f>""</f>
        <v/>
      </c>
      <c r="D924">
        <v>34.832999999999998</v>
      </c>
      <c r="E924">
        <v>9.1999999999999993</v>
      </c>
      <c r="F924">
        <v>0</v>
      </c>
      <c r="G924">
        <v>0</v>
      </c>
      <c r="H924">
        <v>1</v>
      </c>
      <c r="I924" s="7">
        <v>0</v>
      </c>
      <c r="J924" s="6">
        <v>0</v>
      </c>
      <c r="K924" s="6">
        <v>0.60348020787262302</v>
      </c>
      <c r="L924">
        <v>10000</v>
      </c>
      <c r="M924">
        <v>0.35722728547296601</v>
      </c>
    </row>
    <row r="925" spans="1:13" x14ac:dyDescent="0.25">
      <c r="A925">
        <v>1449</v>
      </c>
      <c r="B925" t="str">
        <f>"TLE4;TLE1"</f>
        <v>TLE4;TLE1</v>
      </c>
      <c r="C925" t="str">
        <f>""</f>
        <v/>
      </c>
      <c r="D925">
        <v>76.58</v>
      </c>
      <c r="E925">
        <v>3</v>
      </c>
      <c r="F925">
        <v>0</v>
      </c>
      <c r="G925">
        <v>0</v>
      </c>
      <c r="H925">
        <v>1</v>
      </c>
      <c r="I925" s="7">
        <v>0</v>
      </c>
      <c r="J925" s="6">
        <v>0</v>
      </c>
      <c r="K925" s="6">
        <v>0.60348020787262302</v>
      </c>
      <c r="L925">
        <v>10000</v>
      </c>
      <c r="M925">
        <v>0.35722728547296601</v>
      </c>
    </row>
    <row r="926" spans="1:13" x14ac:dyDescent="0.25">
      <c r="A926">
        <v>1458</v>
      </c>
      <c r="B926" t="str">
        <f>"SRSF11"</f>
        <v>SRSF11</v>
      </c>
      <c r="C926" t="str">
        <f>""</f>
        <v/>
      </c>
      <c r="D926">
        <v>53.412999999999997</v>
      </c>
      <c r="E926">
        <v>4.3</v>
      </c>
      <c r="F926">
        <v>0</v>
      </c>
      <c r="G926">
        <v>0</v>
      </c>
      <c r="H926">
        <v>1</v>
      </c>
      <c r="I926" s="7">
        <v>0</v>
      </c>
      <c r="J926" s="6">
        <v>0</v>
      </c>
      <c r="K926" s="6">
        <v>0.60348020787262302</v>
      </c>
      <c r="L926">
        <v>10000</v>
      </c>
      <c r="M926">
        <v>0.35722728547296601</v>
      </c>
    </row>
    <row r="927" spans="1:13" x14ac:dyDescent="0.25">
      <c r="A927">
        <v>1491</v>
      </c>
      <c r="B927" t="str">
        <f>"SPIRE1"</f>
        <v>SPIRE1</v>
      </c>
      <c r="C927" t="str">
        <f>""</f>
        <v/>
      </c>
      <c r="D927">
        <v>83.956000000000003</v>
      </c>
      <c r="E927">
        <v>3.1</v>
      </c>
      <c r="F927">
        <v>0</v>
      </c>
      <c r="G927">
        <v>0</v>
      </c>
      <c r="H927">
        <v>1</v>
      </c>
      <c r="I927" s="7">
        <v>0</v>
      </c>
      <c r="J927" s="6">
        <v>0</v>
      </c>
      <c r="K927" s="6">
        <v>0.60348020787262302</v>
      </c>
      <c r="L927">
        <v>10000</v>
      </c>
      <c r="M927">
        <v>0.35722728547296601</v>
      </c>
    </row>
    <row r="928" spans="1:13" x14ac:dyDescent="0.25">
      <c r="A928">
        <v>1514</v>
      </c>
      <c r="B928" t="str">
        <f>"CHD3"</f>
        <v>CHD3</v>
      </c>
      <c r="C928" t="str">
        <f>""</f>
        <v/>
      </c>
      <c r="D928">
        <v>222.86</v>
      </c>
      <c r="E928">
        <v>1.3</v>
      </c>
      <c r="F928">
        <v>0</v>
      </c>
      <c r="G928">
        <v>0</v>
      </c>
      <c r="H928">
        <v>1</v>
      </c>
      <c r="I928" s="7">
        <v>0</v>
      </c>
      <c r="J928" s="6">
        <v>0</v>
      </c>
      <c r="K928" s="6">
        <v>0.60348020787262302</v>
      </c>
      <c r="L928">
        <v>10000</v>
      </c>
      <c r="M928">
        <v>0.35722728547296601</v>
      </c>
    </row>
    <row r="929" spans="1:13" x14ac:dyDescent="0.25">
      <c r="A929">
        <v>1540</v>
      </c>
      <c r="B929" t="str">
        <f>"REST"</f>
        <v>REST</v>
      </c>
      <c r="C929" t="str">
        <f>""</f>
        <v/>
      </c>
      <c r="D929">
        <v>119.08</v>
      </c>
      <c r="E929">
        <v>1.2</v>
      </c>
      <c r="F929">
        <v>0</v>
      </c>
      <c r="G929">
        <v>0</v>
      </c>
      <c r="H929">
        <v>1</v>
      </c>
      <c r="I929" s="7">
        <v>0</v>
      </c>
      <c r="J929" s="6">
        <v>0</v>
      </c>
      <c r="K929" s="6">
        <v>0.60348020787262302</v>
      </c>
      <c r="L929">
        <v>10000</v>
      </c>
      <c r="M929">
        <v>0.35722728547296601</v>
      </c>
    </row>
    <row r="930" spans="1:13" x14ac:dyDescent="0.25">
      <c r="A930">
        <v>1549</v>
      </c>
      <c r="B930" t="str">
        <f>"DDX10"</f>
        <v>DDX10</v>
      </c>
      <c r="C930" t="str">
        <f>""</f>
        <v/>
      </c>
      <c r="D930">
        <v>100.89</v>
      </c>
      <c r="E930">
        <v>1</v>
      </c>
      <c r="F930">
        <v>0</v>
      </c>
      <c r="G930">
        <v>0</v>
      </c>
      <c r="H930">
        <v>1</v>
      </c>
      <c r="I930" s="7">
        <v>0</v>
      </c>
      <c r="J930" s="6">
        <v>0</v>
      </c>
      <c r="K930" s="6">
        <v>0.60348020787262302</v>
      </c>
      <c r="L930">
        <v>10000</v>
      </c>
      <c r="M930">
        <v>0.35722728547296601</v>
      </c>
    </row>
    <row r="931" spans="1:13" x14ac:dyDescent="0.25">
      <c r="A931">
        <v>1564</v>
      </c>
      <c r="B931" t="str">
        <f>"UBE2V1"</f>
        <v>UBE2V1</v>
      </c>
      <c r="C931" t="str">
        <f>""</f>
        <v/>
      </c>
      <c r="D931">
        <v>11.842000000000001</v>
      </c>
      <c r="E931">
        <v>14.6</v>
      </c>
      <c r="F931">
        <v>0</v>
      </c>
      <c r="G931">
        <v>0</v>
      </c>
      <c r="H931">
        <v>1</v>
      </c>
      <c r="I931" s="7">
        <v>0</v>
      </c>
      <c r="J931" s="6">
        <v>0</v>
      </c>
      <c r="K931" s="6">
        <v>0.60348020787262302</v>
      </c>
      <c r="L931">
        <v>10000</v>
      </c>
      <c r="M931">
        <v>0.35722728547296601</v>
      </c>
    </row>
    <row r="932" spans="1:13" x14ac:dyDescent="0.25">
      <c r="A932">
        <v>1593</v>
      </c>
      <c r="B932" t="str">
        <f>"MTMR3"</f>
        <v>MTMR3</v>
      </c>
      <c r="C932" t="str">
        <f>""</f>
        <v/>
      </c>
      <c r="D932">
        <v>129.44</v>
      </c>
      <c r="E932">
        <v>1.4</v>
      </c>
      <c r="F932">
        <v>0</v>
      </c>
      <c r="G932">
        <v>0</v>
      </c>
      <c r="H932">
        <v>1</v>
      </c>
      <c r="I932" s="7">
        <v>0</v>
      </c>
      <c r="J932" s="6">
        <v>0</v>
      </c>
      <c r="K932" s="6">
        <v>0.60348020787262302</v>
      </c>
      <c r="L932">
        <v>10000</v>
      </c>
      <c r="M932">
        <v>0.35722728547296601</v>
      </c>
    </row>
    <row r="933" spans="1:13" x14ac:dyDescent="0.25">
      <c r="A933">
        <v>1715</v>
      </c>
      <c r="B933" t="str">
        <f>"LRRC41"</f>
        <v>LRRC41</v>
      </c>
      <c r="C933" t="str">
        <f>""</f>
        <v/>
      </c>
      <c r="D933">
        <v>79.296999999999997</v>
      </c>
      <c r="E933">
        <v>3.8</v>
      </c>
      <c r="F933">
        <v>0</v>
      </c>
      <c r="G933">
        <v>0</v>
      </c>
      <c r="H933">
        <v>1</v>
      </c>
      <c r="I933" s="7">
        <v>0</v>
      </c>
      <c r="J933" s="6">
        <v>0</v>
      </c>
      <c r="K933" s="6">
        <v>0.60348020787262302</v>
      </c>
      <c r="L933">
        <v>10000</v>
      </c>
      <c r="M933">
        <v>0.35722728547296601</v>
      </c>
    </row>
    <row r="934" spans="1:13" x14ac:dyDescent="0.25">
      <c r="A934">
        <v>1716</v>
      </c>
      <c r="B934" t="str">
        <f>"TMED2"</f>
        <v>TMED2</v>
      </c>
      <c r="C934" t="str">
        <f>""</f>
        <v/>
      </c>
      <c r="D934">
        <v>22.760999999999999</v>
      </c>
      <c r="E934">
        <v>6</v>
      </c>
      <c r="F934">
        <v>0</v>
      </c>
      <c r="G934">
        <v>0</v>
      </c>
      <c r="H934">
        <v>1</v>
      </c>
      <c r="I934" s="7">
        <v>0</v>
      </c>
      <c r="J934" s="6">
        <v>0</v>
      </c>
      <c r="K934" s="6">
        <v>0.60348020787262302</v>
      </c>
      <c r="L934">
        <v>10000</v>
      </c>
      <c r="M934">
        <v>0.35722728547296601</v>
      </c>
    </row>
    <row r="935" spans="1:13" x14ac:dyDescent="0.25">
      <c r="A935">
        <v>1718</v>
      </c>
      <c r="B935" t="str">
        <f>"PCBP2;PCBP3;PCBP4"</f>
        <v>PCBP2;PCBP3;PCBP4</v>
      </c>
      <c r="C935" t="str">
        <f>""</f>
        <v/>
      </c>
      <c r="D935">
        <v>38.15</v>
      </c>
      <c r="E935">
        <v>8.6</v>
      </c>
      <c r="F935">
        <v>0</v>
      </c>
      <c r="G935">
        <v>0</v>
      </c>
      <c r="H935">
        <v>1</v>
      </c>
      <c r="I935" s="7">
        <v>0</v>
      </c>
      <c r="J935" s="6">
        <v>0</v>
      </c>
      <c r="K935" s="6">
        <v>0.60348020787262302</v>
      </c>
      <c r="L935">
        <v>10000</v>
      </c>
      <c r="M935">
        <v>0.35722728547296601</v>
      </c>
    </row>
    <row r="936" spans="1:13" x14ac:dyDescent="0.25">
      <c r="A936">
        <v>1779</v>
      </c>
      <c r="B936" t="str">
        <f>"RTN1"</f>
        <v>RTN1</v>
      </c>
      <c r="C936" t="str">
        <f>""</f>
        <v/>
      </c>
      <c r="D936">
        <v>83.617000000000004</v>
      </c>
      <c r="E936">
        <v>5.2</v>
      </c>
      <c r="F936">
        <v>0</v>
      </c>
      <c r="G936">
        <v>0</v>
      </c>
      <c r="H936">
        <v>1</v>
      </c>
      <c r="I936" s="7">
        <v>0</v>
      </c>
      <c r="J936" s="6">
        <v>0</v>
      </c>
      <c r="K936" s="6">
        <v>0.60348020787262302</v>
      </c>
      <c r="L936">
        <v>10000</v>
      </c>
      <c r="M936">
        <v>0.35722728547296601</v>
      </c>
    </row>
    <row r="937" spans="1:13" x14ac:dyDescent="0.25">
      <c r="A937">
        <v>1792</v>
      </c>
      <c r="B937" t="str">
        <f>"KIF7"</f>
        <v>KIF7</v>
      </c>
      <c r="C937" t="str">
        <f>""</f>
        <v/>
      </c>
      <c r="D937">
        <v>150.59</v>
      </c>
      <c r="E937">
        <v>1.3</v>
      </c>
      <c r="F937">
        <v>0</v>
      </c>
      <c r="G937">
        <v>0</v>
      </c>
      <c r="H937">
        <v>1</v>
      </c>
      <c r="I937" s="7">
        <v>0</v>
      </c>
      <c r="J937" s="6">
        <v>0</v>
      </c>
      <c r="K937" s="6">
        <v>0.60348020787262302</v>
      </c>
      <c r="L937">
        <v>10000</v>
      </c>
      <c r="M937">
        <v>0.35722728547296601</v>
      </c>
    </row>
    <row r="938" spans="1:13" x14ac:dyDescent="0.25">
      <c r="A938">
        <v>1800</v>
      </c>
      <c r="B938" t="str">
        <f>"ATG2A"</f>
        <v>ATG2A</v>
      </c>
      <c r="C938" t="str">
        <f>""</f>
        <v/>
      </c>
      <c r="D938">
        <v>212.86</v>
      </c>
      <c r="E938">
        <v>0.9</v>
      </c>
      <c r="F938">
        <v>0</v>
      </c>
      <c r="G938">
        <v>0</v>
      </c>
      <c r="H938">
        <v>1</v>
      </c>
      <c r="I938" s="7">
        <v>0</v>
      </c>
      <c r="J938" s="6">
        <v>0</v>
      </c>
      <c r="K938" s="6">
        <v>0.60348020787262302</v>
      </c>
      <c r="L938">
        <v>10000</v>
      </c>
      <c r="M938">
        <v>0.35722728547296601</v>
      </c>
    </row>
    <row r="939" spans="1:13" x14ac:dyDescent="0.25">
      <c r="A939">
        <v>1837</v>
      </c>
      <c r="B939" t="str">
        <f>"COQ5"</f>
        <v>COQ5</v>
      </c>
      <c r="C939" t="str">
        <f>""</f>
        <v/>
      </c>
      <c r="D939">
        <v>37.14</v>
      </c>
      <c r="E939">
        <v>3.4</v>
      </c>
      <c r="F939">
        <v>0</v>
      </c>
      <c r="G939">
        <v>0</v>
      </c>
      <c r="H939">
        <v>1</v>
      </c>
      <c r="I939" s="7">
        <v>0</v>
      </c>
      <c r="J939" s="6">
        <v>0</v>
      </c>
      <c r="K939" s="6">
        <v>0.60348020787262302</v>
      </c>
      <c r="L939">
        <v>10000</v>
      </c>
      <c r="M939">
        <v>0.35722728547296601</v>
      </c>
    </row>
    <row r="940" spans="1:13" x14ac:dyDescent="0.25">
      <c r="A940">
        <v>1846</v>
      </c>
      <c r="B940" t="str">
        <f>"SMEK1;SMEK2"</f>
        <v>SMEK1;SMEK2</v>
      </c>
      <c r="C940" t="str">
        <f>""</f>
        <v/>
      </c>
      <c r="D940">
        <v>62.018999999999998</v>
      </c>
      <c r="E940">
        <v>4.0999999999999996</v>
      </c>
      <c r="F940">
        <v>0</v>
      </c>
      <c r="G940">
        <v>0</v>
      </c>
      <c r="H940">
        <v>1</v>
      </c>
      <c r="I940" s="7">
        <v>0</v>
      </c>
      <c r="J940" s="6">
        <v>0</v>
      </c>
      <c r="K940" s="6">
        <v>0.60348020787262302</v>
      </c>
      <c r="L940">
        <v>10000</v>
      </c>
      <c r="M940">
        <v>0.35722728547296601</v>
      </c>
    </row>
    <row r="941" spans="1:13" x14ac:dyDescent="0.25">
      <c r="A941">
        <v>1850</v>
      </c>
      <c r="B941" t="str">
        <f>"SNAP47"</f>
        <v>SNAP47</v>
      </c>
      <c r="C941" t="str">
        <f>""</f>
        <v/>
      </c>
      <c r="D941">
        <v>22.643000000000001</v>
      </c>
      <c r="E941">
        <v>4.9000000000000004</v>
      </c>
      <c r="F941">
        <v>0</v>
      </c>
      <c r="G941">
        <v>0</v>
      </c>
      <c r="H941">
        <v>1</v>
      </c>
      <c r="I941" s="7">
        <v>0</v>
      </c>
      <c r="J941" s="6">
        <v>0</v>
      </c>
      <c r="K941" s="6">
        <v>0.60348020787262302</v>
      </c>
      <c r="L941">
        <v>10000</v>
      </c>
      <c r="M941">
        <v>0.35722728547296601</v>
      </c>
    </row>
    <row r="942" spans="1:13" x14ac:dyDescent="0.25">
      <c r="A942">
        <v>1907</v>
      </c>
      <c r="B942" t="str">
        <f>"SMYD5"</f>
        <v>SMYD5</v>
      </c>
      <c r="C942" t="str">
        <f>""</f>
        <v/>
      </c>
      <c r="D942">
        <v>47.34</v>
      </c>
      <c r="E942">
        <v>1.9</v>
      </c>
      <c r="F942">
        <v>0</v>
      </c>
      <c r="G942">
        <v>0</v>
      </c>
      <c r="H942">
        <v>1</v>
      </c>
      <c r="I942" s="7">
        <v>0</v>
      </c>
      <c r="J942" s="6">
        <v>0</v>
      </c>
      <c r="K942" s="6">
        <v>0.60348020787262302</v>
      </c>
      <c r="L942">
        <v>10000</v>
      </c>
      <c r="M942">
        <v>0.35722728547296601</v>
      </c>
    </row>
    <row r="943" spans="1:13" x14ac:dyDescent="0.25">
      <c r="A943">
        <v>1921</v>
      </c>
      <c r="B943" t="str">
        <f>"REEP3"</f>
        <v>REEP3</v>
      </c>
      <c r="C943" t="str">
        <f>""</f>
        <v/>
      </c>
      <c r="D943">
        <v>16.998999999999999</v>
      </c>
      <c r="E943">
        <v>6.8</v>
      </c>
      <c r="F943">
        <v>0</v>
      </c>
      <c r="G943">
        <v>0</v>
      </c>
      <c r="H943">
        <v>1</v>
      </c>
      <c r="I943" s="7">
        <v>0</v>
      </c>
      <c r="J943" s="6">
        <v>0</v>
      </c>
      <c r="K943" s="6">
        <v>0.60348020787262302</v>
      </c>
      <c r="L943">
        <v>10000</v>
      </c>
      <c r="M943">
        <v>0.35722728547296601</v>
      </c>
    </row>
    <row r="944" spans="1:13" x14ac:dyDescent="0.25">
      <c r="A944">
        <v>1942</v>
      </c>
      <c r="B944" t="str">
        <f>"CTR9"</f>
        <v>CTR9</v>
      </c>
      <c r="C944" t="str">
        <f>""</f>
        <v/>
      </c>
      <c r="D944">
        <v>133.5</v>
      </c>
      <c r="E944">
        <v>2.7</v>
      </c>
      <c r="F944">
        <v>0</v>
      </c>
      <c r="G944">
        <v>0</v>
      </c>
      <c r="H944">
        <v>1</v>
      </c>
      <c r="I944" s="7">
        <v>0</v>
      </c>
      <c r="J944" s="6">
        <v>0</v>
      </c>
      <c r="K944" s="6">
        <v>0.60348020787262302</v>
      </c>
      <c r="L944">
        <v>10000</v>
      </c>
      <c r="M944">
        <v>0.35722728547296601</v>
      </c>
    </row>
    <row r="945" spans="1:13" x14ac:dyDescent="0.25">
      <c r="A945">
        <v>1953</v>
      </c>
      <c r="B945" t="str">
        <f>"AGTRAP"</f>
        <v>AGTRAP</v>
      </c>
      <c r="C945" t="str">
        <f>""</f>
        <v/>
      </c>
      <c r="D945">
        <v>17.419</v>
      </c>
      <c r="E945">
        <v>10.7</v>
      </c>
      <c r="F945">
        <v>0</v>
      </c>
      <c r="G945">
        <v>0</v>
      </c>
      <c r="H945">
        <v>1</v>
      </c>
      <c r="I945" s="7">
        <v>0</v>
      </c>
      <c r="J945" s="6">
        <v>0</v>
      </c>
      <c r="K945" s="6">
        <v>0.60348020787262302</v>
      </c>
      <c r="L945">
        <v>10000</v>
      </c>
      <c r="M945">
        <v>0.35722728547296601</v>
      </c>
    </row>
    <row r="946" spans="1:13" x14ac:dyDescent="0.25">
      <c r="A946">
        <v>1965</v>
      </c>
      <c r="B946" t="str">
        <f>"DPP8"</f>
        <v>DPP8</v>
      </c>
      <c r="C946" t="str">
        <f>""</f>
        <v/>
      </c>
      <c r="D946">
        <v>83.397000000000006</v>
      </c>
      <c r="E946">
        <v>1.5</v>
      </c>
      <c r="F946">
        <v>0</v>
      </c>
      <c r="G946">
        <v>0</v>
      </c>
      <c r="H946">
        <v>1</v>
      </c>
      <c r="I946" s="7">
        <v>0</v>
      </c>
      <c r="J946" s="6">
        <v>0</v>
      </c>
      <c r="K946" s="6">
        <v>0.60348020787262302</v>
      </c>
      <c r="L946">
        <v>10000</v>
      </c>
      <c r="M946">
        <v>0.35722728547296601</v>
      </c>
    </row>
    <row r="947" spans="1:13" x14ac:dyDescent="0.25">
      <c r="A947">
        <v>1967</v>
      </c>
      <c r="B947" t="str">
        <f>"BCOR"</f>
        <v>BCOR</v>
      </c>
      <c r="C947" t="str">
        <f>""</f>
        <v/>
      </c>
      <c r="D947">
        <v>186.23</v>
      </c>
      <c r="E947">
        <v>1.1000000000000001</v>
      </c>
      <c r="F947">
        <v>0</v>
      </c>
      <c r="G947">
        <v>0</v>
      </c>
      <c r="H947">
        <v>1</v>
      </c>
      <c r="I947" s="7">
        <v>0</v>
      </c>
      <c r="J947" s="6">
        <v>0</v>
      </c>
      <c r="K947" s="6">
        <v>0.60348020787262302</v>
      </c>
      <c r="L947">
        <v>10000</v>
      </c>
      <c r="M947">
        <v>0.35722728547296601</v>
      </c>
    </row>
    <row r="948" spans="1:13" x14ac:dyDescent="0.25">
      <c r="A948">
        <v>1983</v>
      </c>
      <c r="B948" t="str">
        <f>"PDXP;SH3BP1"</f>
        <v>PDXP;SH3BP1</v>
      </c>
      <c r="C948" t="str">
        <f>""</f>
        <v/>
      </c>
      <c r="D948">
        <v>66.180000000000007</v>
      </c>
      <c r="E948">
        <v>3.3</v>
      </c>
      <c r="F948">
        <v>0</v>
      </c>
      <c r="G948">
        <v>0</v>
      </c>
      <c r="H948">
        <v>1</v>
      </c>
      <c r="I948" s="7">
        <v>0</v>
      </c>
      <c r="J948" s="6">
        <v>0</v>
      </c>
      <c r="K948" s="6">
        <v>0.60348020787262302</v>
      </c>
      <c r="L948">
        <v>10000</v>
      </c>
      <c r="M948">
        <v>0.35722728547296601</v>
      </c>
    </row>
    <row r="949" spans="1:13" x14ac:dyDescent="0.25">
      <c r="A949">
        <v>2024</v>
      </c>
      <c r="B949" t="str">
        <f>"HDDC2"</f>
        <v>HDDC2</v>
      </c>
      <c r="C949" t="str">
        <f>""</f>
        <v/>
      </c>
      <c r="D949">
        <v>19.55</v>
      </c>
      <c r="E949">
        <v>17.100000000000001</v>
      </c>
      <c r="F949">
        <v>0</v>
      </c>
      <c r="G949">
        <v>0</v>
      </c>
      <c r="H949">
        <v>1</v>
      </c>
      <c r="I949" s="7">
        <v>0</v>
      </c>
      <c r="J949" s="6">
        <v>0</v>
      </c>
      <c r="K949" s="6">
        <v>0.60348020787262302</v>
      </c>
      <c r="L949">
        <v>10000</v>
      </c>
      <c r="M949">
        <v>0.35722728547296601</v>
      </c>
    </row>
    <row r="950" spans="1:13" x14ac:dyDescent="0.25">
      <c r="A950">
        <v>2122</v>
      </c>
      <c r="B950" t="str">
        <f>"SPG20"</f>
        <v>SPG20</v>
      </c>
      <c r="C950" t="str">
        <f>""</f>
        <v/>
      </c>
      <c r="D950">
        <v>72.831999999999994</v>
      </c>
      <c r="E950">
        <v>5.7</v>
      </c>
      <c r="F950">
        <v>0</v>
      </c>
      <c r="G950">
        <v>0</v>
      </c>
      <c r="H950">
        <v>1</v>
      </c>
      <c r="I950" s="7">
        <v>0</v>
      </c>
      <c r="J950" s="6">
        <v>0</v>
      </c>
      <c r="K950" s="6">
        <v>0.60348020787262302</v>
      </c>
      <c r="L950">
        <v>10000</v>
      </c>
      <c r="M950">
        <v>0.35722728547296601</v>
      </c>
    </row>
    <row r="951" spans="1:13" x14ac:dyDescent="0.25">
      <c r="A951">
        <v>2141</v>
      </c>
      <c r="B951" t="str">
        <f>"VPS8"</f>
        <v>VPS8</v>
      </c>
      <c r="C951" t="str">
        <f>""</f>
        <v/>
      </c>
      <c r="D951">
        <v>151.21</v>
      </c>
      <c r="E951">
        <v>1.4</v>
      </c>
      <c r="F951">
        <v>0</v>
      </c>
      <c r="G951">
        <v>0</v>
      </c>
      <c r="H951">
        <v>1</v>
      </c>
      <c r="I951" s="7">
        <v>0</v>
      </c>
      <c r="J951" s="6">
        <v>0</v>
      </c>
      <c r="K951" s="6">
        <v>0.60348020787262302</v>
      </c>
      <c r="L951">
        <v>10000</v>
      </c>
      <c r="M951">
        <v>0.35722728547296601</v>
      </c>
    </row>
    <row r="952" spans="1:13" x14ac:dyDescent="0.25">
      <c r="A952">
        <v>2182</v>
      </c>
      <c r="B952" t="str">
        <f>"EHBP1"</f>
        <v>EHBP1</v>
      </c>
      <c r="C952" t="str">
        <f>""</f>
        <v/>
      </c>
      <c r="D952">
        <v>132.32</v>
      </c>
      <c r="E952">
        <v>1.2</v>
      </c>
      <c r="F952">
        <v>0</v>
      </c>
      <c r="G952">
        <v>0</v>
      </c>
      <c r="H952">
        <v>1</v>
      </c>
      <c r="I952" s="7">
        <v>0</v>
      </c>
      <c r="J952" s="6">
        <v>0</v>
      </c>
      <c r="K952" s="6">
        <v>0.60348020787262302</v>
      </c>
      <c r="L952">
        <v>10000</v>
      </c>
      <c r="M952">
        <v>0.35722728547296601</v>
      </c>
    </row>
    <row r="953" spans="1:13" x14ac:dyDescent="0.25">
      <c r="A953">
        <v>2241</v>
      </c>
      <c r="B953" t="str">
        <f>"NUDCD2"</f>
        <v>NUDCD2</v>
      </c>
      <c r="C953" t="str">
        <f>""</f>
        <v/>
      </c>
      <c r="D953">
        <v>17.675999999999998</v>
      </c>
      <c r="E953">
        <v>13.4</v>
      </c>
      <c r="F953">
        <v>0</v>
      </c>
      <c r="G953">
        <v>0</v>
      </c>
      <c r="H953">
        <v>1</v>
      </c>
      <c r="I953" s="7">
        <v>0</v>
      </c>
      <c r="J953" s="6">
        <v>0</v>
      </c>
      <c r="K953" s="6">
        <v>0.60348020787262302</v>
      </c>
      <c r="L953">
        <v>10000</v>
      </c>
      <c r="M953">
        <v>0.35722728547296601</v>
      </c>
    </row>
    <row r="954" spans="1:13" x14ac:dyDescent="0.25">
      <c r="A954">
        <v>2244</v>
      </c>
      <c r="B954" t="str">
        <f>"HNRNPLL"</f>
        <v>HNRNPLL</v>
      </c>
      <c r="C954" t="str">
        <f>""</f>
        <v/>
      </c>
      <c r="D954">
        <v>56.466000000000001</v>
      </c>
      <c r="E954">
        <v>3.5</v>
      </c>
      <c r="F954">
        <v>0</v>
      </c>
      <c r="G954">
        <v>0</v>
      </c>
      <c r="H954">
        <v>1</v>
      </c>
      <c r="I954" s="7">
        <v>0</v>
      </c>
      <c r="J954" s="6">
        <v>0</v>
      </c>
      <c r="K954" s="6">
        <v>0.60348020787262302</v>
      </c>
      <c r="L954">
        <v>10000</v>
      </c>
      <c r="M954">
        <v>0.35722728547296601</v>
      </c>
    </row>
    <row r="955" spans="1:13" x14ac:dyDescent="0.25">
      <c r="A955">
        <v>2246</v>
      </c>
      <c r="B955" t="str">
        <f>"FAR1"</f>
        <v>FAR1</v>
      </c>
      <c r="C955" t="str">
        <f>""</f>
        <v/>
      </c>
      <c r="D955">
        <v>59.356000000000002</v>
      </c>
      <c r="E955">
        <v>5.8</v>
      </c>
      <c r="F955">
        <v>0</v>
      </c>
      <c r="G955">
        <v>0</v>
      </c>
      <c r="H955">
        <v>1</v>
      </c>
      <c r="I955" s="7">
        <v>0</v>
      </c>
      <c r="J955" s="6">
        <v>0</v>
      </c>
      <c r="K955" s="6">
        <v>0.60348020787262302</v>
      </c>
      <c r="L955">
        <v>10000</v>
      </c>
      <c r="M955">
        <v>0.35722728547296601</v>
      </c>
    </row>
    <row r="956" spans="1:13" x14ac:dyDescent="0.25">
      <c r="A956">
        <v>2252</v>
      </c>
      <c r="B956" t="str">
        <f>"NELFB"</f>
        <v>NELFB</v>
      </c>
      <c r="C956" t="str">
        <f>""</f>
        <v/>
      </c>
      <c r="D956">
        <v>65.697000000000003</v>
      </c>
      <c r="E956">
        <v>7.4</v>
      </c>
      <c r="F956">
        <v>0</v>
      </c>
      <c r="G956">
        <v>0</v>
      </c>
      <c r="H956">
        <v>1</v>
      </c>
      <c r="I956" s="7">
        <v>0</v>
      </c>
      <c r="J956" s="6">
        <v>0</v>
      </c>
      <c r="K956" s="6">
        <v>0.60348020787262302</v>
      </c>
      <c r="L956">
        <v>10000</v>
      </c>
      <c r="M956">
        <v>0.35722728547296601</v>
      </c>
    </row>
    <row r="957" spans="1:13" x14ac:dyDescent="0.25">
      <c r="A957">
        <v>2311</v>
      </c>
      <c r="B957" t="str">
        <f>"GLMN"</f>
        <v>GLMN</v>
      </c>
      <c r="C957" t="str">
        <f>""</f>
        <v/>
      </c>
      <c r="D957">
        <v>48.165999999999997</v>
      </c>
      <c r="E957">
        <v>2.6</v>
      </c>
      <c r="F957">
        <v>0</v>
      </c>
      <c r="G957">
        <v>0</v>
      </c>
      <c r="H957">
        <v>1</v>
      </c>
      <c r="I957" s="7">
        <v>0</v>
      </c>
      <c r="J957" s="6">
        <v>0</v>
      </c>
      <c r="K957" s="6">
        <v>0.60348020787262302</v>
      </c>
      <c r="L957">
        <v>10000</v>
      </c>
      <c r="M957">
        <v>0.35722728547296601</v>
      </c>
    </row>
    <row r="958" spans="1:13" x14ac:dyDescent="0.25">
      <c r="A958">
        <v>2325</v>
      </c>
      <c r="B958" t="str">
        <f>"TBRG4"</f>
        <v>TBRG4</v>
      </c>
      <c r="C958" t="str">
        <f>""</f>
        <v/>
      </c>
      <c r="D958">
        <v>70.736999999999995</v>
      </c>
      <c r="E958">
        <v>3.3</v>
      </c>
      <c r="F958">
        <v>0</v>
      </c>
      <c r="G958">
        <v>0</v>
      </c>
      <c r="H958">
        <v>1</v>
      </c>
      <c r="I958" s="7">
        <v>0</v>
      </c>
      <c r="J958" s="6">
        <v>0</v>
      </c>
      <c r="K958" s="6">
        <v>0.60348020787262302</v>
      </c>
      <c r="L958">
        <v>10000</v>
      </c>
      <c r="M958">
        <v>0.35722728547296601</v>
      </c>
    </row>
    <row r="959" spans="1:13" x14ac:dyDescent="0.25">
      <c r="A959">
        <v>2342</v>
      </c>
      <c r="B959" t="str">
        <f>"APH1A"</f>
        <v>APH1A</v>
      </c>
      <c r="C959" t="str">
        <f>""</f>
        <v/>
      </c>
      <c r="D959">
        <v>26.838999999999999</v>
      </c>
      <c r="E959">
        <v>5.3</v>
      </c>
      <c r="F959">
        <v>0</v>
      </c>
      <c r="G959">
        <v>0</v>
      </c>
      <c r="H959">
        <v>1</v>
      </c>
      <c r="I959" s="7">
        <v>0</v>
      </c>
      <c r="J959" s="6">
        <v>0</v>
      </c>
      <c r="K959" s="6">
        <v>0.60348020787262302</v>
      </c>
      <c r="L959">
        <v>10000</v>
      </c>
      <c r="M959">
        <v>0.35722728547296601</v>
      </c>
    </row>
    <row r="960" spans="1:13" x14ac:dyDescent="0.25">
      <c r="A960">
        <v>2344</v>
      </c>
      <c r="B960" t="str">
        <f>"TADA1"</f>
        <v>TADA1</v>
      </c>
      <c r="C960" t="str">
        <f>""</f>
        <v/>
      </c>
      <c r="D960">
        <v>37.381</v>
      </c>
      <c r="E960">
        <v>4.2</v>
      </c>
      <c r="F960">
        <v>0</v>
      </c>
      <c r="G960">
        <v>0</v>
      </c>
      <c r="H960">
        <v>1</v>
      </c>
      <c r="I960" s="7">
        <v>0</v>
      </c>
      <c r="J960" s="6">
        <v>0</v>
      </c>
      <c r="K960" s="6">
        <v>0.60348020787262302</v>
      </c>
      <c r="L960">
        <v>10000</v>
      </c>
      <c r="M960">
        <v>0.35722728547296601</v>
      </c>
    </row>
    <row r="961" spans="1:13" x14ac:dyDescent="0.25">
      <c r="A961">
        <v>2378</v>
      </c>
      <c r="B961" t="str">
        <f>"MVB12A"</f>
        <v>MVB12A</v>
      </c>
      <c r="C961" t="str">
        <f>""</f>
        <v/>
      </c>
      <c r="D961">
        <v>27.05</v>
      </c>
      <c r="E961">
        <v>5.8</v>
      </c>
      <c r="F961">
        <v>0</v>
      </c>
      <c r="G961">
        <v>0</v>
      </c>
      <c r="H961">
        <v>1</v>
      </c>
      <c r="I961" s="7">
        <v>0</v>
      </c>
      <c r="J961" s="6">
        <v>0</v>
      </c>
      <c r="K961" s="6">
        <v>0.60348020787262302</v>
      </c>
      <c r="L961">
        <v>10000</v>
      </c>
      <c r="M961">
        <v>0.35722728547296601</v>
      </c>
    </row>
    <row r="962" spans="1:13" x14ac:dyDescent="0.25">
      <c r="A962">
        <v>2643</v>
      </c>
      <c r="B962" t="str">
        <f>"ARL6"</f>
        <v>ARL6</v>
      </c>
      <c r="C962" t="str">
        <f>""</f>
        <v/>
      </c>
      <c r="D962">
        <v>21.097000000000001</v>
      </c>
      <c r="E962">
        <v>5.9</v>
      </c>
      <c r="F962">
        <v>0</v>
      </c>
      <c r="G962">
        <v>0</v>
      </c>
      <c r="H962">
        <v>1</v>
      </c>
      <c r="I962" s="7">
        <v>0</v>
      </c>
      <c r="J962" s="6">
        <v>0</v>
      </c>
      <c r="K962" s="6">
        <v>0.60348020787262302</v>
      </c>
      <c r="L962">
        <v>10000</v>
      </c>
      <c r="M962">
        <v>0.35722728547296601</v>
      </c>
    </row>
    <row r="963" spans="1:13" x14ac:dyDescent="0.25">
      <c r="A963">
        <v>2648</v>
      </c>
      <c r="B963" t="str">
        <f>"MRPL18"</f>
        <v>MRPL18</v>
      </c>
      <c r="C963" t="str">
        <f>""</f>
        <v/>
      </c>
      <c r="D963">
        <v>20.576000000000001</v>
      </c>
      <c r="E963">
        <v>7.2</v>
      </c>
      <c r="F963">
        <v>0</v>
      </c>
      <c r="G963">
        <v>0</v>
      </c>
      <c r="H963">
        <v>1</v>
      </c>
      <c r="I963" s="7">
        <v>0</v>
      </c>
      <c r="J963" s="6">
        <v>0</v>
      </c>
      <c r="K963" s="6">
        <v>0.60348020787262302</v>
      </c>
      <c r="L963">
        <v>10000</v>
      </c>
      <c r="M963">
        <v>0.35722728547296601</v>
      </c>
    </row>
    <row r="964" spans="1:13" x14ac:dyDescent="0.25">
      <c r="A964">
        <v>2691</v>
      </c>
      <c r="B964" t="str">
        <f>"BCAS3"</f>
        <v>BCAS3</v>
      </c>
      <c r="C964" t="str">
        <f>""</f>
        <v/>
      </c>
      <c r="D964">
        <v>74.239000000000004</v>
      </c>
      <c r="E964">
        <v>3.7</v>
      </c>
      <c r="F964">
        <v>0</v>
      </c>
      <c r="G964">
        <v>0</v>
      </c>
      <c r="H964">
        <v>1</v>
      </c>
      <c r="I964" s="7">
        <v>0</v>
      </c>
      <c r="J964" s="6">
        <v>0</v>
      </c>
      <c r="K964" s="6">
        <v>0.60348020787262302</v>
      </c>
      <c r="L964">
        <v>10000</v>
      </c>
      <c r="M964">
        <v>0.35722728547296601</v>
      </c>
    </row>
    <row r="965" spans="1:13" x14ac:dyDescent="0.25">
      <c r="A965">
        <v>2724</v>
      </c>
      <c r="B965" t="str">
        <f>"WDR41"</f>
        <v>WDR41</v>
      </c>
      <c r="C965" t="str">
        <f>""</f>
        <v/>
      </c>
      <c r="D965">
        <v>45.505000000000003</v>
      </c>
      <c r="E965">
        <v>9.4</v>
      </c>
      <c r="F965">
        <v>0</v>
      </c>
      <c r="G965">
        <v>0</v>
      </c>
      <c r="H965">
        <v>1</v>
      </c>
      <c r="I965" s="7">
        <v>0</v>
      </c>
      <c r="J965" s="6">
        <v>0</v>
      </c>
      <c r="K965" s="6">
        <v>0.60348020787262302</v>
      </c>
      <c r="L965">
        <v>10000</v>
      </c>
      <c r="M965">
        <v>0.35722728547296601</v>
      </c>
    </row>
    <row r="966" spans="1:13" x14ac:dyDescent="0.25">
      <c r="A966">
        <v>2747</v>
      </c>
      <c r="B966" t="str">
        <f>"MYO10"</f>
        <v>MYO10</v>
      </c>
      <c r="C966" t="str">
        <f>""</f>
        <v/>
      </c>
      <c r="D966">
        <v>163.55000000000001</v>
      </c>
      <c r="E966">
        <v>0.8</v>
      </c>
      <c r="F966">
        <v>0</v>
      </c>
      <c r="G966">
        <v>0</v>
      </c>
      <c r="H966">
        <v>1</v>
      </c>
      <c r="I966" s="7">
        <v>0</v>
      </c>
      <c r="J966" s="6">
        <v>0</v>
      </c>
      <c r="K966" s="6">
        <v>0.60348020787262302</v>
      </c>
      <c r="L966">
        <v>10000</v>
      </c>
      <c r="M966">
        <v>0.35722728547296601</v>
      </c>
    </row>
    <row r="967" spans="1:13" x14ac:dyDescent="0.25">
      <c r="A967">
        <v>2857</v>
      </c>
      <c r="B967" t="str">
        <f>"TMOD3"</f>
        <v>TMOD3</v>
      </c>
      <c r="C967" t="str">
        <f>""</f>
        <v/>
      </c>
      <c r="D967">
        <v>39.594000000000001</v>
      </c>
      <c r="E967">
        <v>2.6</v>
      </c>
      <c r="F967">
        <v>0</v>
      </c>
      <c r="G967">
        <v>0</v>
      </c>
      <c r="H967">
        <v>1</v>
      </c>
      <c r="I967" s="7">
        <v>0</v>
      </c>
      <c r="J967" s="6">
        <v>0</v>
      </c>
      <c r="K967" s="6">
        <v>0.60348020787262302</v>
      </c>
      <c r="L967">
        <v>10000</v>
      </c>
      <c r="M967">
        <v>0.35722728547296601</v>
      </c>
    </row>
    <row r="968" spans="1:13" x14ac:dyDescent="0.25">
      <c r="A968">
        <v>2885</v>
      </c>
      <c r="B968" t="str">
        <f>"PDP1"</f>
        <v>PDP1</v>
      </c>
      <c r="C968" t="str">
        <f>""</f>
        <v/>
      </c>
      <c r="D968">
        <v>61.052999999999997</v>
      </c>
      <c r="E968">
        <v>1.9</v>
      </c>
      <c r="F968">
        <v>0</v>
      </c>
      <c r="G968">
        <v>0</v>
      </c>
      <c r="H968">
        <v>1</v>
      </c>
      <c r="I968" s="7">
        <v>0</v>
      </c>
      <c r="J968" s="6">
        <v>0</v>
      </c>
      <c r="K968" s="6">
        <v>0.60348020787262302</v>
      </c>
      <c r="L968">
        <v>10000</v>
      </c>
      <c r="M968">
        <v>0.35722728547296601</v>
      </c>
    </row>
    <row r="969" spans="1:13" x14ac:dyDescent="0.25">
      <c r="A969">
        <v>2900</v>
      </c>
      <c r="B969" t="str">
        <f>"HEATR5B"</f>
        <v>HEATR5B</v>
      </c>
      <c r="C969" t="str">
        <f>""</f>
        <v/>
      </c>
      <c r="D969">
        <v>214.99</v>
      </c>
      <c r="E969">
        <v>1.3</v>
      </c>
      <c r="F969">
        <v>0</v>
      </c>
      <c r="G969">
        <v>0</v>
      </c>
      <c r="H969">
        <v>1</v>
      </c>
      <c r="I969" s="7">
        <v>0</v>
      </c>
      <c r="J969" s="6">
        <v>0</v>
      </c>
      <c r="K969" s="6">
        <v>0.60348020787262302</v>
      </c>
      <c r="L969">
        <v>10000</v>
      </c>
      <c r="M969">
        <v>0.35722728547296601</v>
      </c>
    </row>
    <row r="970" spans="1:13" x14ac:dyDescent="0.25">
      <c r="A970">
        <v>2902</v>
      </c>
      <c r="B970" t="str">
        <f>"KLHL8"</f>
        <v>KLHL8</v>
      </c>
      <c r="C970" t="str">
        <f>""</f>
        <v/>
      </c>
      <c r="D970">
        <v>60.28</v>
      </c>
      <c r="E970">
        <v>2</v>
      </c>
      <c r="F970">
        <v>0</v>
      </c>
      <c r="G970">
        <v>0</v>
      </c>
      <c r="H970">
        <v>1</v>
      </c>
      <c r="I970" s="7">
        <v>0</v>
      </c>
      <c r="J970" s="6">
        <v>0</v>
      </c>
      <c r="K970" s="6">
        <v>0.60348020787262302</v>
      </c>
      <c r="L970">
        <v>10000</v>
      </c>
      <c r="M970">
        <v>0.35722728547296601</v>
      </c>
    </row>
    <row r="971" spans="1:13" x14ac:dyDescent="0.25">
      <c r="A971">
        <v>2981</v>
      </c>
      <c r="B971" t="str">
        <f>"ACAD8"</f>
        <v>ACAD8</v>
      </c>
      <c r="C971" t="str">
        <f>""</f>
        <v/>
      </c>
      <c r="D971">
        <v>31.023</v>
      </c>
      <c r="E971">
        <v>3.1</v>
      </c>
      <c r="F971">
        <v>0</v>
      </c>
      <c r="G971">
        <v>0</v>
      </c>
      <c r="H971">
        <v>1</v>
      </c>
      <c r="I971" s="7">
        <v>0</v>
      </c>
      <c r="J971" s="6">
        <v>0</v>
      </c>
      <c r="K971" s="6">
        <v>0.60348020787262302</v>
      </c>
      <c r="L971">
        <v>10000</v>
      </c>
      <c r="M971">
        <v>0.35722728547296601</v>
      </c>
    </row>
    <row r="972" spans="1:13" x14ac:dyDescent="0.25">
      <c r="A972">
        <v>2992</v>
      </c>
      <c r="B972" t="str">
        <f>"MCTS1"</f>
        <v>MCTS1</v>
      </c>
      <c r="C972" t="str">
        <f>""</f>
        <v/>
      </c>
      <c r="D972">
        <v>19.228000000000002</v>
      </c>
      <c r="E972">
        <v>10.1</v>
      </c>
      <c r="F972">
        <v>0</v>
      </c>
      <c r="G972">
        <v>0</v>
      </c>
      <c r="H972">
        <v>1</v>
      </c>
      <c r="I972" s="7">
        <v>0</v>
      </c>
      <c r="J972" s="6">
        <v>0</v>
      </c>
      <c r="K972" s="6">
        <v>0.60348020787262302</v>
      </c>
      <c r="L972">
        <v>10000</v>
      </c>
      <c r="M972">
        <v>0.35722728547296601</v>
      </c>
    </row>
    <row r="973" spans="1:13" x14ac:dyDescent="0.25">
      <c r="A973">
        <v>2993</v>
      </c>
      <c r="B973" t="str">
        <f>"FAM184B"</f>
        <v>FAM184B</v>
      </c>
      <c r="C973" t="str">
        <f>""</f>
        <v/>
      </c>
      <c r="D973">
        <v>121.04</v>
      </c>
      <c r="E973">
        <v>0.9</v>
      </c>
      <c r="F973">
        <v>0</v>
      </c>
      <c r="G973">
        <v>0</v>
      </c>
      <c r="H973">
        <v>1</v>
      </c>
      <c r="I973" s="7">
        <v>0</v>
      </c>
      <c r="J973" s="6">
        <v>0</v>
      </c>
      <c r="K973" s="6">
        <v>0.60348020787262302</v>
      </c>
      <c r="L973">
        <v>10000</v>
      </c>
      <c r="M973">
        <v>0.35722728547296601</v>
      </c>
    </row>
    <row r="974" spans="1:13" x14ac:dyDescent="0.25">
      <c r="A974">
        <v>3001</v>
      </c>
      <c r="B974" t="str">
        <f>"NFU1"</f>
        <v>NFU1</v>
      </c>
      <c r="C974" t="str">
        <f>""</f>
        <v/>
      </c>
      <c r="D974">
        <v>25.922999999999998</v>
      </c>
      <c r="E974">
        <v>5.2</v>
      </c>
      <c r="F974">
        <v>0</v>
      </c>
      <c r="G974">
        <v>0</v>
      </c>
      <c r="H974">
        <v>1</v>
      </c>
      <c r="I974" s="7">
        <v>0</v>
      </c>
      <c r="J974" s="6">
        <v>0</v>
      </c>
      <c r="K974" s="6">
        <v>0.60348020787262302</v>
      </c>
      <c r="L974">
        <v>10000</v>
      </c>
      <c r="M974">
        <v>0.35722728547296601</v>
      </c>
    </row>
    <row r="975" spans="1:13" x14ac:dyDescent="0.25">
      <c r="A975">
        <v>3038</v>
      </c>
      <c r="B975" t="str">
        <f>"NIP7"</f>
        <v>NIP7</v>
      </c>
      <c r="C975" t="str">
        <f>""</f>
        <v/>
      </c>
      <c r="D975">
        <v>15.221</v>
      </c>
      <c r="E975">
        <v>10.5</v>
      </c>
      <c r="F975">
        <v>0</v>
      </c>
      <c r="G975">
        <v>0</v>
      </c>
      <c r="H975">
        <v>1</v>
      </c>
      <c r="I975" s="7">
        <v>0</v>
      </c>
      <c r="J975" s="6">
        <v>0</v>
      </c>
      <c r="K975" s="6">
        <v>0.60348020787262302</v>
      </c>
      <c r="L975">
        <v>10000</v>
      </c>
      <c r="M975">
        <v>0.35722728547296601</v>
      </c>
    </row>
    <row r="976" spans="1:13" x14ac:dyDescent="0.25">
      <c r="A976">
        <v>3053</v>
      </c>
      <c r="B976" t="str">
        <f>"NISCH"</f>
        <v>NISCH</v>
      </c>
      <c r="C976" t="str">
        <f>""</f>
        <v/>
      </c>
      <c r="D976">
        <v>166.63</v>
      </c>
      <c r="E976">
        <v>1.5</v>
      </c>
      <c r="F976">
        <v>0</v>
      </c>
      <c r="G976">
        <v>0</v>
      </c>
      <c r="H976">
        <v>1</v>
      </c>
      <c r="I976" s="7">
        <v>0</v>
      </c>
      <c r="J976" s="6">
        <v>0</v>
      </c>
      <c r="K976" s="6">
        <v>0.60348020787262302</v>
      </c>
      <c r="L976">
        <v>10000</v>
      </c>
      <c r="M976">
        <v>0.35722728547296601</v>
      </c>
    </row>
    <row r="977" spans="1:13" x14ac:dyDescent="0.25">
      <c r="A977">
        <v>3073</v>
      </c>
      <c r="B977" t="str">
        <f>"ZNF281"</f>
        <v>ZNF281</v>
      </c>
      <c r="C977" t="str">
        <f>""</f>
        <v/>
      </c>
      <c r="D977">
        <v>93.230999999999995</v>
      </c>
      <c r="E977">
        <v>3.4</v>
      </c>
      <c r="F977">
        <v>0</v>
      </c>
      <c r="G977">
        <v>0</v>
      </c>
      <c r="H977">
        <v>1</v>
      </c>
      <c r="I977" s="7">
        <v>0</v>
      </c>
      <c r="J977" s="6">
        <v>0</v>
      </c>
      <c r="K977" s="6">
        <v>0.60348020787262302</v>
      </c>
      <c r="L977">
        <v>10000</v>
      </c>
      <c r="M977">
        <v>0.35722728547296601</v>
      </c>
    </row>
    <row r="978" spans="1:13" x14ac:dyDescent="0.25">
      <c r="A978">
        <v>3074</v>
      </c>
      <c r="B978" t="str">
        <f>"ARL2BP"</f>
        <v>ARL2BP</v>
      </c>
      <c r="C978" t="str">
        <f>""</f>
        <v/>
      </c>
      <c r="D978">
        <v>17.710999999999999</v>
      </c>
      <c r="E978">
        <v>9.9</v>
      </c>
      <c r="F978">
        <v>0</v>
      </c>
      <c r="G978">
        <v>0</v>
      </c>
      <c r="H978">
        <v>1</v>
      </c>
      <c r="I978" s="7">
        <v>0</v>
      </c>
      <c r="J978" s="6">
        <v>0</v>
      </c>
      <c r="K978" s="6">
        <v>0.60348020787262302</v>
      </c>
      <c r="L978">
        <v>10000</v>
      </c>
      <c r="M978">
        <v>0.35722728547296601</v>
      </c>
    </row>
    <row r="979" spans="1:13" x14ac:dyDescent="0.25">
      <c r="A979">
        <v>3087</v>
      </c>
      <c r="B979" t="str">
        <f>"SBDS"</f>
        <v>SBDS</v>
      </c>
      <c r="C979" t="str">
        <f>""</f>
        <v/>
      </c>
      <c r="D979">
        <v>28.763000000000002</v>
      </c>
      <c r="E979">
        <v>6.4</v>
      </c>
      <c r="F979">
        <v>0</v>
      </c>
      <c r="G979">
        <v>0</v>
      </c>
      <c r="H979">
        <v>1</v>
      </c>
      <c r="I979" s="7">
        <v>0</v>
      </c>
      <c r="J979" s="6">
        <v>0</v>
      </c>
      <c r="K979" s="6">
        <v>0.60348020787262302</v>
      </c>
      <c r="L979">
        <v>10000</v>
      </c>
      <c r="M979">
        <v>0.35722728547296601</v>
      </c>
    </row>
    <row r="980" spans="1:13" x14ac:dyDescent="0.25">
      <c r="A980">
        <v>3102</v>
      </c>
      <c r="B980" t="str">
        <f>"RPL36"</f>
        <v>RPL36</v>
      </c>
      <c r="C980" t="str">
        <f>""</f>
        <v/>
      </c>
      <c r="D980">
        <v>12.254</v>
      </c>
      <c r="E980">
        <v>11.4</v>
      </c>
      <c r="F980">
        <v>0</v>
      </c>
      <c r="G980">
        <v>0</v>
      </c>
      <c r="H980">
        <v>1</v>
      </c>
      <c r="I980" s="7">
        <v>0</v>
      </c>
      <c r="J980" s="6">
        <v>0</v>
      </c>
      <c r="K980" s="6">
        <v>0.60348020787262302</v>
      </c>
      <c r="L980">
        <v>10000</v>
      </c>
      <c r="M980">
        <v>0.35722728547296601</v>
      </c>
    </row>
    <row r="981" spans="1:13" x14ac:dyDescent="0.25">
      <c r="A981">
        <v>3156</v>
      </c>
      <c r="B981" t="str">
        <f>"NCOA3"</f>
        <v>NCOA3</v>
      </c>
      <c r="C981" t="str">
        <f>""</f>
        <v/>
      </c>
      <c r="D981">
        <v>153.80000000000001</v>
      </c>
      <c r="E981">
        <v>2.1</v>
      </c>
      <c r="F981">
        <v>0</v>
      </c>
      <c r="G981">
        <v>0</v>
      </c>
      <c r="H981">
        <v>1</v>
      </c>
      <c r="I981" s="7">
        <v>0</v>
      </c>
      <c r="J981" s="6">
        <v>0</v>
      </c>
      <c r="K981" s="6">
        <v>0.60348020787262302</v>
      </c>
      <c r="L981">
        <v>10000</v>
      </c>
      <c r="M981">
        <v>0.35722728547296601</v>
      </c>
    </row>
    <row r="982" spans="1:13" x14ac:dyDescent="0.25">
      <c r="A982">
        <v>1939</v>
      </c>
      <c r="B982" t="str">
        <f>"CASC4"</f>
        <v>CASC4</v>
      </c>
      <c r="C982" t="str">
        <f>""</f>
        <v/>
      </c>
      <c r="D982">
        <v>43.332000000000001</v>
      </c>
      <c r="E982">
        <v>15.3</v>
      </c>
      <c r="F982">
        <v>0</v>
      </c>
      <c r="G982">
        <v>1</v>
      </c>
      <c r="H982">
        <v>0</v>
      </c>
      <c r="I982" s="7">
        <v>0</v>
      </c>
      <c r="J982" s="6">
        <v>0.58121239550609605</v>
      </c>
      <c r="K982" s="6">
        <v>0</v>
      </c>
      <c r="L982">
        <v>10000</v>
      </c>
      <c r="M982">
        <v>0.35722728652956998</v>
      </c>
    </row>
    <row r="983" spans="1:13" x14ac:dyDescent="0.25">
      <c r="A983">
        <v>526</v>
      </c>
      <c r="B983" t="str">
        <f>"ARG1"</f>
        <v>ARG1</v>
      </c>
      <c r="C983" t="str">
        <f>""</f>
        <v/>
      </c>
      <c r="D983">
        <v>25.356000000000002</v>
      </c>
      <c r="E983">
        <v>8.1</v>
      </c>
      <c r="F983">
        <v>0</v>
      </c>
      <c r="G983">
        <v>1</v>
      </c>
      <c r="H983">
        <v>0</v>
      </c>
      <c r="I983" s="7">
        <v>0</v>
      </c>
      <c r="J983" s="6">
        <v>0.58121239550609605</v>
      </c>
      <c r="K983" s="6">
        <v>0</v>
      </c>
      <c r="L983">
        <v>10000</v>
      </c>
      <c r="M983">
        <v>0.35722728652956998</v>
      </c>
    </row>
    <row r="984" spans="1:13" x14ac:dyDescent="0.25">
      <c r="A984">
        <v>2443</v>
      </c>
      <c r="B984" t="str">
        <f>"GSDMA"</f>
        <v>GSDMA</v>
      </c>
      <c r="C984" t="str">
        <f>""</f>
        <v/>
      </c>
      <c r="D984">
        <v>49.363999999999997</v>
      </c>
      <c r="E984">
        <v>2</v>
      </c>
      <c r="F984">
        <v>0</v>
      </c>
      <c r="G984">
        <v>1</v>
      </c>
      <c r="H984">
        <v>0</v>
      </c>
      <c r="I984" s="7">
        <v>0</v>
      </c>
      <c r="J984" s="6">
        <v>0.58121239550609605</v>
      </c>
      <c r="K984" s="6">
        <v>0</v>
      </c>
      <c r="L984">
        <v>10000</v>
      </c>
      <c r="M984">
        <v>0.35722728652956998</v>
      </c>
    </row>
    <row r="985" spans="1:13" x14ac:dyDescent="0.25">
      <c r="A985">
        <v>1023</v>
      </c>
      <c r="B985" t="str">
        <f>"RPS27"</f>
        <v>RPS27</v>
      </c>
      <c r="C985" t="str">
        <f>""</f>
        <v/>
      </c>
      <c r="D985">
        <v>9.4610000000000003</v>
      </c>
      <c r="E985">
        <v>23.8</v>
      </c>
      <c r="F985">
        <v>0</v>
      </c>
      <c r="G985">
        <v>1</v>
      </c>
      <c r="H985">
        <v>0</v>
      </c>
      <c r="I985" s="7">
        <v>0</v>
      </c>
      <c r="J985" s="6">
        <v>0.58121239550609605</v>
      </c>
      <c r="K985" s="6">
        <v>0</v>
      </c>
      <c r="L985">
        <v>10000</v>
      </c>
      <c r="M985">
        <v>0.35722728652956998</v>
      </c>
    </row>
    <row r="986" spans="1:13" x14ac:dyDescent="0.25">
      <c r="A986">
        <v>2207</v>
      </c>
      <c r="B986" t="str">
        <f>"SHKBP1"</f>
        <v>SHKBP1</v>
      </c>
      <c r="C986" t="str">
        <f>""</f>
        <v/>
      </c>
      <c r="D986">
        <v>76.343000000000004</v>
      </c>
      <c r="E986">
        <v>3.4</v>
      </c>
      <c r="F986">
        <v>0</v>
      </c>
      <c r="G986">
        <v>1</v>
      </c>
      <c r="H986">
        <v>0</v>
      </c>
      <c r="I986" s="7">
        <v>0</v>
      </c>
      <c r="J986" s="6">
        <v>0.58121239550609605</v>
      </c>
      <c r="K986" s="6">
        <v>0</v>
      </c>
      <c r="L986">
        <v>10000</v>
      </c>
      <c r="M986">
        <v>0.35722728652956998</v>
      </c>
    </row>
    <row r="987" spans="1:13" x14ac:dyDescent="0.25">
      <c r="A987">
        <v>2636</v>
      </c>
      <c r="B987" t="str">
        <f>"NUAK2"</f>
        <v>NUAK2</v>
      </c>
      <c r="C987" t="str">
        <f>"NUAK2"</f>
        <v>NUAK2</v>
      </c>
      <c r="D987">
        <v>69.611000000000004</v>
      </c>
      <c r="E987">
        <v>1.3</v>
      </c>
      <c r="F987">
        <v>0</v>
      </c>
      <c r="G987">
        <v>1</v>
      </c>
      <c r="H987">
        <v>0</v>
      </c>
      <c r="I987" s="7">
        <v>0</v>
      </c>
      <c r="J987" s="6">
        <v>0.58121239550609605</v>
      </c>
      <c r="K987" s="6">
        <v>0</v>
      </c>
      <c r="L987">
        <v>10000</v>
      </c>
      <c r="M987">
        <v>0.35722728652956998</v>
      </c>
    </row>
    <row r="988" spans="1:13" x14ac:dyDescent="0.25">
      <c r="A988">
        <v>2684</v>
      </c>
      <c r="B988" t="str">
        <f>"TFB2M"</f>
        <v>TFB2M</v>
      </c>
      <c r="C988" t="str">
        <f>""</f>
        <v/>
      </c>
      <c r="D988">
        <v>45.347999999999999</v>
      </c>
      <c r="E988">
        <v>7.3</v>
      </c>
      <c r="F988">
        <v>0</v>
      </c>
      <c r="G988">
        <v>1</v>
      </c>
      <c r="H988">
        <v>0</v>
      </c>
      <c r="I988" s="7">
        <v>0</v>
      </c>
      <c r="J988" s="6">
        <v>0.58121239550609605</v>
      </c>
      <c r="K988" s="6">
        <v>0</v>
      </c>
      <c r="L988">
        <v>10000</v>
      </c>
      <c r="M988">
        <v>0.35722728652956998</v>
      </c>
    </row>
    <row r="989" spans="1:13" x14ac:dyDescent="0.25">
      <c r="A989">
        <v>265</v>
      </c>
      <c r="B989" t="str">
        <f>"PPL"</f>
        <v>PPL</v>
      </c>
      <c r="C989" t="str">
        <f>""</f>
        <v/>
      </c>
      <c r="D989">
        <v>204.74</v>
      </c>
      <c r="E989">
        <v>3.2</v>
      </c>
      <c r="F989">
        <v>0</v>
      </c>
      <c r="G989">
        <v>1</v>
      </c>
      <c r="H989">
        <v>0</v>
      </c>
      <c r="I989" s="7">
        <v>0</v>
      </c>
      <c r="J989" s="6">
        <v>0.58121239550609605</v>
      </c>
      <c r="K989" s="6">
        <v>0</v>
      </c>
      <c r="L989">
        <v>10000</v>
      </c>
      <c r="M989">
        <v>0.35722728652956998</v>
      </c>
    </row>
    <row r="990" spans="1:13" x14ac:dyDescent="0.25">
      <c r="A990">
        <v>664</v>
      </c>
      <c r="B990" t="str">
        <f>"PIP"</f>
        <v>PIP</v>
      </c>
      <c r="C990" t="str">
        <f>""</f>
        <v/>
      </c>
      <c r="D990">
        <v>16.571999999999999</v>
      </c>
      <c r="E990">
        <v>7.5</v>
      </c>
      <c r="F990">
        <v>0</v>
      </c>
      <c r="G990">
        <v>1</v>
      </c>
      <c r="H990">
        <v>0</v>
      </c>
      <c r="I990" s="7">
        <v>0</v>
      </c>
      <c r="J990" s="6">
        <v>0.58121239550609605</v>
      </c>
      <c r="K990" s="6">
        <v>0</v>
      </c>
      <c r="L990">
        <v>10000</v>
      </c>
      <c r="M990">
        <v>0.35722728652956998</v>
      </c>
    </row>
    <row r="991" spans="1:13" x14ac:dyDescent="0.25">
      <c r="A991">
        <v>1056</v>
      </c>
      <c r="B991" t="str">
        <f>"BRCC3"</f>
        <v>BRCC3</v>
      </c>
      <c r="C991" t="str">
        <f>""</f>
        <v/>
      </c>
      <c r="D991">
        <v>23.457000000000001</v>
      </c>
      <c r="E991">
        <v>6.4</v>
      </c>
      <c r="F991">
        <v>0</v>
      </c>
      <c r="G991">
        <v>1</v>
      </c>
      <c r="H991">
        <v>0</v>
      </c>
      <c r="I991" s="7">
        <v>0</v>
      </c>
      <c r="J991" s="6">
        <v>0.58121239550609605</v>
      </c>
      <c r="K991" s="6">
        <v>0</v>
      </c>
      <c r="L991">
        <v>10000</v>
      </c>
      <c r="M991">
        <v>0.35722728652956998</v>
      </c>
    </row>
    <row r="992" spans="1:13" x14ac:dyDescent="0.25">
      <c r="A992">
        <v>1559</v>
      </c>
      <c r="B992" t="str">
        <f>"ATM"</f>
        <v>ATM</v>
      </c>
      <c r="C992" t="str">
        <f>"ATM"</f>
        <v>ATM</v>
      </c>
      <c r="D992">
        <v>350.68</v>
      </c>
      <c r="E992">
        <v>0.6</v>
      </c>
      <c r="F992">
        <v>0</v>
      </c>
      <c r="G992">
        <v>1</v>
      </c>
      <c r="H992">
        <v>0</v>
      </c>
      <c r="I992" s="7">
        <v>0</v>
      </c>
      <c r="J992" s="6">
        <v>0.58121239550609605</v>
      </c>
      <c r="K992" s="6">
        <v>0</v>
      </c>
      <c r="L992">
        <v>10000</v>
      </c>
      <c r="M992">
        <v>0.35722728652956998</v>
      </c>
    </row>
    <row r="993" spans="1:13" x14ac:dyDescent="0.25">
      <c r="A993">
        <v>2448</v>
      </c>
      <c r="B993" t="str">
        <f>"SPAG5"</f>
        <v>SPAG5</v>
      </c>
      <c r="C993" t="str">
        <f>""</f>
        <v/>
      </c>
      <c r="D993">
        <v>134.41999999999999</v>
      </c>
      <c r="E993">
        <v>1</v>
      </c>
      <c r="F993">
        <v>0</v>
      </c>
      <c r="G993">
        <v>1</v>
      </c>
      <c r="H993">
        <v>0</v>
      </c>
      <c r="I993" s="7">
        <v>0</v>
      </c>
      <c r="J993" s="6">
        <v>0.58121239550609605</v>
      </c>
      <c r="K993" s="6">
        <v>0</v>
      </c>
      <c r="L993">
        <v>10000</v>
      </c>
      <c r="M993">
        <v>0.35722728652956998</v>
      </c>
    </row>
    <row r="994" spans="1:13" x14ac:dyDescent="0.25">
      <c r="A994">
        <v>2522</v>
      </c>
      <c r="B994" t="str">
        <f>"BUD13"</f>
        <v>BUD13</v>
      </c>
      <c r="C994" t="str">
        <f>""</f>
        <v/>
      </c>
      <c r="D994">
        <v>55.567</v>
      </c>
      <c r="E994">
        <v>2.7</v>
      </c>
      <c r="F994">
        <v>0</v>
      </c>
      <c r="G994">
        <v>1</v>
      </c>
      <c r="H994">
        <v>0</v>
      </c>
      <c r="I994" s="7">
        <v>0</v>
      </c>
      <c r="J994" s="6">
        <v>0.58121239550609605</v>
      </c>
      <c r="K994" s="6">
        <v>0</v>
      </c>
      <c r="L994">
        <v>10000</v>
      </c>
      <c r="M994">
        <v>0.35722728652956998</v>
      </c>
    </row>
    <row r="995" spans="1:13" x14ac:dyDescent="0.25">
      <c r="A995">
        <v>2838</v>
      </c>
      <c r="B995" t="str">
        <f>"PIH1D1"</f>
        <v>PIH1D1</v>
      </c>
      <c r="C995" t="str">
        <f>""</f>
        <v/>
      </c>
      <c r="D995">
        <v>32.363</v>
      </c>
      <c r="E995">
        <v>8.3000000000000007</v>
      </c>
      <c r="F995">
        <v>0</v>
      </c>
      <c r="G995">
        <v>1</v>
      </c>
      <c r="H995">
        <v>0</v>
      </c>
      <c r="I995" s="7">
        <v>0</v>
      </c>
      <c r="J995" s="6">
        <v>0.58121239550609605</v>
      </c>
      <c r="K995" s="6">
        <v>0</v>
      </c>
      <c r="L995">
        <v>10000</v>
      </c>
      <c r="M995">
        <v>0.35722728652956998</v>
      </c>
    </row>
    <row r="996" spans="1:13" x14ac:dyDescent="0.25">
      <c r="A996">
        <v>10</v>
      </c>
      <c r="B996" t="str">
        <f>"KIAA1598"</f>
        <v>KIAA1598</v>
      </c>
      <c r="C996" t="str">
        <f>""</f>
        <v/>
      </c>
      <c r="D996">
        <v>52.634999999999998</v>
      </c>
      <c r="E996">
        <v>4.2</v>
      </c>
      <c r="F996">
        <v>0</v>
      </c>
      <c r="G996">
        <v>1</v>
      </c>
      <c r="H996">
        <v>0</v>
      </c>
      <c r="I996" s="7">
        <v>0</v>
      </c>
      <c r="J996" s="6">
        <v>0.58121239550609605</v>
      </c>
      <c r="K996" s="6">
        <v>0</v>
      </c>
      <c r="L996">
        <v>10000</v>
      </c>
      <c r="M996">
        <v>0.35722728652956998</v>
      </c>
    </row>
    <row r="997" spans="1:13" x14ac:dyDescent="0.25">
      <c r="A997">
        <v>21</v>
      </c>
      <c r="B997" t="str">
        <f>"UNC119B"</f>
        <v>UNC119B</v>
      </c>
      <c r="C997" t="str">
        <f>""</f>
        <v/>
      </c>
      <c r="D997">
        <v>28.135999999999999</v>
      </c>
      <c r="E997">
        <v>6.8</v>
      </c>
      <c r="F997">
        <v>0</v>
      </c>
      <c r="G997">
        <v>1</v>
      </c>
      <c r="H997">
        <v>0</v>
      </c>
      <c r="I997" s="7">
        <v>0</v>
      </c>
      <c r="J997" s="6">
        <v>0.58121239550609605</v>
      </c>
      <c r="K997" s="6">
        <v>0</v>
      </c>
      <c r="L997">
        <v>10000</v>
      </c>
      <c r="M997">
        <v>0.35722728652956998</v>
      </c>
    </row>
    <row r="998" spans="1:13" x14ac:dyDescent="0.25">
      <c r="A998">
        <v>84</v>
      </c>
      <c r="B998" t="str">
        <f>"DNASE2"</f>
        <v>DNASE2</v>
      </c>
      <c r="C998" t="str">
        <f>""</f>
        <v/>
      </c>
      <c r="D998">
        <v>33.615000000000002</v>
      </c>
      <c r="E998">
        <v>6.2</v>
      </c>
      <c r="F998">
        <v>0</v>
      </c>
      <c r="G998">
        <v>1</v>
      </c>
      <c r="H998">
        <v>0</v>
      </c>
      <c r="I998" s="7">
        <v>0</v>
      </c>
      <c r="J998" s="6">
        <v>0.58121239550609605</v>
      </c>
      <c r="K998" s="6">
        <v>0</v>
      </c>
      <c r="L998">
        <v>10000</v>
      </c>
      <c r="M998">
        <v>0.35722728652956998</v>
      </c>
    </row>
    <row r="999" spans="1:13" x14ac:dyDescent="0.25">
      <c r="A999">
        <v>87</v>
      </c>
      <c r="B999" t="str">
        <f>"DDX39A"</f>
        <v>DDX39A</v>
      </c>
      <c r="C999" t="str">
        <f>""</f>
        <v/>
      </c>
      <c r="D999">
        <v>49.128999999999998</v>
      </c>
      <c r="E999">
        <v>5.4</v>
      </c>
      <c r="F999">
        <v>0</v>
      </c>
      <c r="G999">
        <v>1</v>
      </c>
      <c r="H999">
        <v>0</v>
      </c>
      <c r="I999" s="7">
        <v>0</v>
      </c>
      <c r="J999" s="6">
        <v>0.58121239550609605</v>
      </c>
      <c r="K999" s="6">
        <v>0</v>
      </c>
      <c r="L999">
        <v>10000</v>
      </c>
      <c r="M999">
        <v>0.35722728652956998</v>
      </c>
    </row>
    <row r="1000" spans="1:13" x14ac:dyDescent="0.25">
      <c r="A1000">
        <v>119</v>
      </c>
      <c r="B1000" t="str">
        <f>"PES1"</f>
        <v>PES1</v>
      </c>
      <c r="C1000" t="str">
        <f>""</f>
        <v/>
      </c>
      <c r="D1000">
        <v>67.454999999999998</v>
      </c>
      <c r="E1000">
        <v>4.0999999999999996</v>
      </c>
      <c r="F1000">
        <v>0</v>
      </c>
      <c r="G1000">
        <v>1</v>
      </c>
      <c r="H1000">
        <v>0</v>
      </c>
      <c r="I1000" s="7">
        <v>0</v>
      </c>
      <c r="J1000" s="6">
        <v>0.58121239550609605</v>
      </c>
      <c r="K1000" s="6">
        <v>0</v>
      </c>
      <c r="L1000">
        <v>10000</v>
      </c>
      <c r="M1000">
        <v>0.35722728652956998</v>
      </c>
    </row>
    <row r="1001" spans="1:13" x14ac:dyDescent="0.25">
      <c r="A1001">
        <v>126</v>
      </c>
      <c r="B1001" t="str">
        <f>"NME4"</f>
        <v>NME4</v>
      </c>
      <c r="C1001" t="str">
        <f>"NME4"</f>
        <v>NME4</v>
      </c>
      <c r="D1001">
        <v>12.978</v>
      </c>
      <c r="E1001">
        <v>14.5</v>
      </c>
      <c r="F1001">
        <v>0</v>
      </c>
      <c r="G1001">
        <v>1</v>
      </c>
      <c r="H1001">
        <v>0</v>
      </c>
      <c r="I1001" s="7">
        <v>0</v>
      </c>
      <c r="J1001" s="6">
        <v>0.58121239550609605</v>
      </c>
      <c r="K1001" s="6">
        <v>0</v>
      </c>
      <c r="L1001">
        <v>10000</v>
      </c>
      <c r="M1001">
        <v>0.35722728652956998</v>
      </c>
    </row>
    <row r="1002" spans="1:13" x14ac:dyDescent="0.25">
      <c r="A1002">
        <v>147</v>
      </c>
      <c r="B1002" t="str">
        <f>"UNC13B"</f>
        <v>UNC13B</v>
      </c>
      <c r="C1002" t="str">
        <f>""</f>
        <v/>
      </c>
      <c r="D1002">
        <v>180.68</v>
      </c>
      <c r="E1002">
        <v>1.6</v>
      </c>
      <c r="F1002">
        <v>0</v>
      </c>
      <c r="G1002">
        <v>1</v>
      </c>
      <c r="H1002">
        <v>0</v>
      </c>
      <c r="I1002" s="7">
        <v>0</v>
      </c>
      <c r="J1002" s="6">
        <v>0.58121239550609605</v>
      </c>
      <c r="K1002" s="6">
        <v>0</v>
      </c>
      <c r="L1002">
        <v>10000</v>
      </c>
      <c r="M1002">
        <v>0.35722728652956998</v>
      </c>
    </row>
    <row r="1003" spans="1:13" x14ac:dyDescent="0.25">
      <c r="A1003">
        <v>157</v>
      </c>
      <c r="B1003" t="str">
        <f>"AURKA"</f>
        <v>AURKA</v>
      </c>
      <c r="C1003" t="str">
        <f>"AURKA"</f>
        <v>AURKA</v>
      </c>
      <c r="D1003">
        <v>45.808999999999997</v>
      </c>
      <c r="E1003">
        <v>6.2</v>
      </c>
      <c r="F1003">
        <v>0</v>
      </c>
      <c r="G1003">
        <v>1</v>
      </c>
      <c r="H1003">
        <v>0</v>
      </c>
      <c r="I1003" s="7">
        <v>0</v>
      </c>
      <c r="J1003" s="6">
        <v>0.58121239550609605</v>
      </c>
      <c r="K1003" s="6">
        <v>0</v>
      </c>
      <c r="L1003">
        <v>10000</v>
      </c>
      <c r="M1003">
        <v>0.35722728652956998</v>
      </c>
    </row>
    <row r="1004" spans="1:13" x14ac:dyDescent="0.25">
      <c r="A1004">
        <v>228</v>
      </c>
      <c r="B1004" t="str">
        <f>"PLRG1"</f>
        <v>PLRG1</v>
      </c>
      <c r="C1004" t="str">
        <f>""</f>
        <v/>
      </c>
      <c r="D1004">
        <v>56.289000000000001</v>
      </c>
      <c r="E1004">
        <v>10.5</v>
      </c>
      <c r="F1004">
        <v>0</v>
      </c>
      <c r="G1004">
        <v>1</v>
      </c>
      <c r="H1004">
        <v>0</v>
      </c>
      <c r="I1004" s="7">
        <v>0</v>
      </c>
      <c r="J1004" s="6">
        <v>0.58121239550609605</v>
      </c>
      <c r="K1004" s="6">
        <v>0</v>
      </c>
      <c r="L1004">
        <v>10000</v>
      </c>
      <c r="M1004">
        <v>0.35722728652956998</v>
      </c>
    </row>
    <row r="1005" spans="1:13" x14ac:dyDescent="0.25">
      <c r="A1005">
        <v>312</v>
      </c>
      <c r="B1005" t="str">
        <f>"ZPR1"</f>
        <v>ZPR1</v>
      </c>
      <c r="C1005" t="str">
        <f>""</f>
        <v/>
      </c>
      <c r="D1005">
        <v>50.924999999999997</v>
      </c>
      <c r="E1005">
        <v>6.3</v>
      </c>
      <c r="F1005">
        <v>0</v>
      </c>
      <c r="G1005">
        <v>1</v>
      </c>
      <c r="H1005">
        <v>0</v>
      </c>
      <c r="I1005" s="7">
        <v>0</v>
      </c>
      <c r="J1005" s="6">
        <v>0.58121239550609605</v>
      </c>
      <c r="K1005" s="6">
        <v>0</v>
      </c>
      <c r="L1005">
        <v>10000</v>
      </c>
      <c r="M1005">
        <v>0.35722728652956998</v>
      </c>
    </row>
    <row r="1006" spans="1:13" x14ac:dyDescent="0.25">
      <c r="A1006">
        <v>377</v>
      </c>
      <c r="B1006" t="str">
        <f>"GLS"</f>
        <v>GLS</v>
      </c>
      <c r="C1006" t="str">
        <f>""</f>
        <v/>
      </c>
      <c r="D1006">
        <v>65.459000000000003</v>
      </c>
      <c r="E1006">
        <v>3</v>
      </c>
      <c r="F1006">
        <v>0</v>
      </c>
      <c r="G1006">
        <v>1</v>
      </c>
      <c r="H1006">
        <v>0</v>
      </c>
      <c r="I1006" s="7">
        <v>0</v>
      </c>
      <c r="J1006" s="6">
        <v>0.58121239550609605</v>
      </c>
      <c r="K1006" s="6">
        <v>0</v>
      </c>
      <c r="L1006">
        <v>10000</v>
      </c>
      <c r="M1006">
        <v>0.35722728652956998</v>
      </c>
    </row>
    <row r="1007" spans="1:13" x14ac:dyDescent="0.25">
      <c r="A1007">
        <v>389</v>
      </c>
      <c r="B1007" t="str">
        <f>"LETM1"</f>
        <v>LETM1</v>
      </c>
      <c r="C1007" t="str">
        <f>""</f>
        <v/>
      </c>
      <c r="D1007">
        <v>83.352999999999994</v>
      </c>
      <c r="E1007">
        <v>2.7</v>
      </c>
      <c r="F1007">
        <v>0</v>
      </c>
      <c r="G1007">
        <v>1</v>
      </c>
      <c r="H1007">
        <v>0</v>
      </c>
      <c r="I1007" s="7">
        <v>0</v>
      </c>
      <c r="J1007" s="6">
        <v>0.58121239550609605</v>
      </c>
      <c r="K1007" s="6">
        <v>0</v>
      </c>
      <c r="L1007">
        <v>10000</v>
      </c>
      <c r="M1007">
        <v>0.35722728652956998</v>
      </c>
    </row>
    <row r="1008" spans="1:13" x14ac:dyDescent="0.25">
      <c r="A1008">
        <v>403</v>
      </c>
      <c r="B1008" t="str">
        <f>"ARIH2"</f>
        <v>ARIH2</v>
      </c>
      <c r="C1008" t="str">
        <f>""</f>
        <v/>
      </c>
      <c r="D1008">
        <v>57.817999999999998</v>
      </c>
      <c r="E1008">
        <v>4.5</v>
      </c>
      <c r="F1008">
        <v>0</v>
      </c>
      <c r="G1008">
        <v>1</v>
      </c>
      <c r="H1008">
        <v>0</v>
      </c>
      <c r="I1008" s="7">
        <v>0</v>
      </c>
      <c r="J1008" s="6">
        <v>0.58121239550609605</v>
      </c>
      <c r="K1008" s="6">
        <v>0</v>
      </c>
      <c r="L1008">
        <v>10000</v>
      </c>
      <c r="M1008">
        <v>0.35722728652956998</v>
      </c>
    </row>
    <row r="1009" spans="1:13" x14ac:dyDescent="0.25">
      <c r="A1009">
        <v>434</v>
      </c>
      <c r="B1009" t="str">
        <f>"PEX11B"</f>
        <v>PEX11B</v>
      </c>
      <c r="C1009" t="str">
        <f>""</f>
        <v/>
      </c>
      <c r="D1009">
        <v>26.724</v>
      </c>
      <c r="E1009">
        <v>9.8000000000000007</v>
      </c>
      <c r="F1009">
        <v>0</v>
      </c>
      <c r="G1009">
        <v>1</v>
      </c>
      <c r="H1009">
        <v>0</v>
      </c>
      <c r="I1009" s="7">
        <v>0</v>
      </c>
      <c r="J1009" s="6">
        <v>0.58121239550609605</v>
      </c>
      <c r="K1009" s="6">
        <v>0</v>
      </c>
      <c r="L1009">
        <v>10000</v>
      </c>
      <c r="M1009">
        <v>0.35722728652956998</v>
      </c>
    </row>
    <row r="1010" spans="1:13" x14ac:dyDescent="0.25">
      <c r="A1010">
        <v>608</v>
      </c>
      <c r="B1010" t="str">
        <f>"TPM1"</f>
        <v>TPM1</v>
      </c>
      <c r="C1010" t="str">
        <f>""</f>
        <v/>
      </c>
      <c r="D1010">
        <v>28.385000000000002</v>
      </c>
      <c r="E1010">
        <v>4.9000000000000004</v>
      </c>
      <c r="F1010">
        <v>0</v>
      </c>
      <c r="G1010">
        <v>1</v>
      </c>
      <c r="H1010">
        <v>0</v>
      </c>
      <c r="I1010" s="7">
        <v>0</v>
      </c>
      <c r="J1010" s="6">
        <v>0.58121239550609605</v>
      </c>
      <c r="K1010" s="6">
        <v>0</v>
      </c>
      <c r="L1010">
        <v>10000</v>
      </c>
      <c r="M1010">
        <v>0.35722728652956998</v>
      </c>
    </row>
    <row r="1011" spans="1:13" x14ac:dyDescent="0.25">
      <c r="A1011">
        <v>643</v>
      </c>
      <c r="B1011" t="str">
        <f>"RALA"</f>
        <v>RALA</v>
      </c>
      <c r="C1011" t="str">
        <f>""</f>
        <v/>
      </c>
      <c r="D1011">
        <v>23.567</v>
      </c>
      <c r="E1011">
        <v>4.4000000000000004</v>
      </c>
      <c r="F1011">
        <v>0</v>
      </c>
      <c r="G1011">
        <v>1</v>
      </c>
      <c r="H1011">
        <v>0</v>
      </c>
      <c r="I1011" s="7">
        <v>0</v>
      </c>
      <c r="J1011" s="6">
        <v>0.58121239550609605</v>
      </c>
      <c r="K1011" s="6">
        <v>0</v>
      </c>
      <c r="L1011">
        <v>10000</v>
      </c>
      <c r="M1011">
        <v>0.35722728652956998</v>
      </c>
    </row>
    <row r="1012" spans="1:13" x14ac:dyDescent="0.25">
      <c r="A1012">
        <v>802</v>
      </c>
      <c r="B1012" t="str">
        <f>"TUBG2;TUBG1"</f>
        <v>TUBG2;TUBG1</v>
      </c>
      <c r="C1012" t="str">
        <f>""</f>
        <v/>
      </c>
      <c r="D1012">
        <v>51.091000000000001</v>
      </c>
      <c r="E1012">
        <v>7.3</v>
      </c>
      <c r="F1012">
        <v>0</v>
      </c>
      <c r="G1012">
        <v>1</v>
      </c>
      <c r="H1012">
        <v>0</v>
      </c>
      <c r="I1012" s="7">
        <v>0</v>
      </c>
      <c r="J1012" s="6">
        <v>0.58121239550609605</v>
      </c>
      <c r="K1012" s="6">
        <v>0</v>
      </c>
      <c r="L1012">
        <v>10000</v>
      </c>
      <c r="M1012">
        <v>0.35722728652956998</v>
      </c>
    </row>
    <row r="1013" spans="1:13" x14ac:dyDescent="0.25">
      <c r="A1013">
        <v>814</v>
      </c>
      <c r="B1013" t="str">
        <f>"RRM1"</f>
        <v>RRM1</v>
      </c>
      <c r="C1013" t="str">
        <f>""</f>
        <v/>
      </c>
      <c r="D1013">
        <v>90.069000000000003</v>
      </c>
      <c r="E1013">
        <v>2.1</v>
      </c>
      <c r="F1013">
        <v>0</v>
      </c>
      <c r="G1013">
        <v>1</v>
      </c>
      <c r="H1013">
        <v>0</v>
      </c>
      <c r="I1013" s="7">
        <v>0</v>
      </c>
      <c r="J1013" s="6">
        <v>0.58121239550609605</v>
      </c>
      <c r="K1013" s="6">
        <v>0</v>
      </c>
      <c r="L1013">
        <v>10000</v>
      </c>
      <c r="M1013">
        <v>0.35722728652956998</v>
      </c>
    </row>
    <row r="1014" spans="1:13" x14ac:dyDescent="0.25">
      <c r="A1014">
        <v>1014</v>
      </c>
      <c r="B1014" t="str">
        <f>"ECI1"</f>
        <v>ECI1</v>
      </c>
      <c r="C1014" t="str">
        <f>""</f>
        <v/>
      </c>
      <c r="D1014">
        <v>30.895</v>
      </c>
      <c r="E1014">
        <v>3.5</v>
      </c>
      <c r="F1014">
        <v>0</v>
      </c>
      <c r="G1014">
        <v>1</v>
      </c>
      <c r="H1014">
        <v>0</v>
      </c>
      <c r="I1014" s="7">
        <v>0</v>
      </c>
      <c r="J1014" s="6">
        <v>0.58121239550609605</v>
      </c>
      <c r="K1014" s="6">
        <v>0</v>
      </c>
      <c r="L1014">
        <v>10000</v>
      </c>
      <c r="M1014">
        <v>0.35722728652956998</v>
      </c>
    </row>
    <row r="1015" spans="1:13" x14ac:dyDescent="0.25">
      <c r="A1015">
        <v>1026</v>
      </c>
      <c r="B1015" t="str">
        <f>"RBM34"</f>
        <v>RBM34</v>
      </c>
      <c r="C1015" t="str">
        <f>""</f>
        <v/>
      </c>
      <c r="D1015">
        <v>48.564</v>
      </c>
      <c r="E1015">
        <v>7.9</v>
      </c>
      <c r="F1015">
        <v>0</v>
      </c>
      <c r="G1015">
        <v>1</v>
      </c>
      <c r="H1015">
        <v>0</v>
      </c>
      <c r="I1015" s="7">
        <v>0</v>
      </c>
      <c r="J1015" s="6">
        <v>0.58121239550609605</v>
      </c>
      <c r="K1015" s="6">
        <v>0</v>
      </c>
      <c r="L1015">
        <v>10000</v>
      </c>
      <c r="M1015">
        <v>0.35722728652956998</v>
      </c>
    </row>
    <row r="1016" spans="1:13" x14ac:dyDescent="0.25">
      <c r="A1016">
        <v>1083</v>
      </c>
      <c r="B1016" t="str">
        <f>"NES"</f>
        <v>NES</v>
      </c>
      <c r="C1016" t="str">
        <f>""</f>
        <v/>
      </c>
      <c r="D1016">
        <v>177.44</v>
      </c>
      <c r="E1016">
        <v>0.7</v>
      </c>
      <c r="F1016">
        <v>0</v>
      </c>
      <c r="G1016">
        <v>1</v>
      </c>
      <c r="H1016">
        <v>0</v>
      </c>
      <c r="I1016" s="7">
        <v>0</v>
      </c>
      <c r="J1016" s="6">
        <v>0.58121239550609605</v>
      </c>
      <c r="K1016" s="6">
        <v>0</v>
      </c>
      <c r="L1016">
        <v>10000</v>
      </c>
      <c r="M1016">
        <v>0.35722728652956998</v>
      </c>
    </row>
    <row r="1017" spans="1:13" x14ac:dyDescent="0.25">
      <c r="A1017">
        <v>1107</v>
      </c>
      <c r="B1017" t="str">
        <f>"HARS2"</f>
        <v>HARS2</v>
      </c>
      <c r="C1017" t="str">
        <f>""</f>
        <v/>
      </c>
      <c r="D1017">
        <v>54.113999999999997</v>
      </c>
      <c r="E1017">
        <v>5.2</v>
      </c>
      <c r="F1017">
        <v>0</v>
      </c>
      <c r="G1017">
        <v>1</v>
      </c>
      <c r="H1017">
        <v>0</v>
      </c>
      <c r="I1017" s="7">
        <v>0</v>
      </c>
      <c r="J1017" s="6">
        <v>0.58121239550609605</v>
      </c>
      <c r="K1017" s="6">
        <v>0</v>
      </c>
      <c r="L1017">
        <v>10000</v>
      </c>
      <c r="M1017">
        <v>0.35722728652956998</v>
      </c>
    </row>
    <row r="1018" spans="1:13" x14ac:dyDescent="0.25">
      <c r="A1018">
        <v>1200</v>
      </c>
      <c r="B1018" t="str">
        <f>"SUCLG1"</f>
        <v>SUCLG1</v>
      </c>
      <c r="C1018" t="str">
        <f>""</f>
        <v/>
      </c>
      <c r="D1018">
        <v>36.249000000000002</v>
      </c>
      <c r="E1018">
        <v>11.3</v>
      </c>
      <c r="F1018">
        <v>0</v>
      </c>
      <c r="G1018">
        <v>1</v>
      </c>
      <c r="H1018">
        <v>0</v>
      </c>
      <c r="I1018" s="7">
        <v>0</v>
      </c>
      <c r="J1018" s="6">
        <v>0.58121239550609605</v>
      </c>
      <c r="K1018" s="6">
        <v>0</v>
      </c>
      <c r="L1018">
        <v>10000</v>
      </c>
      <c r="M1018">
        <v>0.35722728652956998</v>
      </c>
    </row>
    <row r="1019" spans="1:13" x14ac:dyDescent="0.25">
      <c r="A1019">
        <v>1219</v>
      </c>
      <c r="B1019" t="str">
        <f>"RAD23A"</f>
        <v>RAD23A</v>
      </c>
      <c r="C1019" t="str">
        <f>""</f>
        <v/>
      </c>
      <c r="D1019">
        <v>33.433</v>
      </c>
      <c r="E1019">
        <v>2.9</v>
      </c>
      <c r="F1019">
        <v>0</v>
      </c>
      <c r="G1019">
        <v>1</v>
      </c>
      <c r="H1019">
        <v>0</v>
      </c>
      <c r="I1019" s="7">
        <v>0</v>
      </c>
      <c r="J1019" s="6">
        <v>0.58121239550609605</v>
      </c>
      <c r="K1019" s="6">
        <v>0</v>
      </c>
      <c r="L1019">
        <v>10000</v>
      </c>
      <c r="M1019">
        <v>0.35722728652956998</v>
      </c>
    </row>
    <row r="1020" spans="1:13" x14ac:dyDescent="0.25">
      <c r="A1020">
        <v>1298</v>
      </c>
      <c r="B1020" t="str">
        <f>"NPC2"</f>
        <v>NPC2</v>
      </c>
      <c r="C1020" t="str">
        <f>""</f>
        <v/>
      </c>
      <c r="D1020">
        <v>13.414999999999999</v>
      </c>
      <c r="E1020">
        <v>7.2</v>
      </c>
      <c r="F1020">
        <v>0</v>
      </c>
      <c r="G1020">
        <v>1</v>
      </c>
      <c r="H1020">
        <v>0</v>
      </c>
      <c r="I1020" s="7">
        <v>0</v>
      </c>
      <c r="J1020" s="6">
        <v>0.58121239550609605</v>
      </c>
      <c r="K1020" s="6">
        <v>0</v>
      </c>
      <c r="L1020">
        <v>10000</v>
      </c>
      <c r="M1020">
        <v>0.35722728652956998</v>
      </c>
    </row>
    <row r="1021" spans="1:13" x14ac:dyDescent="0.25">
      <c r="A1021">
        <v>1351</v>
      </c>
      <c r="B1021" t="str">
        <f>"AP2B1"</f>
        <v>AP2B1</v>
      </c>
      <c r="C1021" t="str">
        <f>""</f>
        <v/>
      </c>
      <c r="D1021">
        <v>98.117000000000004</v>
      </c>
      <c r="E1021">
        <v>7</v>
      </c>
      <c r="F1021">
        <v>0</v>
      </c>
      <c r="G1021">
        <v>1</v>
      </c>
      <c r="H1021">
        <v>0</v>
      </c>
      <c r="I1021" s="7">
        <v>0</v>
      </c>
      <c r="J1021" s="6">
        <v>0.58121239550609605</v>
      </c>
      <c r="K1021" s="6">
        <v>0</v>
      </c>
      <c r="L1021">
        <v>10000</v>
      </c>
      <c r="M1021">
        <v>0.35722728652956998</v>
      </c>
    </row>
    <row r="1022" spans="1:13" x14ac:dyDescent="0.25">
      <c r="A1022">
        <v>1356</v>
      </c>
      <c r="B1022" t="str">
        <f>"SKP1"</f>
        <v>SKP1</v>
      </c>
      <c r="C1022" t="str">
        <f>""</f>
        <v/>
      </c>
      <c r="D1022">
        <v>18.658000000000001</v>
      </c>
      <c r="E1022">
        <v>7.4</v>
      </c>
      <c r="F1022">
        <v>0</v>
      </c>
      <c r="G1022">
        <v>1</v>
      </c>
      <c r="H1022">
        <v>0</v>
      </c>
      <c r="I1022" s="7">
        <v>0</v>
      </c>
      <c r="J1022" s="6">
        <v>0.58121239550609605</v>
      </c>
      <c r="K1022" s="6">
        <v>0</v>
      </c>
      <c r="L1022">
        <v>10000</v>
      </c>
      <c r="M1022">
        <v>0.35722728652956998</v>
      </c>
    </row>
    <row r="1023" spans="1:13" x14ac:dyDescent="0.25">
      <c r="A1023">
        <v>1391</v>
      </c>
      <c r="B1023" t="str">
        <f>"MRPS6"</f>
        <v>MRPS6</v>
      </c>
      <c r="C1023" t="str">
        <f>""</f>
        <v/>
      </c>
      <c r="D1023">
        <v>14.226000000000001</v>
      </c>
      <c r="E1023">
        <v>6.4</v>
      </c>
      <c r="F1023">
        <v>0</v>
      </c>
      <c r="G1023">
        <v>1</v>
      </c>
      <c r="H1023">
        <v>0</v>
      </c>
      <c r="I1023" s="7">
        <v>0</v>
      </c>
      <c r="J1023" s="6">
        <v>0.58121239550609605</v>
      </c>
      <c r="K1023" s="6">
        <v>0</v>
      </c>
      <c r="L1023">
        <v>10000</v>
      </c>
      <c r="M1023">
        <v>0.35722728652956998</v>
      </c>
    </row>
    <row r="1024" spans="1:13" x14ac:dyDescent="0.25">
      <c r="A1024">
        <v>1414</v>
      </c>
      <c r="B1024" t="str">
        <f>"NFKB2"</f>
        <v>NFKB2</v>
      </c>
      <c r="C1024" t="str">
        <f>""</f>
        <v/>
      </c>
      <c r="D1024">
        <v>47.021000000000001</v>
      </c>
      <c r="E1024">
        <v>4.2</v>
      </c>
      <c r="F1024">
        <v>0</v>
      </c>
      <c r="G1024">
        <v>1</v>
      </c>
      <c r="H1024">
        <v>0</v>
      </c>
      <c r="I1024" s="7">
        <v>0</v>
      </c>
      <c r="J1024" s="6">
        <v>0.58121239550609605</v>
      </c>
      <c r="K1024" s="6">
        <v>0</v>
      </c>
      <c r="L1024">
        <v>10000</v>
      </c>
      <c r="M1024">
        <v>0.35722728652956998</v>
      </c>
    </row>
    <row r="1025" spans="1:13" x14ac:dyDescent="0.25">
      <c r="A1025">
        <v>1508</v>
      </c>
      <c r="B1025" t="str">
        <f>"TWF1"</f>
        <v>TWF1</v>
      </c>
      <c r="C1025" t="str">
        <f>""</f>
        <v/>
      </c>
      <c r="D1025">
        <v>28.823</v>
      </c>
      <c r="E1025">
        <v>9.1</v>
      </c>
      <c r="F1025">
        <v>0</v>
      </c>
      <c r="G1025">
        <v>1</v>
      </c>
      <c r="H1025">
        <v>0</v>
      </c>
      <c r="I1025" s="7">
        <v>0</v>
      </c>
      <c r="J1025" s="6">
        <v>0.58121239550609605</v>
      </c>
      <c r="K1025" s="6">
        <v>0</v>
      </c>
      <c r="L1025">
        <v>10000</v>
      </c>
      <c r="M1025">
        <v>0.35722728652956998</v>
      </c>
    </row>
    <row r="1026" spans="1:13" x14ac:dyDescent="0.25">
      <c r="A1026">
        <v>1530</v>
      </c>
      <c r="B1026" t="str">
        <f>"ECH1"</f>
        <v>ECH1</v>
      </c>
      <c r="C1026" t="str">
        <f>""</f>
        <v/>
      </c>
      <c r="D1026">
        <v>35.816000000000003</v>
      </c>
      <c r="E1026">
        <v>7.3</v>
      </c>
      <c r="F1026">
        <v>0</v>
      </c>
      <c r="G1026">
        <v>1</v>
      </c>
      <c r="H1026">
        <v>0</v>
      </c>
      <c r="I1026" s="7">
        <v>0</v>
      </c>
      <c r="J1026" s="6">
        <v>0.58121239550609605</v>
      </c>
      <c r="K1026" s="6">
        <v>0</v>
      </c>
      <c r="L1026">
        <v>10000</v>
      </c>
      <c r="M1026">
        <v>0.35722728652956998</v>
      </c>
    </row>
    <row r="1027" spans="1:13" x14ac:dyDescent="0.25">
      <c r="A1027">
        <v>1554</v>
      </c>
      <c r="B1027" t="str">
        <f>"SRSF6"</f>
        <v>SRSF6</v>
      </c>
      <c r="C1027" t="str">
        <f>""</f>
        <v/>
      </c>
      <c r="D1027">
        <v>38.417999999999999</v>
      </c>
      <c r="E1027">
        <v>10.4</v>
      </c>
      <c r="F1027">
        <v>0</v>
      </c>
      <c r="G1027">
        <v>1</v>
      </c>
      <c r="H1027">
        <v>0</v>
      </c>
      <c r="I1027" s="7">
        <v>0</v>
      </c>
      <c r="J1027" s="6">
        <v>0.58121239550609605</v>
      </c>
      <c r="K1027" s="6">
        <v>0</v>
      </c>
      <c r="L1027">
        <v>10000</v>
      </c>
      <c r="M1027">
        <v>0.35722728652956998</v>
      </c>
    </row>
    <row r="1028" spans="1:13" x14ac:dyDescent="0.25">
      <c r="A1028">
        <v>1574</v>
      </c>
      <c r="B1028" t="str">
        <f>"GOLGA4"</f>
        <v>GOLGA4</v>
      </c>
      <c r="C1028" t="str">
        <f>""</f>
        <v/>
      </c>
      <c r="D1028">
        <v>260.32</v>
      </c>
      <c r="E1028">
        <v>0.5</v>
      </c>
      <c r="F1028">
        <v>0</v>
      </c>
      <c r="G1028">
        <v>1</v>
      </c>
      <c r="H1028">
        <v>0</v>
      </c>
      <c r="I1028" s="7">
        <v>0</v>
      </c>
      <c r="J1028" s="6">
        <v>0.58121239550609605</v>
      </c>
      <c r="K1028" s="6">
        <v>0</v>
      </c>
      <c r="L1028">
        <v>10000</v>
      </c>
      <c r="M1028">
        <v>0.35722728652956998</v>
      </c>
    </row>
    <row r="1029" spans="1:13" x14ac:dyDescent="0.25">
      <c r="A1029">
        <v>1591</v>
      </c>
      <c r="B1029" t="str">
        <f>"PWP1"</f>
        <v>PWP1</v>
      </c>
      <c r="C1029" t="str">
        <f>""</f>
        <v/>
      </c>
      <c r="D1029">
        <v>55.826999999999998</v>
      </c>
      <c r="E1029">
        <v>5.2</v>
      </c>
      <c r="F1029">
        <v>0</v>
      </c>
      <c r="G1029">
        <v>1</v>
      </c>
      <c r="H1029">
        <v>0</v>
      </c>
      <c r="I1029" s="7">
        <v>0</v>
      </c>
      <c r="J1029" s="6">
        <v>0.58121239550609605</v>
      </c>
      <c r="K1029" s="6">
        <v>0</v>
      </c>
      <c r="L1029">
        <v>10000</v>
      </c>
      <c r="M1029">
        <v>0.35722728652956998</v>
      </c>
    </row>
    <row r="1030" spans="1:13" x14ac:dyDescent="0.25">
      <c r="A1030">
        <v>1671</v>
      </c>
      <c r="B1030" t="str">
        <f>"DRAP1"</f>
        <v>DRAP1</v>
      </c>
      <c r="C1030" t="str">
        <f>""</f>
        <v/>
      </c>
      <c r="D1030">
        <v>22.35</v>
      </c>
      <c r="E1030">
        <v>4.9000000000000004</v>
      </c>
      <c r="F1030">
        <v>0</v>
      </c>
      <c r="G1030">
        <v>1</v>
      </c>
      <c r="H1030">
        <v>0</v>
      </c>
      <c r="I1030" s="7">
        <v>0</v>
      </c>
      <c r="J1030" s="6">
        <v>0.58121239550609605</v>
      </c>
      <c r="K1030" s="6">
        <v>0</v>
      </c>
      <c r="L1030">
        <v>10000</v>
      </c>
      <c r="M1030">
        <v>0.35722728652956998</v>
      </c>
    </row>
    <row r="1031" spans="1:13" x14ac:dyDescent="0.25">
      <c r="A1031">
        <v>1713</v>
      </c>
      <c r="B1031" t="str">
        <f>"RCN1"</f>
        <v>RCN1</v>
      </c>
      <c r="C1031" t="str">
        <f>""</f>
        <v/>
      </c>
      <c r="D1031">
        <v>38.89</v>
      </c>
      <c r="E1031">
        <v>13.3</v>
      </c>
      <c r="F1031">
        <v>0</v>
      </c>
      <c r="G1031">
        <v>1</v>
      </c>
      <c r="H1031">
        <v>0</v>
      </c>
      <c r="I1031" s="7">
        <v>0</v>
      </c>
      <c r="J1031" s="6">
        <v>0.58121239550609605</v>
      </c>
      <c r="K1031" s="6">
        <v>0</v>
      </c>
      <c r="L1031">
        <v>10000</v>
      </c>
      <c r="M1031">
        <v>0.35722728652956998</v>
      </c>
    </row>
    <row r="1032" spans="1:13" x14ac:dyDescent="0.25">
      <c r="A1032">
        <v>1724</v>
      </c>
      <c r="B1032" t="str">
        <f>"DLGAP5"</f>
        <v>DLGAP5</v>
      </c>
      <c r="C1032" t="str">
        <f>""</f>
        <v/>
      </c>
      <c r="D1032">
        <v>85.667000000000002</v>
      </c>
      <c r="E1032">
        <v>1.3</v>
      </c>
      <c r="F1032">
        <v>0</v>
      </c>
      <c r="G1032">
        <v>1</v>
      </c>
      <c r="H1032">
        <v>0</v>
      </c>
      <c r="I1032" s="7">
        <v>0</v>
      </c>
      <c r="J1032" s="6">
        <v>0.58121239550609605</v>
      </c>
      <c r="K1032" s="6">
        <v>0</v>
      </c>
      <c r="L1032">
        <v>10000</v>
      </c>
      <c r="M1032">
        <v>0.35722728652956998</v>
      </c>
    </row>
    <row r="1033" spans="1:13" x14ac:dyDescent="0.25">
      <c r="A1033">
        <v>1758</v>
      </c>
      <c r="B1033" t="str">
        <f>"PKN1"</f>
        <v>PKN1</v>
      </c>
      <c r="C1033" t="str">
        <f>"PKN1"</f>
        <v>PKN1</v>
      </c>
      <c r="D1033">
        <v>104.67</v>
      </c>
      <c r="E1033">
        <v>2.7</v>
      </c>
      <c r="F1033">
        <v>0</v>
      </c>
      <c r="G1033">
        <v>1</v>
      </c>
      <c r="H1033">
        <v>0</v>
      </c>
      <c r="I1033" s="7">
        <v>0</v>
      </c>
      <c r="J1033" s="6">
        <v>0.58121239550609605</v>
      </c>
      <c r="K1033" s="6">
        <v>0</v>
      </c>
      <c r="L1033">
        <v>10000</v>
      </c>
      <c r="M1033">
        <v>0.35722728652956998</v>
      </c>
    </row>
    <row r="1034" spans="1:13" x14ac:dyDescent="0.25">
      <c r="A1034">
        <v>1841</v>
      </c>
      <c r="B1034" t="str">
        <f>"DOCK11"</f>
        <v>DOCK11</v>
      </c>
      <c r="C1034" t="str">
        <f>""</f>
        <v/>
      </c>
      <c r="D1034">
        <v>237.67</v>
      </c>
      <c r="E1034">
        <v>0.5</v>
      </c>
      <c r="F1034">
        <v>0</v>
      </c>
      <c r="G1034">
        <v>1</v>
      </c>
      <c r="H1034">
        <v>0</v>
      </c>
      <c r="I1034" s="7">
        <v>0</v>
      </c>
      <c r="J1034" s="6">
        <v>0.58121239550609605</v>
      </c>
      <c r="K1034" s="6">
        <v>0</v>
      </c>
      <c r="L1034">
        <v>10000</v>
      </c>
      <c r="M1034">
        <v>0.35722728652956998</v>
      </c>
    </row>
    <row r="1035" spans="1:13" x14ac:dyDescent="0.25">
      <c r="A1035">
        <v>1842</v>
      </c>
      <c r="B1035" t="str">
        <f>"PRRC2B"</f>
        <v>PRRC2B</v>
      </c>
      <c r="C1035" t="str">
        <f>""</f>
        <v/>
      </c>
      <c r="D1035">
        <v>165.53</v>
      </c>
      <c r="E1035">
        <v>1.8</v>
      </c>
      <c r="F1035">
        <v>0</v>
      </c>
      <c r="G1035">
        <v>1</v>
      </c>
      <c r="H1035">
        <v>0</v>
      </c>
      <c r="I1035" s="7">
        <v>0</v>
      </c>
      <c r="J1035" s="6">
        <v>0.58121239550609605</v>
      </c>
      <c r="K1035" s="6">
        <v>0</v>
      </c>
      <c r="L1035">
        <v>10000</v>
      </c>
      <c r="M1035">
        <v>0.35722728652956998</v>
      </c>
    </row>
    <row r="1036" spans="1:13" x14ac:dyDescent="0.25">
      <c r="A1036">
        <v>1858</v>
      </c>
      <c r="B1036" t="str">
        <f>"C10orf76"</f>
        <v>C10orf76</v>
      </c>
      <c r="C1036" t="str">
        <f>""</f>
        <v/>
      </c>
      <c r="D1036">
        <v>78.709999999999994</v>
      </c>
      <c r="E1036">
        <v>3.6</v>
      </c>
      <c r="F1036">
        <v>0</v>
      </c>
      <c r="G1036">
        <v>1</v>
      </c>
      <c r="H1036">
        <v>0</v>
      </c>
      <c r="I1036" s="7">
        <v>0</v>
      </c>
      <c r="J1036" s="6">
        <v>0.58121239550609605</v>
      </c>
      <c r="K1036" s="6">
        <v>0</v>
      </c>
      <c r="L1036">
        <v>10000</v>
      </c>
      <c r="M1036">
        <v>0.35722728652956998</v>
      </c>
    </row>
    <row r="1037" spans="1:13" x14ac:dyDescent="0.25">
      <c r="A1037">
        <v>1871</v>
      </c>
      <c r="B1037" t="str">
        <f>"CPSF3L"</f>
        <v>CPSF3L</v>
      </c>
      <c r="C1037" t="str">
        <f>""</f>
        <v/>
      </c>
      <c r="D1037">
        <v>56.012</v>
      </c>
      <c r="E1037">
        <v>2.4</v>
      </c>
      <c r="F1037">
        <v>0</v>
      </c>
      <c r="G1037">
        <v>1</v>
      </c>
      <c r="H1037">
        <v>0</v>
      </c>
      <c r="I1037" s="7">
        <v>0</v>
      </c>
      <c r="J1037" s="6">
        <v>0.58121239550609605</v>
      </c>
      <c r="K1037" s="6">
        <v>0</v>
      </c>
      <c r="L1037">
        <v>10000</v>
      </c>
      <c r="M1037">
        <v>0.35722728652956998</v>
      </c>
    </row>
    <row r="1038" spans="1:13" x14ac:dyDescent="0.25">
      <c r="A1038">
        <v>1886</v>
      </c>
      <c r="B1038" t="str">
        <f>"FOCAD"</f>
        <v>FOCAD</v>
      </c>
      <c r="C1038" t="str">
        <f>""</f>
        <v/>
      </c>
      <c r="D1038">
        <v>200.07</v>
      </c>
      <c r="E1038">
        <v>1.5</v>
      </c>
      <c r="F1038">
        <v>0</v>
      </c>
      <c r="G1038">
        <v>1</v>
      </c>
      <c r="H1038">
        <v>0</v>
      </c>
      <c r="I1038" s="7">
        <v>0</v>
      </c>
      <c r="J1038" s="6">
        <v>0.58121239550609605</v>
      </c>
      <c r="K1038" s="6">
        <v>0</v>
      </c>
      <c r="L1038">
        <v>10000</v>
      </c>
      <c r="M1038">
        <v>0.35722728652956998</v>
      </c>
    </row>
    <row r="1039" spans="1:13" x14ac:dyDescent="0.25">
      <c r="A1039">
        <v>1897</v>
      </c>
      <c r="B1039" t="str">
        <f>"GLT8D1"</f>
        <v>GLT8D1</v>
      </c>
      <c r="C1039" t="str">
        <f>""</f>
        <v/>
      </c>
      <c r="D1039">
        <v>41.935000000000002</v>
      </c>
      <c r="E1039">
        <v>8.6</v>
      </c>
      <c r="F1039">
        <v>0</v>
      </c>
      <c r="G1039">
        <v>1</v>
      </c>
      <c r="H1039">
        <v>0</v>
      </c>
      <c r="I1039" s="7">
        <v>0</v>
      </c>
      <c r="J1039" s="6">
        <v>0.58121239550609605</v>
      </c>
      <c r="K1039" s="6">
        <v>0</v>
      </c>
      <c r="L1039">
        <v>10000</v>
      </c>
      <c r="M1039">
        <v>0.35722728652956998</v>
      </c>
    </row>
    <row r="1040" spans="1:13" x14ac:dyDescent="0.25">
      <c r="A1040">
        <v>1946</v>
      </c>
      <c r="B1040" t="str">
        <f>"BRAT1"</f>
        <v>BRAT1</v>
      </c>
      <c r="C1040" t="str">
        <f>""</f>
        <v/>
      </c>
      <c r="D1040">
        <v>31.675999999999998</v>
      </c>
      <c r="E1040">
        <v>4.0999999999999996</v>
      </c>
      <c r="F1040">
        <v>0</v>
      </c>
      <c r="G1040">
        <v>1</v>
      </c>
      <c r="H1040">
        <v>0</v>
      </c>
      <c r="I1040" s="7">
        <v>0</v>
      </c>
      <c r="J1040" s="6">
        <v>0.58121239550609605</v>
      </c>
      <c r="K1040" s="6">
        <v>0</v>
      </c>
      <c r="L1040">
        <v>10000</v>
      </c>
      <c r="M1040">
        <v>0.35722728652956998</v>
      </c>
    </row>
    <row r="1041" spans="1:13" x14ac:dyDescent="0.25">
      <c r="A1041">
        <v>1978</v>
      </c>
      <c r="B1041" t="str">
        <f>"SRCAP"</f>
        <v>SRCAP</v>
      </c>
      <c r="C1041" t="str">
        <f>""</f>
        <v/>
      </c>
      <c r="D1041">
        <v>327.83</v>
      </c>
      <c r="E1041">
        <v>0.6</v>
      </c>
      <c r="F1041">
        <v>0</v>
      </c>
      <c r="G1041">
        <v>1</v>
      </c>
      <c r="H1041">
        <v>0</v>
      </c>
      <c r="I1041" s="7">
        <v>0</v>
      </c>
      <c r="J1041" s="6">
        <v>0.58121239550609605</v>
      </c>
      <c r="K1041" s="6">
        <v>0</v>
      </c>
      <c r="L1041">
        <v>10000</v>
      </c>
      <c r="M1041">
        <v>0.35722728652956998</v>
      </c>
    </row>
    <row r="1042" spans="1:13" x14ac:dyDescent="0.25">
      <c r="A1042">
        <v>2037</v>
      </c>
      <c r="B1042" t="str">
        <f>"TMED4"</f>
        <v>TMED4</v>
      </c>
      <c r="C1042" t="str">
        <f>""</f>
        <v/>
      </c>
      <c r="D1042">
        <v>20.780999999999999</v>
      </c>
      <c r="E1042">
        <v>5.9</v>
      </c>
      <c r="F1042">
        <v>0</v>
      </c>
      <c r="G1042">
        <v>1</v>
      </c>
      <c r="H1042">
        <v>0</v>
      </c>
      <c r="I1042" s="7">
        <v>0</v>
      </c>
      <c r="J1042" s="6">
        <v>0.58121239550609605</v>
      </c>
      <c r="K1042" s="6">
        <v>0</v>
      </c>
      <c r="L1042">
        <v>10000</v>
      </c>
      <c r="M1042">
        <v>0.35722728652956998</v>
      </c>
    </row>
    <row r="1043" spans="1:13" x14ac:dyDescent="0.25">
      <c r="A1043">
        <v>2061</v>
      </c>
      <c r="B1043" t="str">
        <f>"IQGAP3"</f>
        <v>IQGAP3</v>
      </c>
      <c r="C1043" t="str">
        <f>""</f>
        <v/>
      </c>
      <c r="D1043">
        <v>184.7</v>
      </c>
      <c r="E1043">
        <v>0.7</v>
      </c>
      <c r="F1043">
        <v>0</v>
      </c>
      <c r="G1043">
        <v>1</v>
      </c>
      <c r="H1043">
        <v>0</v>
      </c>
      <c r="I1043" s="7">
        <v>0</v>
      </c>
      <c r="J1043" s="6">
        <v>0.58121239550609605</v>
      </c>
      <c r="K1043" s="6">
        <v>0</v>
      </c>
      <c r="L1043">
        <v>10000</v>
      </c>
      <c r="M1043">
        <v>0.35722728652956998</v>
      </c>
    </row>
    <row r="1044" spans="1:13" x14ac:dyDescent="0.25">
      <c r="A1044">
        <v>2082</v>
      </c>
      <c r="B1044" t="str">
        <f>"C2CD5"</f>
        <v>C2CD5</v>
      </c>
      <c r="C1044" t="str">
        <f>""</f>
        <v/>
      </c>
      <c r="D1044">
        <v>110.45</v>
      </c>
      <c r="E1044">
        <v>3.6</v>
      </c>
      <c r="F1044">
        <v>0</v>
      </c>
      <c r="G1044">
        <v>1</v>
      </c>
      <c r="H1044">
        <v>0</v>
      </c>
      <c r="I1044" s="7">
        <v>0</v>
      </c>
      <c r="J1044" s="6">
        <v>0.58121239550609605</v>
      </c>
      <c r="K1044" s="6">
        <v>0</v>
      </c>
      <c r="L1044">
        <v>10000</v>
      </c>
      <c r="M1044">
        <v>0.35722728652956998</v>
      </c>
    </row>
    <row r="1045" spans="1:13" x14ac:dyDescent="0.25">
      <c r="A1045">
        <v>2084</v>
      </c>
      <c r="B1045" t="str">
        <f>"MINA"</f>
        <v>MINA</v>
      </c>
      <c r="C1045" t="str">
        <f>""</f>
        <v/>
      </c>
      <c r="D1045">
        <v>23.908999999999999</v>
      </c>
      <c r="E1045">
        <v>9.5</v>
      </c>
      <c r="F1045">
        <v>0</v>
      </c>
      <c r="G1045">
        <v>1</v>
      </c>
      <c r="H1045">
        <v>0</v>
      </c>
      <c r="I1045" s="7">
        <v>0</v>
      </c>
      <c r="J1045" s="6">
        <v>0.58121239550609605</v>
      </c>
      <c r="K1045" s="6">
        <v>0</v>
      </c>
      <c r="L1045">
        <v>10000</v>
      </c>
      <c r="M1045">
        <v>0.35722728652956998</v>
      </c>
    </row>
    <row r="1046" spans="1:13" x14ac:dyDescent="0.25">
      <c r="A1046">
        <v>2089</v>
      </c>
      <c r="B1046" t="str">
        <f>"MFN1"</f>
        <v>MFN1</v>
      </c>
      <c r="C1046" t="str">
        <f>""</f>
        <v/>
      </c>
      <c r="D1046">
        <v>84.159000000000006</v>
      </c>
      <c r="E1046">
        <v>1.9</v>
      </c>
      <c r="F1046">
        <v>0</v>
      </c>
      <c r="G1046">
        <v>1</v>
      </c>
      <c r="H1046">
        <v>0</v>
      </c>
      <c r="I1046" s="7">
        <v>0</v>
      </c>
      <c r="J1046" s="6">
        <v>0.58121239550609605</v>
      </c>
      <c r="K1046" s="6">
        <v>0</v>
      </c>
      <c r="L1046">
        <v>10000</v>
      </c>
      <c r="M1046">
        <v>0.35722728652956998</v>
      </c>
    </row>
    <row r="1047" spans="1:13" x14ac:dyDescent="0.25">
      <c r="A1047">
        <v>2147</v>
      </c>
      <c r="B1047" t="str">
        <f>"SRBD1"</f>
        <v>SRBD1</v>
      </c>
      <c r="C1047" t="str">
        <f>""</f>
        <v/>
      </c>
      <c r="D1047">
        <v>69.712999999999994</v>
      </c>
      <c r="E1047">
        <v>5.2</v>
      </c>
      <c r="F1047">
        <v>0</v>
      </c>
      <c r="G1047">
        <v>1</v>
      </c>
      <c r="H1047">
        <v>0</v>
      </c>
      <c r="I1047" s="7">
        <v>0</v>
      </c>
      <c r="J1047" s="6">
        <v>0.58121239550609605</v>
      </c>
      <c r="K1047" s="6">
        <v>0</v>
      </c>
      <c r="L1047">
        <v>10000</v>
      </c>
      <c r="M1047">
        <v>0.35722728652956998</v>
      </c>
    </row>
    <row r="1048" spans="1:13" x14ac:dyDescent="0.25">
      <c r="A1048">
        <v>2156</v>
      </c>
      <c r="B1048" t="str">
        <f>"METTL13"</f>
        <v>METTL13</v>
      </c>
      <c r="C1048" t="str">
        <f>""</f>
        <v/>
      </c>
      <c r="D1048">
        <v>44.561999999999998</v>
      </c>
      <c r="E1048">
        <v>3.3</v>
      </c>
      <c r="F1048">
        <v>0</v>
      </c>
      <c r="G1048">
        <v>1</v>
      </c>
      <c r="H1048">
        <v>0</v>
      </c>
      <c r="I1048" s="7">
        <v>0</v>
      </c>
      <c r="J1048" s="6">
        <v>0.58121239550609605</v>
      </c>
      <c r="K1048" s="6">
        <v>0</v>
      </c>
      <c r="L1048">
        <v>10000</v>
      </c>
      <c r="M1048">
        <v>0.35722728652956998</v>
      </c>
    </row>
    <row r="1049" spans="1:13" x14ac:dyDescent="0.25">
      <c r="A1049">
        <v>2219</v>
      </c>
      <c r="B1049" t="str">
        <f>"DDX54"</f>
        <v>DDX54</v>
      </c>
      <c r="C1049" t="str">
        <f>""</f>
        <v/>
      </c>
      <c r="D1049">
        <v>98.593999999999994</v>
      </c>
      <c r="E1049">
        <v>4.2</v>
      </c>
      <c r="F1049">
        <v>0</v>
      </c>
      <c r="G1049">
        <v>1</v>
      </c>
      <c r="H1049">
        <v>0</v>
      </c>
      <c r="I1049" s="7">
        <v>0</v>
      </c>
      <c r="J1049" s="6">
        <v>0.58121239550609605</v>
      </c>
      <c r="K1049" s="6">
        <v>0</v>
      </c>
      <c r="L1049">
        <v>10000</v>
      </c>
      <c r="M1049">
        <v>0.35722728652956998</v>
      </c>
    </row>
    <row r="1050" spans="1:13" x14ac:dyDescent="0.25">
      <c r="A1050">
        <v>2250</v>
      </c>
      <c r="B1050" t="str">
        <f>"CKAP2"</f>
        <v>CKAP2</v>
      </c>
      <c r="C1050" t="str">
        <f>""</f>
        <v/>
      </c>
      <c r="D1050">
        <v>71.194000000000003</v>
      </c>
      <c r="E1050">
        <v>1.7</v>
      </c>
      <c r="F1050">
        <v>0</v>
      </c>
      <c r="G1050">
        <v>1</v>
      </c>
      <c r="H1050">
        <v>0</v>
      </c>
      <c r="I1050" s="7">
        <v>0</v>
      </c>
      <c r="J1050" s="6">
        <v>0.58121239550609605</v>
      </c>
      <c r="K1050" s="6">
        <v>0</v>
      </c>
      <c r="L1050">
        <v>10000</v>
      </c>
      <c r="M1050">
        <v>0.35722728652956998</v>
      </c>
    </row>
    <row r="1051" spans="1:13" x14ac:dyDescent="0.25">
      <c r="A1051">
        <v>2261</v>
      </c>
      <c r="B1051" t="str">
        <f>"DGCR8"</f>
        <v>DGCR8</v>
      </c>
      <c r="C1051" t="str">
        <f>""</f>
        <v/>
      </c>
      <c r="D1051">
        <v>86.043999999999997</v>
      </c>
      <c r="E1051">
        <v>3</v>
      </c>
      <c r="F1051">
        <v>0</v>
      </c>
      <c r="G1051">
        <v>1</v>
      </c>
      <c r="H1051">
        <v>0</v>
      </c>
      <c r="I1051" s="7">
        <v>0</v>
      </c>
      <c r="J1051" s="6">
        <v>0.58121239550609605</v>
      </c>
      <c r="K1051" s="6">
        <v>0</v>
      </c>
      <c r="L1051">
        <v>10000</v>
      </c>
      <c r="M1051">
        <v>0.35722728652956998</v>
      </c>
    </row>
    <row r="1052" spans="1:13" x14ac:dyDescent="0.25">
      <c r="A1052">
        <v>2348</v>
      </c>
      <c r="B1052" t="str">
        <f>"DCPS"</f>
        <v>DCPS</v>
      </c>
      <c r="C1052" t="str">
        <f>""</f>
        <v/>
      </c>
      <c r="D1052">
        <v>38.607999999999997</v>
      </c>
      <c r="E1052">
        <v>3</v>
      </c>
      <c r="F1052">
        <v>0</v>
      </c>
      <c r="G1052">
        <v>1</v>
      </c>
      <c r="H1052">
        <v>0</v>
      </c>
      <c r="I1052" s="7">
        <v>0</v>
      </c>
      <c r="J1052" s="6">
        <v>0.58121239550609605</v>
      </c>
      <c r="K1052" s="6">
        <v>0</v>
      </c>
      <c r="L1052">
        <v>10000</v>
      </c>
      <c r="M1052">
        <v>0.35722728652956998</v>
      </c>
    </row>
    <row r="1053" spans="1:13" x14ac:dyDescent="0.25">
      <c r="A1053">
        <v>2401</v>
      </c>
      <c r="B1053" t="str">
        <f>"PDLIM5"</f>
        <v>PDLIM5</v>
      </c>
      <c r="C1053" t="str">
        <f>""</f>
        <v/>
      </c>
      <c r="D1053">
        <v>63.944000000000003</v>
      </c>
      <c r="E1053">
        <v>2.5</v>
      </c>
      <c r="F1053">
        <v>0</v>
      </c>
      <c r="G1053">
        <v>1</v>
      </c>
      <c r="H1053">
        <v>0</v>
      </c>
      <c r="I1053" s="7">
        <v>0</v>
      </c>
      <c r="J1053" s="6">
        <v>0.58121239550609605</v>
      </c>
      <c r="K1053" s="6">
        <v>0</v>
      </c>
      <c r="L1053">
        <v>10000</v>
      </c>
      <c r="M1053">
        <v>0.35722728652956998</v>
      </c>
    </row>
    <row r="1054" spans="1:13" x14ac:dyDescent="0.25">
      <c r="A1054">
        <v>2403</v>
      </c>
      <c r="B1054" t="str">
        <f>"LUC7L2"</f>
        <v>LUC7L2</v>
      </c>
      <c r="C1054" t="str">
        <f>""</f>
        <v/>
      </c>
      <c r="D1054">
        <v>54.222999999999999</v>
      </c>
      <c r="E1054">
        <v>12.9</v>
      </c>
      <c r="F1054">
        <v>0</v>
      </c>
      <c r="G1054">
        <v>1</v>
      </c>
      <c r="H1054">
        <v>0</v>
      </c>
      <c r="I1054" s="7">
        <v>0</v>
      </c>
      <c r="J1054" s="6">
        <v>0.58121239550609605</v>
      </c>
      <c r="K1054" s="6">
        <v>0</v>
      </c>
      <c r="L1054">
        <v>10000</v>
      </c>
      <c r="M1054">
        <v>0.35722728652956998</v>
      </c>
    </row>
    <row r="1055" spans="1:13" x14ac:dyDescent="0.25">
      <c r="A1055">
        <v>2419</v>
      </c>
      <c r="B1055" t="str">
        <f>"CLPTM1L"</f>
        <v>CLPTM1L</v>
      </c>
      <c r="C1055" t="str">
        <f>""</f>
        <v/>
      </c>
      <c r="D1055">
        <v>58.354999999999997</v>
      </c>
      <c r="E1055">
        <v>2.2000000000000002</v>
      </c>
      <c r="F1055">
        <v>0</v>
      </c>
      <c r="G1055">
        <v>1</v>
      </c>
      <c r="H1055">
        <v>0</v>
      </c>
      <c r="I1055" s="7">
        <v>0</v>
      </c>
      <c r="J1055" s="6">
        <v>0.58121239550609605</v>
      </c>
      <c r="K1055" s="6">
        <v>0</v>
      </c>
      <c r="L1055">
        <v>10000</v>
      </c>
      <c r="M1055">
        <v>0.35722728652956998</v>
      </c>
    </row>
    <row r="1056" spans="1:13" x14ac:dyDescent="0.25">
      <c r="A1056">
        <v>2422</v>
      </c>
      <c r="B1056" t="str">
        <f>"ZFR"</f>
        <v>ZFR</v>
      </c>
      <c r="C1056" t="str">
        <f>""</f>
        <v/>
      </c>
      <c r="D1056">
        <v>117.01</v>
      </c>
      <c r="E1056">
        <v>4.4000000000000004</v>
      </c>
      <c r="F1056">
        <v>0</v>
      </c>
      <c r="G1056">
        <v>1</v>
      </c>
      <c r="H1056">
        <v>0</v>
      </c>
      <c r="I1056" s="7">
        <v>0</v>
      </c>
      <c r="J1056" s="6">
        <v>0.58121239550609605</v>
      </c>
      <c r="K1056" s="6">
        <v>0</v>
      </c>
      <c r="L1056">
        <v>10000</v>
      </c>
      <c r="M1056">
        <v>0.35722728652956998</v>
      </c>
    </row>
    <row r="1057" spans="1:13" x14ac:dyDescent="0.25">
      <c r="A1057">
        <v>2438</v>
      </c>
      <c r="B1057" t="str">
        <f>"ZNF385A"</f>
        <v>ZNF385A</v>
      </c>
      <c r="C1057" t="str">
        <f>""</f>
        <v/>
      </c>
      <c r="D1057">
        <v>30.18</v>
      </c>
      <c r="E1057">
        <v>5.6</v>
      </c>
      <c r="F1057">
        <v>0</v>
      </c>
      <c r="G1057">
        <v>1</v>
      </c>
      <c r="H1057">
        <v>0</v>
      </c>
      <c r="I1057" s="7">
        <v>0</v>
      </c>
      <c r="J1057" s="6">
        <v>0.58121239550609605</v>
      </c>
      <c r="K1057" s="6">
        <v>0</v>
      </c>
      <c r="L1057">
        <v>10000</v>
      </c>
      <c r="M1057">
        <v>0.35722728652956998</v>
      </c>
    </row>
    <row r="1058" spans="1:13" x14ac:dyDescent="0.25">
      <c r="A1058">
        <v>2473</v>
      </c>
      <c r="B1058" t="str">
        <f>"PFDN5"</f>
        <v>PFDN5</v>
      </c>
      <c r="C1058" t="str">
        <f>""</f>
        <v/>
      </c>
      <c r="D1058">
        <v>17.327999999999999</v>
      </c>
      <c r="E1058">
        <v>14.9</v>
      </c>
      <c r="F1058">
        <v>0</v>
      </c>
      <c r="G1058">
        <v>1</v>
      </c>
      <c r="H1058">
        <v>0</v>
      </c>
      <c r="I1058" s="7">
        <v>0</v>
      </c>
      <c r="J1058" s="6">
        <v>0.58121239550609605</v>
      </c>
      <c r="K1058" s="6">
        <v>0</v>
      </c>
      <c r="L1058">
        <v>10000</v>
      </c>
      <c r="M1058">
        <v>0.35722728652956998</v>
      </c>
    </row>
    <row r="1059" spans="1:13" x14ac:dyDescent="0.25">
      <c r="A1059">
        <v>2532</v>
      </c>
      <c r="B1059" t="str">
        <f>"TMEM246"</f>
        <v>TMEM246</v>
      </c>
      <c r="C1059" t="str">
        <f>""</f>
        <v/>
      </c>
      <c r="D1059">
        <v>46.587000000000003</v>
      </c>
      <c r="E1059">
        <v>2.5</v>
      </c>
      <c r="F1059">
        <v>0</v>
      </c>
      <c r="G1059">
        <v>1</v>
      </c>
      <c r="H1059">
        <v>0</v>
      </c>
      <c r="I1059" s="7">
        <v>0</v>
      </c>
      <c r="J1059" s="6">
        <v>0.58121239550609605</v>
      </c>
      <c r="K1059" s="6">
        <v>0</v>
      </c>
      <c r="L1059">
        <v>10000</v>
      </c>
      <c r="M1059">
        <v>0.35722728652956998</v>
      </c>
    </row>
    <row r="1060" spans="1:13" x14ac:dyDescent="0.25">
      <c r="A1060">
        <v>2542</v>
      </c>
      <c r="B1060" t="str">
        <f>"TACO1"</f>
        <v>TACO1</v>
      </c>
      <c r="C1060" t="str">
        <f>""</f>
        <v/>
      </c>
      <c r="D1060">
        <v>32.476999999999997</v>
      </c>
      <c r="E1060">
        <v>3.4</v>
      </c>
      <c r="F1060">
        <v>0</v>
      </c>
      <c r="G1060">
        <v>1</v>
      </c>
      <c r="H1060">
        <v>0</v>
      </c>
      <c r="I1060" s="7">
        <v>0</v>
      </c>
      <c r="J1060" s="6">
        <v>0.58121239550609605</v>
      </c>
      <c r="K1060" s="6">
        <v>0</v>
      </c>
      <c r="L1060">
        <v>10000</v>
      </c>
      <c r="M1060">
        <v>0.35722728652956998</v>
      </c>
    </row>
    <row r="1061" spans="1:13" x14ac:dyDescent="0.25">
      <c r="A1061">
        <v>2565</v>
      </c>
      <c r="B1061" t="str">
        <f>"EMC6"</f>
        <v>EMC6</v>
      </c>
      <c r="C1061" t="str">
        <f>""</f>
        <v/>
      </c>
      <c r="D1061">
        <v>12.016999999999999</v>
      </c>
      <c r="E1061">
        <v>9.1</v>
      </c>
      <c r="F1061">
        <v>0</v>
      </c>
      <c r="G1061">
        <v>1</v>
      </c>
      <c r="H1061">
        <v>0</v>
      </c>
      <c r="I1061" s="7">
        <v>0</v>
      </c>
      <c r="J1061" s="6">
        <v>0.58121239550609605</v>
      </c>
      <c r="K1061" s="6">
        <v>0</v>
      </c>
      <c r="L1061">
        <v>10000</v>
      </c>
      <c r="M1061">
        <v>0.35722728652956998</v>
      </c>
    </row>
    <row r="1062" spans="1:13" x14ac:dyDescent="0.25">
      <c r="A1062">
        <v>2575</v>
      </c>
      <c r="B1062" t="str">
        <f>"IFT27"</f>
        <v>IFT27</v>
      </c>
      <c r="C1062" t="str">
        <f>""</f>
        <v/>
      </c>
      <c r="D1062">
        <v>20.48</v>
      </c>
      <c r="E1062">
        <v>5.9</v>
      </c>
      <c r="F1062">
        <v>0</v>
      </c>
      <c r="G1062">
        <v>1</v>
      </c>
      <c r="H1062">
        <v>0</v>
      </c>
      <c r="I1062" s="7">
        <v>0</v>
      </c>
      <c r="J1062" s="6">
        <v>0.58121239550609605</v>
      </c>
      <c r="K1062" s="6">
        <v>0</v>
      </c>
      <c r="L1062">
        <v>10000</v>
      </c>
      <c r="M1062">
        <v>0.35722728652956998</v>
      </c>
    </row>
    <row r="1063" spans="1:13" x14ac:dyDescent="0.25">
      <c r="A1063">
        <v>2576</v>
      </c>
      <c r="B1063" t="str">
        <f>"NUDT9"</f>
        <v>NUDT9</v>
      </c>
      <c r="C1063" t="str">
        <f>""</f>
        <v/>
      </c>
      <c r="D1063">
        <v>33.774999999999999</v>
      </c>
      <c r="E1063">
        <v>3.3</v>
      </c>
      <c r="F1063">
        <v>0</v>
      </c>
      <c r="G1063">
        <v>1</v>
      </c>
      <c r="H1063">
        <v>0</v>
      </c>
      <c r="I1063" s="7">
        <v>0</v>
      </c>
      <c r="J1063" s="6">
        <v>0.58121239550609605</v>
      </c>
      <c r="K1063" s="6">
        <v>0</v>
      </c>
      <c r="L1063">
        <v>10000</v>
      </c>
      <c r="M1063">
        <v>0.35722728652956998</v>
      </c>
    </row>
    <row r="1064" spans="1:13" x14ac:dyDescent="0.25">
      <c r="A1064">
        <v>2584</v>
      </c>
      <c r="B1064" t="str">
        <f>"SLC4A1AP"</f>
        <v>SLC4A1AP</v>
      </c>
      <c r="C1064" t="str">
        <f>""</f>
        <v/>
      </c>
      <c r="D1064">
        <v>88.813000000000002</v>
      </c>
      <c r="E1064">
        <v>1.1000000000000001</v>
      </c>
      <c r="F1064">
        <v>0</v>
      </c>
      <c r="G1064">
        <v>1</v>
      </c>
      <c r="H1064">
        <v>0</v>
      </c>
      <c r="I1064" s="7">
        <v>0</v>
      </c>
      <c r="J1064" s="6">
        <v>0.58121239550609605</v>
      </c>
      <c r="K1064" s="6">
        <v>0</v>
      </c>
      <c r="L1064">
        <v>10000</v>
      </c>
      <c r="M1064">
        <v>0.35722728652956998</v>
      </c>
    </row>
    <row r="1065" spans="1:13" x14ac:dyDescent="0.25">
      <c r="A1065">
        <v>2585</v>
      </c>
      <c r="B1065" t="str">
        <f>"SYCP2"</f>
        <v>SYCP2</v>
      </c>
      <c r="C1065" t="str">
        <f>""</f>
        <v/>
      </c>
      <c r="D1065">
        <v>175.64</v>
      </c>
      <c r="E1065">
        <v>0.8</v>
      </c>
      <c r="F1065">
        <v>0</v>
      </c>
      <c r="G1065">
        <v>1</v>
      </c>
      <c r="H1065">
        <v>0</v>
      </c>
      <c r="I1065" s="7">
        <v>0</v>
      </c>
      <c r="J1065" s="6">
        <v>0.58121239550609605</v>
      </c>
      <c r="K1065" s="6">
        <v>0</v>
      </c>
      <c r="L1065">
        <v>10000</v>
      </c>
      <c r="M1065">
        <v>0.35722728652956998</v>
      </c>
    </row>
    <row r="1066" spans="1:13" x14ac:dyDescent="0.25">
      <c r="A1066">
        <v>2629</v>
      </c>
      <c r="B1066" t="str">
        <f>"SENP6"</f>
        <v>SENP6</v>
      </c>
      <c r="C1066" t="str">
        <f>""</f>
        <v/>
      </c>
      <c r="D1066">
        <v>125.33</v>
      </c>
      <c r="E1066">
        <v>1</v>
      </c>
      <c r="F1066">
        <v>0</v>
      </c>
      <c r="G1066">
        <v>1</v>
      </c>
      <c r="H1066">
        <v>0</v>
      </c>
      <c r="I1066" s="7">
        <v>0</v>
      </c>
      <c r="J1066" s="6">
        <v>0.58121239550609605</v>
      </c>
      <c r="K1066" s="6">
        <v>0</v>
      </c>
      <c r="L1066">
        <v>10000</v>
      </c>
      <c r="M1066">
        <v>0.35722728652956998</v>
      </c>
    </row>
    <row r="1067" spans="1:13" x14ac:dyDescent="0.25">
      <c r="A1067">
        <v>2651</v>
      </c>
      <c r="B1067" t="str">
        <f>"SMG9"</f>
        <v>SMG9</v>
      </c>
      <c r="C1067" t="str">
        <f>""</f>
        <v/>
      </c>
      <c r="D1067">
        <v>54.786999999999999</v>
      </c>
      <c r="E1067">
        <v>6.7</v>
      </c>
      <c r="F1067">
        <v>0</v>
      </c>
      <c r="G1067">
        <v>1</v>
      </c>
      <c r="H1067">
        <v>0</v>
      </c>
      <c r="I1067" s="7">
        <v>0</v>
      </c>
      <c r="J1067" s="6">
        <v>0.58121239550609605</v>
      </c>
      <c r="K1067" s="6">
        <v>0</v>
      </c>
      <c r="L1067">
        <v>10000</v>
      </c>
      <c r="M1067">
        <v>0.35722728652956998</v>
      </c>
    </row>
    <row r="1068" spans="1:13" x14ac:dyDescent="0.25">
      <c r="A1068">
        <v>2679</v>
      </c>
      <c r="B1068" t="str">
        <f>"OSBPL3"</f>
        <v>OSBPL3</v>
      </c>
      <c r="C1068" t="str">
        <f>""</f>
        <v/>
      </c>
      <c r="D1068">
        <v>68.673000000000002</v>
      </c>
      <c r="E1068">
        <v>4.3</v>
      </c>
      <c r="F1068">
        <v>0</v>
      </c>
      <c r="G1068">
        <v>1</v>
      </c>
      <c r="H1068">
        <v>0</v>
      </c>
      <c r="I1068" s="7">
        <v>0</v>
      </c>
      <c r="J1068" s="6">
        <v>0.58121239550609605</v>
      </c>
      <c r="K1068" s="6">
        <v>0</v>
      </c>
      <c r="L1068">
        <v>10000</v>
      </c>
      <c r="M1068">
        <v>0.35722728652956998</v>
      </c>
    </row>
    <row r="1069" spans="1:13" x14ac:dyDescent="0.25">
      <c r="A1069">
        <v>2685</v>
      </c>
      <c r="B1069" t="str">
        <f>"FAM96A"</f>
        <v>FAM96A</v>
      </c>
      <c r="C1069" t="str">
        <f>""</f>
        <v/>
      </c>
      <c r="D1069">
        <v>18.355</v>
      </c>
      <c r="E1069">
        <v>6.9</v>
      </c>
      <c r="F1069">
        <v>0</v>
      </c>
      <c r="G1069">
        <v>1</v>
      </c>
      <c r="H1069">
        <v>0</v>
      </c>
      <c r="I1069" s="7">
        <v>0</v>
      </c>
      <c r="J1069" s="6">
        <v>0.58121239550609605</v>
      </c>
      <c r="K1069" s="6">
        <v>0</v>
      </c>
      <c r="L1069">
        <v>10000</v>
      </c>
      <c r="M1069">
        <v>0.35722728652956998</v>
      </c>
    </row>
    <row r="1070" spans="1:13" x14ac:dyDescent="0.25">
      <c r="A1070">
        <v>2695</v>
      </c>
      <c r="B1070" t="str">
        <f>"PEAK1"</f>
        <v>PEAK1</v>
      </c>
      <c r="C1070" t="str">
        <f>"PEAK1"</f>
        <v>PEAK1</v>
      </c>
      <c r="D1070">
        <v>193.1</v>
      </c>
      <c r="E1070">
        <v>0.7</v>
      </c>
      <c r="F1070">
        <v>0</v>
      </c>
      <c r="G1070">
        <v>1</v>
      </c>
      <c r="H1070">
        <v>0</v>
      </c>
      <c r="I1070" s="7">
        <v>0</v>
      </c>
      <c r="J1070" s="6">
        <v>0.58121239550609605</v>
      </c>
      <c r="K1070" s="6">
        <v>0</v>
      </c>
      <c r="L1070">
        <v>10000</v>
      </c>
      <c r="M1070">
        <v>0.35722728652956998</v>
      </c>
    </row>
    <row r="1071" spans="1:13" x14ac:dyDescent="0.25">
      <c r="A1071">
        <v>2700</v>
      </c>
      <c r="B1071" t="str">
        <f>"C8orf33"</f>
        <v>C8orf33</v>
      </c>
      <c r="C1071" t="str">
        <f>""</f>
        <v/>
      </c>
      <c r="D1071">
        <v>24.992000000000001</v>
      </c>
      <c r="E1071">
        <v>4.8</v>
      </c>
      <c r="F1071">
        <v>0</v>
      </c>
      <c r="G1071">
        <v>1</v>
      </c>
      <c r="H1071">
        <v>0</v>
      </c>
      <c r="I1071" s="7">
        <v>0</v>
      </c>
      <c r="J1071" s="6">
        <v>0.58121239550609605</v>
      </c>
      <c r="K1071" s="6">
        <v>0</v>
      </c>
      <c r="L1071">
        <v>10000</v>
      </c>
      <c r="M1071">
        <v>0.35722728652956998</v>
      </c>
    </row>
    <row r="1072" spans="1:13" x14ac:dyDescent="0.25">
      <c r="A1072">
        <v>2720</v>
      </c>
      <c r="B1072" t="str">
        <f>"L2HGDH"</f>
        <v>L2HGDH</v>
      </c>
      <c r="C1072" t="str">
        <f>""</f>
        <v/>
      </c>
      <c r="D1072">
        <v>48.505000000000003</v>
      </c>
      <c r="E1072">
        <v>2.7</v>
      </c>
      <c r="F1072">
        <v>0</v>
      </c>
      <c r="G1072">
        <v>1</v>
      </c>
      <c r="H1072">
        <v>0</v>
      </c>
      <c r="I1072" s="7">
        <v>0</v>
      </c>
      <c r="J1072" s="6">
        <v>0.58121239550609605</v>
      </c>
      <c r="K1072" s="6">
        <v>0</v>
      </c>
      <c r="L1072">
        <v>10000</v>
      </c>
      <c r="M1072">
        <v>0.35722728652956998</v>
      </c>
    </row>
    <row r="1073" spans="1:13" x14ac:dyDescent="0.25">
      <c r="A1073">
        <v>2725</v>
      </c>
      <c r="B1073" t="str">
        <f>"C17orf75"</f>
        <v>C17orf75</v>
      </c>
      <c r="C1073" t="str">
        <f>""</f>
        <v/>
      </c>
      <c r="D1073">
        <v>44.621000000000002</v>
      </c>
      <c r="E1073">
        <v>3</v>
      </c>
      <c r="F1073">
        <v>0</v>
      </c>
      <c r="G1073">
        <v>1</v>
      </c>
      <c r="H1073">
        <v>0</v>
      </c>
      <c r="I1073" s="7">
        <v>0</v>
      </c>
      <c r="J1073" s="6">
        <v>0.58121239550609605</v>
      </c>
      <c r="K1073" s="6">
        <v>0</v>
      </c>
      <c r="L1073">
        <v>10000</v>
      </c>
      <c r="M1073">
        <v>0.35722728652956998</v>
      </c>
    </row>
    <row r="1074" spans="1:13" x14ac:dyDescent="0.25">
      <c r="A1074">
        <v>2766</v>
      </c>
      <c r="B1074" t="str">
        <f>"PFDN4"</f>
        <v>PFDN4</v>
      </c>
      <c r="C1074" t="str">
        <f>""</f>
        <v/>
      </c>
      <c r="D1074">
        <v>15.314</v>
      </c>
      <c r="E1074">
        <v>11.2</v>
      </c>
      <c r="F1074">
        <v>0</v>
      </c>
      <c r="G1074">
        <v>1</v>
      </c>
      <c r="H1074">
        <v>0</v>
      </c>
      <c r="I1074" s="7">
        <v>0</v>
      </c>
      <c r="J1074" s="6">
        <v>0.58121239550609605</v>
      </c>
      <c r="K1074" s="6">
        <v>0</v>
      </c>
      <c r="L1074">
        <v>10000</v>
      </c>
      <c r="M1074">
        <v>0.35722728652956998</v>
      </c>
    </row>
    <row r="1075" spans="1:13" x14ac:dyDescent="0.25">
      <c r="A1075">
        <v>2773</v>
      </c>
      <c r="B1075" t="str">
        <f>"BIRC6"</f>
        <v>BIRC6</v>
      </c>
      <c r="C1075" t="str">
        <f>""</f>
        <v/>
      </c>
      <c r="D1075">
        <v>530.25</v>
      </c>
      <c r="E1075">
        <v>0.6</v>
      </c>
      <c r="F1075">
        <v>0</v>
      </c>
      <c r="G1075">
        <v>1</v>
      </c>
      <c r="H1075">
        <v>0</v>
      </c>
      <c r="I1075" s="7">
        <v>0</v>
      </c>
      <c r="J1075" s="6">
        <v>0.58121239550609605</v>
      </c>
      <c r="K1075" s="6">
        <v>0</v>
      </c>
      <c r="L1075">
        <v>10000</v>
      </c>
      <c r="M1075">
        <v>0.35722728652956998</v>
      </c>
    </row>
    <row r="1076" spans="1:13" x14ac:dyDescent="0.25">
      <c r="A1076">
        <v>2777</v>
      </c>
      <c r="B1076" t="str">
        <f>"POLE4"</f>
        <v>POLE4</v>
      </c>
      <c r="C1076" t="str">
        <f>""</f>
        <v/>
      </c>
      <c r="D1076">
        <v>12.209</v>
      </c>
      <c r="E1076">
        <v>10.3</v>
      </c>
      <c r="F1076">
        <v>0</v>
      </c>
      <c r="G1076">
        <v>1</v>
      </c>
      <c r="H1076">
        <v>0</v>
      </c>
      <c r="I1076" s="7">
        <v>0</v>
      </c>
      <c r="J1076" s="6">
        <v>0.58121239550609605</v>
      </c>
      <c r="K1076" s="6">
        <v>0</v>
      </c>
      <c r="L1076">
        <v>10000</v>
      </c>
      <c r="M1076">
        <v>0.35722728652956998</v>
      </c>
    </row>
    <row r="1077" spans="1:13" x14ac:dyDescent="0.25">
      <c r="A1077">
        <v>2890</v>
      </c>
      <c r="B1077" t="str">
        <f>"TMEM9"</f>
        <v>TMEM9</v>
      </c>
      <c r="C1077" t="str">
        <f>""</f>
        <v/>
      </c>
      <c r="D1077">
        <v>20.574000000000002</v>
      </c>
      <c r="E1077">
        <v>7.1</v>
      </c>
      <c r="F1077">
        <v>0</v>
      </c>
      <c r="G1077">
        <v>1</v>
      </c>
      <c r="H1077">
        <v>0</v>
      </c>
      <c r="I1077" s="7">
        <v>0</v>
      </c>
      <c r="J1077" s="6">
        <v>0.58121239550609605</v>
      </c>
      <c r="K1077" s="6">
        <v>0</v>
      </c>
      <c r="L1077">
        <v>10000</v>
      </c>
      <c r="M1077">
        <v>0.35722728652956998</v>
      </c>
    </row>
    <row r="1078" spans="1:13" x14ac:dyDescent="0.25">
      <c r="A1078">
        <v>2891</v>
      </c>
      <c r="B1078" t="str">
        <f>"CXXC1"</f>
        <v>CXXC1</v>
      </c>
      <c r="C1078" t="str">
        <f>""</f>
        <v/>
      </c>
      <c r="D1078">
        <v>75.710999999999999</v>
      </c>
      <c r="E1078">
        <v>4</v>
      </c>
      <c r="F1078">
        <v>0</v>
      </c>
      <c r="G1078">
        <v>1</v>
      </c>
      <c r="H1078">
        <v>0</v>
      </c>
      <c r="I1078" s="7">
        <v>0</v>
      </c>
      <c r="J1078" s="6">
        <v>0.58121239550609605</v>
      </c>
      <c r="K1078" s="6">
        <v>0</v>
      </c>
      <c r="L1078">
        <v>10000</v>
      </c>
      <c r="M1078">
        <v>0.35722728652956998</v>
      </c>
    </row>
    <row r="1079" spans="1:13" x14ac:dyDescent="0.25">
      <c r="A1079">
        <v>2931</v>
      </c>
      <c r="B1079" t="str">
        <f>"VTI1B"</f>
        <v>VTI1B</v>
      </c>
      <c r="C1079" t="str">
        <f>""</f>
        <v/>
      </c>
      <c r="D1079">
        <v>19.809999999999999</v>
      </c>
      <c r="E1079">
        <v>7</v>
      </c>
      <c r="F1079">
        <v>0</v>
      </c>
      <c r="G1079">
        <v>1</v>
      </c>
      <c r="H1079">
        <v>0</v>
      </c>
      <c r="I1079" s="7">
        <v>0</v>
      </c>
      <c r="J1079" s="6">
        <v>0.58121239550609605</v>
      </c>
      <c r="K1079" s="6">
        <v>0</v>
      </c>
      <c r="L1079">
        <v>10000</v>
      </c>
      <c r="M1079">
        <v>0.35722728652956998</v>
      </c>
    </row>
    <row r="1080" spans="1:13" x14ac:dyDescent="0.25">
      <c r="A1080">
        <v>2939</v>
      </c>
      <c r="B1080" t="str">
        <f>"ZC3H7B"</f>
        <v>ZC3H7B</v>
      </c>
      <c r="C1080" t="str">
        <f>""</f>
        <v/>
      </c>
      <c r="D1080">
        <v>109.86</v>
      </c>
      <c r="E1080">
        <v>2.2999999999999998</v>
      </c>
      <c r="F1080">
        <v>0</v>
      </c>
      <c r="G1080">
        <v>1</v>
      </c>
      <c r="H1080">
        <v>0</v>
      </c>
      <c r="I1080" s="7">
        <v>0</v>
      </c>
      <c r="J1080" s="6">
        <v>0.58121239550609605</v>
      </c>
      <c r="K1080" s="6">
        <v>0</v>
      </c>
      <c r="L1080">
        <v>10000</v>
      </c>
      <c r="M1080">
        <v>0.35722728652956998</v>
      </c>
    </row>
    <row r="1081" spans="1:13" x14ac:dyDescent="0.25">
      <c r="A1081">
        <v>2948</v>
      </c>
      <c r="B1081" t="str">
        <f>"UBQLN2;UBQLN1"</f>
        <v>UBQLN2;UBQLN1</v>
      </c>
      <c r="C1081" t="str">
        <f>""</f>
        <v/>
      </c>
      <c r="D1081">
        <v>65.694999999999993</v>
      </c>
      <c r="E1081">
        <v>5.0999999999999996</v>
      </c>
      <c r="F1081">
        <v>0</v>
      </c>
      <c r="G1081">
        <v>1</v>
      </c>
      <c r="H1081">
        <v>0</v>
      </c>
      <c r="I1081" s="7">
        <v>0</v>
      </c>
      <c r="J1081" s="6">
        <v>0.58121239550609605</v>
      </c>
      <c r="K1081" s="6">
        <v>0</v>
      </c>
      <c r="L1081">
        <v>10000</v>
      </c>
      <c r="M1081">
        <v>0.35722728652956998</v>
      </c>
    </row>
    <row r="1082" spans="1:13" x14ac:dyDescent="0.25">
      <c r="A1082">
        <v>2958</v>
      </c>
      <c r="B1082" t="str">
        <f>"IPO11"</f>
        <v>IPO11</v>
      </c>
      <c r="C1082" t="str">
        <f>""</f>
        <v/>
      </c>
      <c r="D1082">
        <v>112.53</v>
      </c>
      <c r="E1082">
        <v>0.9</v>
      </c>
      <c r="F1082">
        <v>0</v>
      </c>
      <c r="G1082">
        <v>1</v>
      </c>
      <c r="H1082">
        <v>0</v>
      </c>
      <c r="I1082" s="7">
        <v>0</v>
      </c>
      <c r="J1082" s="6">
        <v>0.58121239550609605</v>
      </c>
      <c r="K1082" s="6">
        <v>0</v>
      </c>
      <c r="L1082">
        <v>10000</v>
      </c>
      <c r="M1082">
        <v>0.35722728652956998</v>
      </c>
    </row>
    <row r="1083" spans="1:13" x14ac:dyDescent="0.25">
      <c r="A1083">
        <v>2985</v>
      </c>
      <c r="B1083" t="str">
        <f>"CNOT11"</f>
        <v>CNOT11</v>
      </c>
      <c r="C1083" t="str">
        <f>""</f>
        <v/>
      </c>
      <c r="D1083">
        <v>55.215000000000003</v>
      </c>
      <c r="E1083">
        <v>2.2000000000000002</v>
      </c>
      <c r="F1083">
        <v>0</v>
      </c>
      <c r="G1083">
        <v>1</v>
      </c>
      <c r="H1083">
        <v>0</v>
      </c>
      <c r="I1083" s="7">
        <v>0</v>
      </c>
      <c r="J1083" s="6">
        <v>0.58121239550609605</v>
      </c>
      <c r="K1083" s="6">
        <v>0</v>
      </c>
      <c r="L1083">
        <v>10000</v>
      </c>
      <c r="M1083">
        <v>0.35722728652956998</v>
      </c>
    </row>
    <row r="1084" spans="1:13" x14ac:dyDescent="0.25">
      <c r="A1084">
        <v>3064</v>
      </c>
      <c r="B1084" t="str">
        <f>"DDX52"</f>
        <v>DDX52</v>
      </c>
      <c r="C1084" t="str">
        <f>""</f>
        <v/>
      </c>
      <c r="D1084">
        <v>67.497</v>
      </c>
      <c r="E1084">
        <v>4.3</v>
      </c>
      <c r="F1084">
        <v>0</v>
      </c>
      <c r="G1084">
        <v>1</v>
      </c>
      <c r="H1084">
        <v>0</v>
      </c>
      <c r="I1084" s="7">
        <v>0</v>
      </c>
      <c r="J1084" s="6">
        <v>0.58121239550609605</v>
      </c>
      <c r="K1084" s="6">
        <v>0</v>
      </c>
      <c r="L1084">
        <v>10000</v>
      </c>
      <c r="M1084">
        <v>0.35722728652956998</v>
      </c>
    </row>
    <row r="1085" spans="1:13" x14ac:dyDescent="0.25">
      <c r="A1085">
        <v>3113</v>
      </c>
      <c r="B1085" t="str">
        <f>"TRAF6"</f>
        <v>TRAF6</v>
      </c>
      <c r="C1085" t="str">
        <f>""</f>
        <v/>
      </c>
      <c r="D1085">
        <v>59.573</v>
      </c>
      <c r="E1085">
        <v>4.2</v>
      </c>
      <c r="F1085">
        <v>0</v>
      </c>
      <c r="G1085">
        <v>1</v>
      </c>
      <c r="H1085">
        <v>0</v>
      </c>
      <c r="I1085" s="7">
        <v>0</v>
      </c>
      <c r="J1085" s="6">
        <v>0.58121239550609605</v>
      </c>
      <c r="K1085" s="6">
        <v>0</v>
      </c>
      <c r="L1085">
        <v>10000</v>
      </c>
      <c r="M1085">
        <v>0.35722728652956998</v>
      </c>
    </row>
    <row r="1086" spans="1:13" x14ac:dyDescent="0.25">
      <c r="A1086">
        <v>3116</v>
      </c>
      <c r="B1086" t="str">
        <f>"MMACHC"</f>
        <v>MMACHC</v>
      </c>
      <c r="C1086" t="str">
        <f>""</f>
        <v/>
      </c>
      <c r="D1086">
        <v>31.728000000000002</v>
      </c>
      <c r="E1086">
        <v>6.4</v>
      </c>
      <c r="F1086">
        <v>0</v>
      </c>
      <c r="G1086">
        <v>1</v>
      </c>
      <c r="H1086">
        <v>0</v>
      </c>
      <c r="I1086" s="7">
        <v>0</v>
      </c>
      <c r="J1086" s="6">
        <v>0.58121239550609605</v>
      </c>
      <c r="K1086" s="6">
        <v>0</v>
      </c>
      <c r="L1086">
        <v>10000</v>
      </c>
      <c r="M1086">
        <v>0.35722728652956998</v>
      </c>
    </row>
    <row r="1087" spans="1:13" x14ac:dyDescent="0.25">
      <c r="A1087">
        <v>3122</v>
      </c>
      <c r="B1087" t="str">
        <f>"OARD1"</f>
        <v>OARD1</v>
      </c>
      <c r="C1087" t="str">
        <f>""</f>
        <v/>
      </c>
      <c r="D1087">
        <v>17.024999999999999</v>
      </c>
      <c r="E1087">
        <v>7.9</v>
      </c>
      <c r="F1087">
        <v>0</v>
      </c>
      <c r="G1087">
        <v>1</v>
      </c>
      <c r="H1087">
        <v>0</v>
      </c>
      <c r="I1087" s="7">
        <v>0</v>
      </c>
      <c r="J1087" s="6">
        <v>0.58121239550609605</v>
      </c>
      <c r="K1087" s="6">
        <v>0</v>
      </c>
      <c r="L1087">
        <v>10000</v>
      </c>
      <c r="M1087">
        <v>0.35722728652956998</v>
      </c>
    </row>
    <row r="1088" spans="1:13" x14ac:dyDescent="0.25">
      <c r="A1088">
        <v>3135</v>
      </c>
      <c r="B1088" t="str">
        <f>"USP16"</f>
        <v>USP16</v>
      </c>
      <c r="C1088" t="str">
        <f>""</f>
        <v/>
      </c>
      <c r="D1088">
        <v>58.396000000000001</v>
      </c>
      <c r="E1088">
        <v>3.7</v>
      </c>
      <c r="F1088">
        <v>0</v>
      </c>
      <c r="G1088">
        <v>1</v>
      </c>
      <c r="H1088">
        <v>0</v>
      </c>
      <c r="I1088" s="7">
        <v>0</v>
      </c>
      <c r="J1088" s="6">
        <v>0.58121239550609605</v>
      </c>
      <c r="K1088" s="6">
        <v>0</v>
      </c>
      <c r="L1088">
        <v>10000</v>
      </c>
      <c r="M1088">
        <v>0.35722728652956998</v>
      </c>
    </row>
    <row r="1089" spans="1:13" x14ac:dyDescent="0.25">
      <c r="A1089">
        <v>3151</v>
      </c>
      <c r="B1089" t="str">
        <f>"STK24"</f>
        <v>STK24</v>
      </c>
      <c r="C1089" t="str">
        <f>"STK24"</f>
        <v>STK24</v>
      </c>
      <c r="D1089">
        <v>47.912999999999997</v>
      </c>
      <c r="E1089">
        <v>3.5</v>
      </c>
      <c r="F1089">
        <v>0</v>
      </c>
      <c r="G1089">
        <v>1</v>
      </c>
      <c r="H1089">
        <v>0</v>
      </c>
      <c r="I1089" s="7">
        <v>0</v>
      </c>
      <c r="J1089" s="6">
        <v>0.58121239550609605</v>
      </c>
      <c r="K1089" s="6">
        <v>0</v>
      </c>
      <c r="L1089">
        <v>10000</v>
      </c>
      <c r="M1089">
        <v>0.35722728652956998</v>
      </c>
    </row>
    <row r="1090" spans="1:13" x14ac:dyDescent="0.25">
      <c r="A1090">
        <v>1997</v>
      </c>
      <c r="B1090" t="str">
        <f>"SND1"</f>
        <v>SND1</v>
      </c>
      <c r="C1090" t="str">
        <f>""</f>
        <v/>
      </c>
      <c r="D1090">
        <v>102</v>
      </c>
      <c r="E1090">
        <v>10</v>
      </c>
      <c r="F1090">
        <v>5</v>
      </c>
      <c r="G1090">
        <v>7</v>
      </c>
      <c r="H1090">
        <v>8</v>
      </c>
      <c r="I1090" s="7">
        <v>2.80415906697151</v>
      </c>
      <c r="J1090" s="6">
        <v>4.0684867685426802</v>
      </c>
      <c r="K1090" s="6">
        <v>4.8278416629809797</v>
      </c>
      <c r="L1090">
        <v>1.58627385591426</v>
      </c>
      <c r="M1090">
        <v>0.35865378928837299</v>
      </c>
    </row>
    <row r="1091" spans="1:13" x14ac:dyDescent="0.25">
      <c r="A1091">
        <v>2076</v>
      </c>
      <c r="B1091" t="str">
        <f>"DDX42"</f>
        <v>DDX42</v>
      </c>
      <c r="C1091" t="str">
        <f>""</f>
        <v/>
      </c>
      <c r="D1091">
        <v>90.066999999999993</v>
      </c>
      <c r="E1091">
        <v>10</v>
      </c>
      <c r="F1091">
        <v>5</v>
      </c>
      <c r="G1091">
        <v>7</v>
      </c>
      <c r="H1091">
        <v>8</v>
      </c>
      <c r="I1091" s="7">
        <v>2.80415906697151</v>
      </c>
      <c r="J1091" s="6">
        <v>4.0684867685426802</v>
      </c>
      <c r="K1091" s="6">
        <v>4.8278416629809797</v>
      </c>
      <c r="L1091">
        <v>1.58627385591426</v>
      </c>
      <c r="M1091">
        <v>0.35865378928837299</v>
      </c>
    </row>
    <row r="1092" spans="1:13" x14ac:dyDescent="0.25">
      <c r="A1092">
        <v>1683</v>
      </c>
      <c r="B1092" t="str">
        <f>"NCAPH"</f>
        <v>NCAPH</v>
      </c>
      <c r="C1092" t="str">
        <f>""</f>
        <v/>
      </c>
      <c r="D1092">
        <v>82.561999999999998</v>
      </c>
      <c r="E1092">
        <v>12.8</v>
      </c>
      <c r="F1092">
        <v>5</v>
      </c>
      <c r="G1092">
        <v>7</v>
      </c>
      <c r="H1092">
        <v>8</v>
      </c>
      <c r="I1092" s="7">
        <v>2.80415906697151</v>
      </c>
      <c r="J1092" s="6">
        <v>4.0684867685426802</v>
      </c>
      <c r="K1092" s="6">
        <v>4.8278416629809797</v>
      </c>
      <c r="L1092">
        <v>1.58627385591426</v>
      </c>
      <c r="M1092">
        <v>0.35865378928837299</v>
      </c>
    </row>
    <row r="1093" spans="1:13" x14ac:dyDescent="0.25">
      <c r="A1093">
        <v>832</v>
      </c>
      <c r="B1093" t="str">
        <f>"DNMT1"</f>
        <v>DNMT1</v>
      </c>
      <c r="C1093" t="str">
        <f>""</f>
        <v/>
      </c>
      <c r="D1093">
        <v>184.82</v>
      </c>
      <c r="E1093">
        <v>6.7</v>
      </c>
      <c r="F1093">
        <v>5</v>
      </c>
      <c r="G1093">
        <v>10</v>
      </c>
      <c r="H1093">
        <v>5</v>
      </c>
      <c r="I1093" s="7">
        <v>2.80415906697151</v>
      </c>
      <c r="J1093" s="6">
        <v>5.8121239550609696</v>
      </c>
      <c r="K1093" s="6">
        <v>3.0174010393631101</v>
      </c>
      <c r="L1093">
        <v>1.57436236382267</v>
      </c>
      <c r="M1093">
        <v>0.35934146467490602</v>
      </c>
    </row>
    <row r="1094" spans="1:13" x14ac:dyDescent="0.25">
      <c r="A1094">
        <v>556</v>
      </c>
      <c r="B1094" t="str">
        <f>"GPI"</f>
        <v>GPI</v>
      </c>
      <c r="C1094" t="str">
        <f>""</f>
        <v/>
      </c>
      <c r="D1094">
        <v>63.146000000000001</v>
      </c>
      <c r="E1094">
        <v>10.8</v>
      </c>
      <c r="F1094">
        <v>12</v>
      </c>
      <c r="G1094">
        <v>9</v>
      </c>
      <c r="H1094">
        <v>7</v>
      </c>
      <c r="I1094" s="7">
        <v>6.7299817607316301</v>
      </c>
      <c r="J1094" s="6">
        <v>5.2309115595548699</v>
      </c>
      <c r="K1094" s="6">
        <v>4.2243614551083599</v>
      </c>
      <c r="L1094">
        <v>-1.4235404414647299</v>
      </c>
      <c r="M1094">
        <v>0.36537564604589301</v>
      </c>
    </row>
    <row r="1095" spans="1:13" x14ac:dyDescent="0.25">
      <c r="A1095">
        <v>43</v>
      </c>
      <c r="B1095" t="str">
        <f>""</f>
        <v/>
      </c>
      <c r="C1095" t="str">
        <f>""</f>
        <v/>
      </c>
      <c r="D1095">
        <v>24.347999999999999</v>
      </c>
      <c r="E1095">
        <v>17.399999999999999</v>
      </c>
      <c r="F1095">
        <v>3</v>
      </c>
      <c r="G1095">
        <v>5</v>
      </c>
      <c r="H1095">
        <v>5</v>
      </c>
      <c r="I1095" s="7">
        <v>1.68249544018291</v>
      </c>
      <c r="J1095" s="6">
        <v>2.9060619775304799</v>
      </c>
      <c r="K1095" s="6">
        <v>3.0174010393631101</v>
      </c>
      <c r="L1095">
        <v>1.7603206747025899</v>
      </c>
      <c r="M1095">
        <v>0.37073027572600897</v>
      </c>
    </row>
    <row r="1096" spans="1:13" x14ac:dyDescent="0.25">
      <c r="A1096">
        <v>2859</v>
      </c>
      <c r="B1096" t="str">
        <f>"UGGT1"</f>
        <v>UGGT1</v>
      </c>
      <c r="C1096" t="str">
        <f>""</f>
        <v/>
      </c>
      <c r="D1096">
        <v>174.97</v>
      </c>
      <c r="E1096">
        <v>2.9</v>
      </c>
      <c r="F1096">
        <v>3</v>
      </c>
      <c r="G1096">
        <v>5</v>
      </c>
      <c r="H1096">
        <v>5</v>
      </c>
      <c r="I1096" s="7">
        <v>1.68249544018291</v>
      </c>
      <c r="J1096" s="6">
        <v>2.9060619775304799</v>
      </c>
      <c r="K1096" s="6">
        <v>3.0174010393631101</v>
      </c>
      <c r="L1096">
        <v>1.7603206747025899</v>
      </c>
      <c r="M1096">
        <v>0.37073027572600897</v>
      </c>
    </row>
    <row r="1097" spans="1:13" x14ac:dyDescent="0.25">
      <c r="A1097">
        <v>1117</v>
      </c>
      <c r="B1097" t="str">
        <f>"TMED10"</f>
        <v>TMED10</v>
      </c>
      <c r="C1097" t="str">
        <f>""</f>
        <v/>
      </c>
      <c r="D1097">
        <v>24.975999999999999</v>
      </c>
      <c r="E1097">
        <v>13.2</v>
      </c>
      <c r="F1097">
        <v>3</v>
      </c>
      <c r="G1097">
        <v>5</v>
      </c>
      <c r="H1097">
        <v>5</v>
      </c>
      <c r="I1097" s="7">
        <v>1.68249544018291</v>
      </c>
      <c r="J1097" s="6">
        <v>2.9060619775304799</v>
      </c>
      <c r="K1097" s="6">
        <v>3.0174010393631101</v>
      </c>
      <c r="L1097">
        <v>1.7603206747025899</v>
      </c>
      <c r="M1097">
        <v>0.37073027572600897</v>
      </c>
    </row>
    <row r="1098" spans="1:13" x14ac:dyDescent="0.25">
      <c r="A1098">
        <v>1746</v>
      </c>
      <c r="B1098" t="str">
        <f>"TAB1"</f>
        <v>TAB1</v>
      </c>
      <c r="C1098" t="str">
        <f>""</f>
        <v/>
      </c>
      <c r="D1098">
        <v>54.643000000000001</v>
      </c>
      <c r="E1098">
        <v>5.6</v>
      </c>
      <c r="F1098">
        <v>3</v>
      </c>
      <c r="G1098">
        <v>4</v>
      </c>
      <c r="H1098">
        <v>6</v>
      </c>
      <c r="I1098" s="7">
        <v>1.68249544018291</v>
      </c>
      <c r="J1098" s="6">
        <v>2.32484958202439</v>
      </c>
      <c r="K1098" s="6">
        <v>3.6208812472357401</v>
      </c>
      <c r="L1098">
        <v>1.7669381703090199</v>
      </c>
      <c r="M1098">
        <v>0.37094630702863202</v>
      </c>
    </row>
    <row r="1099" spans="1:13" x14ac:dyDescent="0.25">
      <c r="A1099">
        <v>917</v>
      </c>
      <c r="B1099" t="str">
        <f>"YWHAB"</f>
        <v>YWHAB</v>
      </c>
      <c r="C1099" t="str">
        <f>""</f>
        <v/>
      </c>
      <c r="D1099">
        <v>27.85</v>
      </c>
      <c r="E1099">
        <v>16.8</v>
      </c>
      <c r="F1099">
        <v>3</v>
      </c>
      <c r="G1099">
        <v>6</v>
      </c>
      <c r="H1099">
        <v>4</v>
      </c>
      <c r="I1099" s="7">
        <v>1.68249544018291</v>
      </c>
      <c r="J1099" s="6">
        <v>3.4872743730365801</v>
      </c>
      <c r="K1099" s="6">
        <v>2.4139208314904899</v>
      </c>
      <c r="L1099">
        <v>1.7537031790961499</v>
      </c>
      <c r="M1099">
        <v>0.37094634153734601</v>
      </c>
    </row>
    <row r="1100" spans="1:13" x14ac:dyDescent="0.25">
      <c r="A1100">
        <v>356</v>
      </c>
      <c r="B1100" t="str">
        <f>"DCTN3"</f>
        <v>DCTN3</v>
      </c>
      <c r="C1100" t="str">
        <f>""</f>
        <v/>
      </c>
      <c r="D1100">
        <v>18.001000000000001</v>
      </c>
      <c r="E1100">
        <v>10.8</v>
      </c>
      <c r="F1100">
        <v>3</v>
      </c>
      <c r="G1100">
        <v>6</v>
      </c>
      <c r="H1100">
        <v>4</v>
      </c>
      <c r="I1100" s="7">
        <v>1.68249544018291</v>
      </c>
      <c r="J1100" s="6">
        <v>3.4872743730365801</v>
      </c>
      <c r="K1100" s="6">
        <v>2.4139208314904899</v>
      </c>
      <c r="L1100">
        <v>1.7537031790961499</v>
      </c>
      <c r="M1100">
        <v>0.37094634153734601</v>
      </c>
    </row>
    <row r="1101" spans="1:13" x14ac:dyDescent="0.25">
      <c r="A1101">
        <v>1162</v>
      </c>
      <c r="B1101" t="str">
        <f>"HCFC1"</f>
        <v>HCFC1</v>
      </c>
      <c r="C1101" t="str">
        <f>""</f>
        <v/>
      </c>
      <c r="D1101">
        <v>213.4</v>
      </c>
      <c r="E1101">
        <v>2.5</v>
      </c>
      <c r="F1101">
        <v>3</v>
      </c>
      <c r="G1101">
        <v>6</v>
      </c>
      <c r="H1101">
        <v>4</v>
      </c>
      <c r="I1101" s="7">
        <v>1.68249544018291</v>
      </c>
      <c r="J1101" s="6">
        <v>3.4872743730365801</v>
      </c>
      <c r="K1101" s="6">
        <v>2.4139208314904899</v>
      </c>
      <c r="L1101">
        <v>1.7537031790961499</v>
      </c>
      <c r="M1101">
        <v>0.37094634153734601</v>
      </c>
    </row>
    <row r="1102" spans="1:13" x14ac:dyDescent="0.25">
      <c r="A1102">
        <v>2484</v>
      </c>
      <c r="B1102" t="str">
        <f>"PHB2"</f>
        <v>PHB2</v>
      </c>
      <c r="C1102" t="str">
        <f>""</f>
        <v/>
      </c>
      <c r="D1102">
        <v>33.295999999999999</v>
      </c>
      <c r="E1102">
        <v>7.4</v>
      </c>
      <c r="F1102">
        <v>4</v>
      </c>
      <c r="G1102">
        <v>3</v>
      </c>
      <c r="H1102">
        <v>1</v>
      </c>
      <c r="I1102" s="7">
        <v>2.2433272535772102</v>
      </c>
      <c r="J1102" s="6">
        <v>1.74363718651829</v>
      </c>
      <c r="K1102" s="6">
        <v>0.60348020787262302</v>
      </c>
      <c r="L1102">
        <v>-1.91155948052557</v>
      </c>
      <c r="M1102">
        <v>0.37222466825775702</v>
      </c>
    </row>
    <row r="1103" spans="1:13" x14ac:dyDescent="0.25">
      <c r="A1103">
        <v>2731</v>
      </c>
      <c r="B1103" t="str">
        <f>"RDH14"</f>
        <v>RDH14</v>
      </c>
      <c r="C1103" t="str">
        <f>""</f>
        <v/>
      </c>
      <c r="D1103">
        <v>36.863999999999997</v>
      </c>
      <c r="E1103">
        <v>2.4</v>
      </c>
      <c r="F1103">
        <v>4</v>
      </c>
      <c r="G1103">
        <v>1</v>
      </c>
      <c r="H1103">
        <v>3</v>
      </c>
      <c r="I1103" s="7">
        <v>2.2433272535772102</v>
      </c>
      <c r="J1103" s="6">
        <v>0.58121239550609605</v>
      </c>
      <c r="K1103" s="6">
        <v>1.8104406236178701</v>
      </c>
      <c r="L1103">
        <v>-1.8759638088295201</v>
      </c>
      <c r="M1103">
        <v>0.37222469622145699</v>
      </c>
    </row>
    <row r="1104" spans="1:13" x14ac:dyDescent="0.25">
      <c r="A1104">
        <v>107</v>
      </c>
      <c r="B1104" t="str">
        <f>"EIF3F"</f>
        <v>EIF3F</v>
      </c>
      <c r="C1104" t="str">
        <f>""</f>
        <v/>
      </c>
      <c r="D1104">
        <v>37.563000000000002</v>
      </c>
      <c r="E1104">
        <v>7.6</v>
      </c>
      <c r="F1104">
        <v>4</v>
      </c>
      <c r="G1104">
        <v>1</v>
      </c>
      <c r="H1104">
        <v>3</v>
      </c>
      <c r="I1104" s="7">
        <v>2.2433272535772102</v>
      </c>
      <c r="J1104" s="6">
        <v>0.58121239550609605</v>
      </c>
      <c r="K1104" s="6">
        <v>1.8104406236178701</v>
      </c>
      <c r="L1104">
        <v>-1.8759638088295201</v>
      </c>
      <c r="M1104">
        <v>0.37222469622145699</v>
      </c>
    </row>
    <row r="1105" spans="1:13" x14ac:dyDescent="0.25">
      <c r="A1105">
        <v>1610</v>
      </c>
      <c r="B1105" t="str">
        <f>"BYSL"</f>
        <v>BYSL</v>
      </c>
      <c r="C1105" t="str">
        <f>""</f>
        <v/>
      </c>
      <c r="D1105">
        <v>49.600999999999999</v>
      </c>
      <c r="E1105">
        <v>3.9</v>
      </c>
      <c r="F1105">
        <v>4</v>
      </c>
      <c r="G1105">
        <v>1</v>
      </c>
      <c r="H1105">
        <v>3</v>
      </c>
      <c r="I1105" s="7">
        <v>2.2433272535772102</v>
      </c>
      <c r="J1105" s="6">
        <v>0.58121239550609605</v>
      </c>
      <c r="K1105" s="6">
        <v>1.8104406236178701</v>
      </c>
      <c r="L1105">
        <v>-1.8759638088295201</v>
      </c>
      <c r="M1105">
        <v>0.37222469622145699</v>
      </c>
    </row>
    <row r="1106" spans="1:13" x14ac:dyDescent="0.25">
      <c r="A1106">
        <v>2732</v>
      </c>
      <c r="B1106" t="str">
        <f>"AS3MT"</f>
        <v>AS3MT</v>
      </c>
      <c r="C1106" t="str">
        <f>""</f>
        <v/>
      </c>
      <c r="D1106">
        <v>31.097000000000001</v>
      </c>
      <c r="E1106">
        <v>7.5</v>
      </c>
      <c r="F1106">
        <v>4</v>
      </c>
      <c r="G1106">
        <v>1</v>
      </c>
      <c r="H1106">
        <v>3</v>
      </c>
      <c r="I1106" s="7">
        <v>2.2433272535772102</v>
      </c>
      <c r="J1106" s="6">
        <v>0.58121239550609605</v>
      </c>
      <c r="K1106" s="6">
        <v>1.8104406236178701</v>
      </c>
      <c r="L1106">
        <v>-1.8759638088295201</v>
      </c>
      <c r="M1106">
        <v>0.37222469622145699</v>
      </c>
    </row>
    <row r="1107" spans="1:13" x14ac:dyDescent="0.25">
      <c r="A1107">
        <v>1625</v>
      </c>
      <c r="B1107" t="str">
        <f>"EIF3A"</f>
        <v>EIF3A</v>
      </c>
      <c r="C1107" t="str">
        <f>""</f>
        <v/>
      </c>
      <c r="D1107">
        <v>162.63</v>
      </c>
      <c r="E1107">
        <v>7.3</v>
      </c>
      <c r="F1107">
        <v>9</v>
      </c>
      <c r="G1107">
        <v>11</v>
      </c>
      <c r="H1107">
        <v>13</v>
      </c>
      <c r="I1107" s="7">
        <v>5.0474863205487202</v>
      </c>
      <c r="J1107" s="6">
        <v>6.3933363505670604</v>
      </c>
      <c r="K1107" s="6">
        <v>7.8452427023441</v>
      </c>
      <c r="L1107">
        <v>1.41046237163088</v>
      </c>
      <c r="M1107">
        <v>0.37236545236455298</v>
      </c>
    </row>
    <row r="1108" spans="1:13" x14ac:dyDescent="0.25">
      <c r="A1108">
        <v>2264</v>
      </c>
      <c r="B1108" t="str">
        <f>"DDX1"</f>
        <v>DDX1</v>
      </c>
      <c r="C1108" t="str">
        <f>""</f>
        <v/>
      </c>
      <c r="D1108">
        <v>82.430999999999997</v>
      </c>
      <c r="E1108">
        <v>10</v>
      </c>
      <c r="F1108">
        <v>9</v>
      </c>
      <c r="G1108">
        <v>13</v>
      </c>
      <c r="H1108">
        <v>11</v>
      </c>
      <c r="I1108" s="7">
        <v>5.0474863205487202</v>
      </c>
      <c r="J1108" s="6">
        <v>7.5557611415792598</v>
      </c>
      <c r="K1108" s="6">
        <v>6.6382822865988498</v>
      </c>
      <c r="L1108">
        <v>1.40605070789326</v>
      </c>
      <c r="M1108">
        <v>0.37236550608326002</v>
      </c>
    </row>
    <row r="1109" spans="1:13" x14ac:dyDescent="0.25">
      <c r="A1109">
        <v>351</v>
      </c>
      <c r="B1109" t="str">
        <f>"IDH1"</f>
        <v>IDH1</v>
      </c>
      <c r="C1109" t="str">
        <f>""</f>
        <v/>
      </c>
      <c r="D1109">
        <v>46.658999999999999</v>
      </c>
      <c r="E1109">
        <v>8.5</v>
      </c>
      <c r="F1109">
        <v>4</v>
      </c>
      <c r="G1109">
        <v>4</v>
      </c>
      <c r="H1109">
        <v>0</v>
      </c>
      <c r="I1109" s="7">
        <v>2.2433272535772102</v>
      </c>
      <c r="J1109" s="6">
        <v>2.32484958202439</v>
      </c>
      <c r="K1109" s="6">
        <v>0</v>
      </c>
      <c r="L1109">
        <v>-1.92986872864593</v>
      </c>
      <c r="M1109">
        <v>0.372838657629254</v>
      </c>
    </row>
    <row r="1110" spans="1:13" x14ac:dyDescent="0.25">
      <c r="A1110">
        <v>3154</v>
      </c>
      <c r="B1110" t="str">
        <f>"DYNC1LI1"</f>
        <v>DYNC1LI1</v>
      </c>
      <c r="C1110" t="str">
        <f>""</f>
        <v/>
      </c>
      <c r="D1110">
        <v>56.578000000000003</v>
      </c>
      <c r="E1110">
        <v>11.7</v>
      </c>
      <c r="F1110">
        <v>4</v>
      </c>
      <c r="G1110">
        <v>2</v>
      </c>
      <c r="H1110">
        <v>2</v>
      </c>
      <c r="I1110" s="7">
        <v>2.2433272535772102</v>
      </c>
      <c r="J1110" s="6">
        <v>1.1624247910121901</v>
      </c>
      <c r="K1110" s="6">
        <v>1.20696041574525</v>
      </c>
      <c r="L1110">
        <v>-1.8935943781359701</v>
      </c>
      <c r="M1110">
        <v>0.37295846485640799</v>
      </c>
    </row>
    <row r="1111" spans="1:13" x14ac:dyDescent="0.25">
      <c r="A1111">
        <v>1729</v>
      </c>
      <c r="B1111" t="str">
        <f>"PPP1R7"</f>
        <v>PPP1R7</v>
      </c>
      <c r="C1111" t="str">
        <f>""</f>
        <v/>
      </c>
      <c r="D1111">
        <v>41.564</v>
      </c>
      <c r="E1111">
        <v>15</v>
      </c>
      <c r="F1111">
        <v>4</v>
      </c>
      <c r="G1111">
        <v>2</v>
      </c>
      <c r="H1111">
        <v>2</v>
      </c>
      <c r="I1111" s="7">
        <v>2.2433272535772102</v>
      </c>
      <c r="J1111" s="6">
        <v>1.1624247910121901</v>
      </c>
      <c r="K1111" s="6">
        <v>1.20696041574525</v>
      </c>
      <c r="L1111">
        <v>-1.8935943781359701</v>
      </c>
      <c r="M1111">
        <v>0.37295846485640799</v>
      </c>
    </row>
    <row r="1112" spans="1:13" x14ac:dyDescent="0.25">
      <c r="A1112">
        <v>2096</v>
      </c>
      <c r="B1112" t="str">
        <f>"PHF6"</f>
        <v>PHF6</v>
      </c>
      <c r="C1112" t="str">
        <f>""</f>
        <v/>
      </c>
      <c r="D1112">
        <v>37.628</v>
      </c>
      <c r="E1112">
        <v>17.2</v>
      </c>
      <c r="F1112">
        <v>4</v>
      </c>
      <c r="G1112">
        <v>2</v>
      </c>
      <c r="H1112">
        <v>2</v>
      </c>
      <c r="I1112" s="7">
        <v>2.2433272535772102</v>
      </c>
      <c r="J1112" s="6">
        <v>1.1624247910121901</v>
      </c>
      <c r="K1112" s="6">
        <v>1.20696041574525</v>
      </c>
      <c r="L1112">
        <v>-1.8935943781359701</v>
      </c>
      <c r="M1112">
        <v>0.37295846485640799</v>
      </c>
    </row>
    <row r="1113" spans="1:13" x14ac:dyDescent="0.25">
      <c r="A1113">
        <v>3058</v>
      </c>
      <c r="B1113" t="str">
        <f>"TRAPPC8"</f>
        <v>TRAPPC8</v>
      </c>
      <c r="C1113" t="str">
        <f>""</f>
        <v/>
      </c>
      <c r="D1113">
        <v>153.03</v>
      </c>
      <c r="E1113">
        <v>3.9</v>
      </c>
      <c r="F1113">
        <v>4</v>
      </c>
      <c r="G1113">
        <v>2</v>
      </c>
      <c r="H1113">
        <v>2</v>
      </c>
      <c r="I1113" s="7">
        <v>2.2433272535772102</v>
      </c>
      <c r="J1113" s="6">
        <v>1.1624247910121901</v>
      </c>
      <c r="K1113" s="6">
        <v>1.20696041574525</v>
      </c>
      <c r="L1113">
        <v>-1.8935943781359701</v>
      </c>
      <c r="M1113">
        <v>0.37295846485640799</v>
      </c>
    </row>
    <row r="1114" spans="1:13" x14ac:dyDescent="0.25">
      <c r="A1114">
        <v>3128</v>
      </c>
      <c r="B1114" t="str">
        <f>"UCHL5"</f>
        <v>UCHL5</v>
      </c>
      <c r="C1114" t="str">
        <f>""</f>
        <v/>
      </c>
      <c r="D1114">
        <v>36.079000000000001</v>
      </c>
      <c r="E1114">
        <v>8.9</v>
      </c>
      <c r="F1114">
        <v>4</v>
      </c>
      <c r="G1114">
        <v>2</v>
      </c>
      <c r="H1114">
        <v>2</v>
      </c>
      <c r="I1114" s="7">
        <v>2.2433272535772102</v>
      </c>
      <c r="J1114" s="6">
        <v>1.1624247910121901</v>
      </c>
      <c r="K1114" s="6">
        <v>1.20696041574525</v>
      </c>
      <c r="L1114">
        <v>-1.8935943781359701</v>
      </c>
      <c r="M1114">
        <v>0.37295846485640799</v>
      </c>
    </row>
    <row r="1115" spans="1:13" x14ac:dyDescent="0.25">
      <c r="A1115">
        <v>1706</v>
      </c>
      <c r="B1115" t="str">
        <f>"PLEC"</f>
        <v>PLEC</v>
      </c>
      <c r="C1115" t="str">
        <f>""</f>
        <v/>
      </c>
      <c r="D1115">
        <v>512.6</v>
      </c>
      <c r="E1115">
        <v>5.6</v>
      </c>
      <c r="F1115">
        <v>15</v>
      </c>
      <c r="G1115">
        <v>13</v>
      </c>
      <c r="H1115">
        <v>8</v>
      </c>
      <c r="I1115" s="7">
        <v>8.4124772009145303</v>
      </c>
      <c r="J1115" s="6">
        <v>7.5557611415792598</v>
      </c>
      <c r="K1115" s="6">
        <v>4.8278416629809797</v>
      </c>
      <c r="L1115">
        <v>-1.3586477753980699</v>
      </c>
      <c r="M1115">
        <v>0.377954338240724</v>
      </c>
    </row>
    <row r="1116" spans="1:13" x14ac:dyDescent="0.25">
      <c r="A1116">
        <v>2922</v>
      </c>
      <c r="B1116" t="str">
        <f>"EIF3K"</f>
        <v>EIF3K</v>
      </c>
      <c r="C1116" t="str">
        <f>""</f>
        <v/>
      </c>
      <c r="D1116">
        <v>24.484000000000002</v>
      </c>
      <c r="E1116">
        <v>20.399999999999999</v>
      </c>
      <c r="F1116">
        <v>6</v>
      </c>
      <c r="G1116">
        <v>8</v>
      </c>
      <c r="H1116">
        <v>9</v>
      </c>
      <c r="I1116" s="7">
        <v>3.3649908803658102</v>
      </c>
      <c r="J1116" s="6">
        <v>4.6496991640487702</v>
      </c>
      <c r="K1116" s="6">
        <v>5.4313218708536004</v>
      </c>
      <c r="L1116">
        <v>1.4979269473988099</v>
      </c>
      <c r="M1116">
        <v>0.38471197051510297</v>
      </c>
    </row>
    <row r="1117" spans="1:13" x14ac:dyDescent="0.25">
      <c r="A1117">
        <v>1226</v>
      </c>
      <c r="B1117" t="str">
        <f>"PSMD4"</f>
        <v>PSMD4</v>
      </c>
      <c r="C1117" t="str">
        <f>""</f>
        <v/>
      </c>
      <c r="D1117">
        <v>40.735999999999997</v>
      </c>
      <c r="E1117">
        <v>21.5</v>
      </c>
      <c r="F1117">
        <v>6</v>
      </c>
      <c r="G1117">
        <v>9</v>
      </c>
      <c r="H1117">
        <v>8</v>
      </c>
      <c r="I1117" s="7">
        <v>3.3649908803658102</v>
      </c>
      <c r="J1117" s="6">
        <v>5.2309115595548699</v>
      </c>
      <c r="K1117" s="6">
        <v>4.8278416629809797</v>
      </c>
      <c r="L1117">
        <v>1.4946181995955901</v>
      </c>
      <c r="M1117">
        <v>0.38471199863824102</v>
      </c>
    </row>
    <row r="1118" spans="1:13" x14ac:dyDescent="0.25">
      <c r="A1118">
        <v>864</v>
      </c>
      <c r="B1118" t="str">
        <f>"POLD1"</f>
        <v>POLD1</v>
      </c>
      <c r="C1118" t="str">
        <f>""</f>
        <v/>
      </c>
      <c r="D1118">
        <v>123.63</v>
      </c>
      <c r="E1118">
        <v>4.5</v>
      </c>
      <c r="F1118">
        <v>6</v>
      </c>
      <c r="G1118">
        <v>7</v>
      </c>
      <c r="H1118">
        <v>10</v>
      </c>
      <c r="I1118" s="7">
        <v>3.3649908803658102</v>
      </c>
      <c r="J1118" s="6">
        <v>4.0684867685426802</v>
      </c>
      <c r="K1118" s="6">
        <v>6.03480207872623</v>
      </c>
      <c r="L1118">
        <v>1.50123569520203</v>
      </c>
      <c r="M1118">
        <v>0.38490943292868202</v>
      </c>
    </row>
    <row r="1119" spans="1:13" x14ac:dyDescent="0.25">
      <c r="A1119">
        <v>1203</v>
      </c>
      <c r="B1119" t="str">
        <f>"COPB1"</f>
        <v>COPB1</v>
      </c>
      <c r="C1119" t="str">
        <f>""</f>
        <v/>
      </c>
      <c r="D1119">
        <v>107.14</v>
      </c>
      <c r="E1119">
        <v>16.399999999999999</v>
      </c>
      <c r="F1119">
        <v>8</v>
      </c>
      <c r="G1119">
        <v>3</v>
      </c>
      <c r="H1119">
        <v>7</v>
      </c>
      <c r="I1119" s="7">
        <v>4.4866545071544204</v>
      </c>
      <c r="J1119" s="6">
        <v>1.74363718651829</v>
      </c>
      <c r="K1119" s="6">
        <v>4.2243614551083599</v>
      </c>
      <c r="L1119">
        <v>-1.50357088752002</v>
      </c>
      <c r="M1119">
        <v>0.38787378696756802</v>
      </c>
    </row>
    <row r="1120" spans="1:13" x14ac:dyDescent="0.25">
      <c r="A1120">
        <v>328</v>
      </c>
      <c r="B1120" t="str">
        <f>"PSIP1"</f>
        <v>PSIP1</v>
      </c>
      <c r="C1120" t="str">
        <f>""</f>
        <v/>
      </c>
      <c r="D1120">
        <v>60.103000000000002</v>
      </c>
      <c r="E1120">
        <v>9.1</v>
      </c>
      <c r="F1120">
        <v>8</v>
      </c>
      <c r="G1120">
        <v>6</v>
      </c>
      <c r="H1120">
        <v>4</v>
      </c>
      <c r="I1120" s="7">
        <v>4.4866545071544204</v>
      </c>
      <c r="J1120" s="6">
        <v>3.4872743730365801</v>
      </c>
      <c r="K1120" s="6">
        <v>2.4139208314904899</v>
      </c>
      <c r="L1120">
        <v>-1.5205917959509301</v>
      </c>
      <c r="M1120">
        <v>0.38847105247921498</v>
      </c>
    </row>
    <row r="1121" spans="1:13" x14ac:dyDescent="0.25">
      <c r="A1121">
        <v>59</v>
      </c>
      <c r="B1121" t="str">
        <f>""</f>
        <v/>
      </c>
      <c r="C1121" t="str">
        <f>""</f>
        <v/>
      </c>
      <c r="D1121">
        <v>46.103000000000002</v>
      </c>
      <c r="E1121">
        <v>14.9</v>
      </c>
      <c r="F1121">
        <v>8</v>
      </c>
      <c r="G1121">
        <v>4</v>
      </c>
      <c r="H1121">
        <v>6</v>
      </c>
      <c r="I1121" s="7">
        <v>4.4866545071544204</v>
      </c>
      <c r="J1121" s="6">
        <v>2.32484958202439</v>
      </c>
      <c r="K1121" s="6">
        <v>3.6208812472357401</v>
      </c>
      <c r="L1121">
        <v>-1.50920202612426</v>
      </c>
      <c r="M1121">
        <v>0.38847109881666297</v>
      </c>
    </row>
    <row r="1122" spans="1:13" x14ac:dyDescent="0.25">
      <c r="A1122">
        <v>922</v>
      </c>
      <c r="B1122" t="str">
        <f>"PYCR1"</f>
        <v>PYCR1</v>
      </c>
      <c r="C1122" t="str">
        <f>""</f>
        <v/>
      </c>
      <c r="D1122">
        <v>35.979999999999997</v>
      </c>
      <c r="E1122">
        <v>14.7</v>
      </c>
      <c r="F1122">
        <v>8</v>
      </c>
      <c r="G1122">
        <v>5</v>
      </c>
      <c r="H1122">
        <v>5</v>
      </c>
      <c r="I1122" s="7">
        <v>4.4866545071544204</v>
      </c>
      <c r="J1122" s="6">
        <v>2.9060619775304799</v>
      </c>
      <c r="K1122" s="6">
        <v>3.0174010393631101</v>
      </c>
      <c r="L1122">
        <v>-1.5148755025087799</v>
      </c>
      <c r="M1122">
        <v>0.38867014224743501</v>
      </c>
    </row>
    <row r="1123" spans="1:13" x14ac:dyDescent="0.25">
      <c r="A1123">
        <v>2284</v>
      </c>
      <c r="B1123" t="str">
        <f>"NUP205"</f>
        <v>NUP205</v>
      </c>
      <c r="C1123" t="str">
        <f>""</f>
        <v/>
      </c>
      <c r="D1123">
        <v>227.92</v>
      </c>
      <c r="E1123">
        <v>3</v>
      </c>
      <c r="F1123">
        <v>6</v>
      </c>
      <c r="G1123">
        <v>5</v>
      </c>
      <c r="H1123">
        <v>2</v>
      </c>
      <c r="I1123" s="7">
        <v>3.3649908803658102</v>
      </c>
      <c r="J1123" s="6">
        <v>2.9060619775304799</v>
      </c>
      <c r="K1123" s="6">
        <v>1.20696041574525</v>
      </c>
      <c r="L1123">
        <v>-1.63626188170876</v>
      </c>
      <c r="M1123">
        <v>0.39067104676964898</v>
      </c>
    </row>
    <row r="1124" spans="1:13" x14ac:dyDescent="0.25">
      <c r="A1124">
        <v>1702</v>
      </c>
      <c r="B1124" t="str">
        <f>"EEA1"</f>
        <v>EEA1</v>
      </c>
      <c r="C1124" t="str">
        <f>""</f>
        <v/>
      </c>
      <c r="D1124">
        <v>162.46</v>
      </c>
      <c r="E1124">
        <v>6.2</v>
      </c>
      <c r="F1124">
        <v>6</v>
      </c>
      <c r="G1124">
        <v>2</v>
      </c>
      <c r="H1124">
        <v>5</v>
      </c>
      <c r="I1124" s="7">
        <v>3.3649908803658102</v>
      </c>
      <c r="J1124" s="6">
        <v>1.1624247910121901</v>
      </c>
      <c r="K1124" s="6">
        <v>3.0174010393631101</v>
      </c>
      <c r="L1124">
        <v>-1.6101105725085501</v>
      </c>
      <c r="M1124">
        <v>0.39067110546052902</v>
      </c>
    </row>
    <row r="1125" spans="1:13" x14ac:dyDescent="0.25">
      <c r="A1125">
        <v>423</v>
      </c>
      <c r="B1125" t="str">
        <f>"AP2A1"</f>
        <v>AP2A1</v>
      </c>
      <c r="C1125" t="str">
        <f>""</f>
        <v/>
      </c>
      <c r="D1125">
        <v>105.36</v>
      </c>
      <c r="E1125">
        <v>6.7</v>
      </c>
      <c r="F1125">
        <v>6</v>
      </c>
      <c r="G1125">
        <v>2</v>
      </c>
      <c r="H1125">
        <v>5</v>
      </c>
      <c r="I1125" s="7">
        <v>3.3649908803658102</v>
      </c>
      <c r="J1125" s="6">
        <v>1.1624247910121901</v>
      </c>
      <c r="K1125" s="6">
        <v>3.0174010393631101</v>
      </c>
      <c r="L1125">
        <v>-1.6101105725085501</v>
      </c>
      <c r="M1125">
        <v>0.39067110546052902</v>
      </c>
    </row>
    <row r="1126" spans="1:13" x14ac:dyDescent="0.25">
      <c r="A1126">
        <v>595</v>
      </c>
      <c r="B1126" t="str">
        <f>"SNRPB2"</f>
        <v>SNRPB2</v>
      </c>
      <c r="C1126" t="str">
        <f>""</f>
        <v/>
      </c>
      <c r="D1126">
        <v>25.486000000000001</v>
      </c>
      <c r="E1126">
        <v>13.8</v>
      </c>
      <c r="F1126">
        <v>6</v>
      </c>
      <c r="G1126">
        <v>4</v>
      </c>
      <c r="H1126">
        <v>3</v>
      </c>
      <c r="I1126" s="7">
        <v>3.3649908803658102</v>
      </c>
      <c r="J1126" s="6">
        <v>2.32484958202439</v>
      </c>
      <c r="K1126" s="6">
        <v>1.8104406236178701</v>
      </c>
      <c r="L1126">
        <v>-1.6274508985002101</v>
      </c>
      <c r="M1126">
        <v>0.39134518886474901</v>
      </c>
    </row>
    <row r="1127" spans="1:13" x14ac:dyDescent="0.25">
      <c r="A1127">
        <v>1880</v>
      </c>
      <c r="B1127" t="str">
        <f>"MARC1;MARC2"</f>
        <v>MARC1;MARC2</v>
      </c>
      <c r="C1127" t="str">
        <f>""</f>
        <v/>
      </c>
      <c r="D1127">
        <v>37.499000000000002</v>
      </c>
      <c r="E1127">
        <v>6.8</v>
      </c>
      <c r="F1127">
        <v>6</v>
      </c>
      <c r="G1127">
        <v>4</v>
      </c>
      <c r="H1127">
        <v>3</v>
      </c>
      <c r="I1127" s="7">
        <v>3.3649908803658102</v>
      </c>
      <c r="J1127" s="6">
        <v>2.32484958202439</v>
      </c>
      <c r="K1127" s="6">
        <v>1.8104406236178701</v>
      </c>
      <c r="L1127">
        <v>-1.6274508985002101</v>
      </c>
      <c r="M1127">
        <v>0.39134518886474901</v>
      </c>
    </row>
    <row r="1128" spans="1:13" x14ac:dyDescent="0.25">
      <c r="A1128">
        <v>2772</v>
      </c>
      <c r="B1128" t="str">
        <f>"GPHN"</f>
        <v>GPHN</v>
      </c>
      <c r="C1128" t="str">
        <f>""</f>
        <v/>
      </c>
      <c r="D1128">
        <v>79.748000000000005</v>
      </c>
      <c r="E1128">
        <v>4.5</v>
      </c>
      <c r="F1128">
        <v>6</v>
      </c>
      <c r="G1128">
        <v>3</v>
      </c>
      <c r="H1128">
        <v>4</v>
      </c>
      <c r="I1128" s="7">
        <v>3.3649908803658102</v>
      </c>
      <c r="J1128" s="6">
        <v>1.74363718651829</v>
      </c>
      <c r="K1128" s="6">
        <v>2.4139208314904899</v>
      </c>
      <c r="L1128">
        <v>-1.6187342982539701</v>
      </c>
      <c r="M1128">
        <v>0.39134520807651202</v>
      </c>
    </row>
    <row r="1129" spans="1:13" x14ac:dyDescent="0.25">
      <c r="A1129">
        <v>1405</v>
      </c>
      <c r="B1129" t="str">
        <f>"SLC25A3"</f>
        <v>SLC25A3</v>
      </c>
      <c r="C1129" t="str">
        <f>""</f>
        <v/>
      </c>
      <c r="D1129">
        <v>39.957999999999998</v>
      </c>
      <c r="E1129">
        <v>5.5</v>
      </c>
      <c r="F1129">
        <v>6</v>
      </c>
      <c r="G1129">
        <v>3</v>
      </c>
      <c r="H1129">
        <v>4</v>
      </c>
      <c r="I1129" s="7">
        <v>3.3649908803658102</v>
      </c>
      <c r="J1129" s="6">
        <v>1.74363718651829</v>
      </c>
      <c r="K1129" s="6">
        <v>2.4139208314904899</v>
      </c>
      <c r="L1129">
        <v>-1.6187342982539701</v>
      </c>
      <c r="M1129">
        <v>0.39134520807651202</v>
      </c>
    </row>
    <row r="1130" spans="1:13" x14ac:dyDescent="0.25">
      <c r="A1130">
        <v>580</v>
      </c>
      <c r="B1130" t="str">
        <f>"HNRNPC"</f>
        <v>HNRNPC</v>
      </c>
      <c r="C1130" t="str">
        <f>""</f>
        <v/>
      </c>
      <c r="D1130">
        <v>27.821000000000002</v>
      </c>
      <c r="E1130">
        <v>15.6</v>
      </c>
      <c r="F1130">
        <v>6</v>
      </c>
      <c r="G1130">
        <v>3</v>
      </c>
      <c r="H1130">
        <v>4</v>
      </c>
      <c r="I1130" s="7">
        <v>3.3649908803658102</v>
      </c>
      <c r="J1130" s="6">
        <v>1.74363718651829</v>
      </c>
      <c r="K1130" s="6">
        <v>2.4139208314904899</v>
      </c>
      <c r="L1130">
        <v>-1.6187342982539701</v>
      </c>
      <c r="M1130">
        <v>0.39134520807651202</v>
      </c>
    </row>
    <row r="1131" spans="1:13" x14ac:dyDescent="0.25">
      <c r="A1131">
        <v>1027</v>
      </c>
      <c r="B1131" t="str">
        <f>"LRPPRC"</f>
        <v>LRPPRC</v>
      </c>
      <c r="C1131" t="str">
        <f>""</f>
        <v/>
      </c>
      <c r="D1131">
        <v>157.9</v>
      </c>
      <c r="E1131">
        <v>7.9</v>
      </c>
      <c r="F1131">
        <v>6</v>
      </c>
      <c r="G1131">
        <v>3</v>
      </c>
      <c r="H1131">
        <v>4</v>
      </c>
      <c r="I1131" s="7">
        <v>3.3649908803658102</v>
      </c>
      <c r="J1131" s="6">
        <v>1.74363718651829</v>
      </c>
      <c r="K1131" s="6">
        <v>2.4139208314904899</v>
      </c>
      <c r="L1131">
        <v>-1.6187342982539701</v>
      </c>
      <c r="M1131">
        <v>0.39134520807651202</v>
      </c>
    </row>
    <row r="1132" spans="1:13" x14ac:dyDescent="0.25">
      <c r="A1132">
        <v>505</v>
      </c>
      <c r="B1132" t="str">
        <f>"ALDOA"</f>
        <v>ALDOA</v>
      </c>
      <c r="C1132" t="str">
        <f>""</f>
        <v/>
      </c>
      <c r="D1132">
        <v>39.42</v>
      </c>
      <c r="E1132">
        <v>26.9</v>
      </c>
      <c r="F1132">
        <v>38</v>
      </c>
      <c r="G1132">
        <v>48</v>
      </c>
      <c r="H1132">
        <v>37</v>
      </c>
      <c r="I1132" s="7">
        <v>21.311608908983501</v>
      </c>
      <c r="J1132" s="6">
        <v>27.898194984292601</v>
      </c>
      <c r="K1132" s="6">
        <v>22.328767691286998</v>
      </c>
      <c r="L1132">
        <v>1.17839443493183</v>
      </c>
      <c r="M1132">
        <v>0.391384943296613</v>
      </c>
    </row>
    <row r="1133" spans="1:13" x14ac:dyDescent="0.25">
      <c r="A1133">
        <v>1058</v>
      </c>
      <c r="B1133" t="str">
        <f>"RPL5"</f>
        <v>RPL5</v>
      </c>
      <c r="C1133" t="str">
        <f>""</f>
        <v/>
      </c>
      <c r="D1133">
        <v>34.362000000000002</v>
      </c>
      <c r="E1133">
        <v>20.9</v>
      </c>
      <c r="F1133">
        <v>28</v>
      </c>
      <c r="G1133">
        <v>21</v>
      </c>
      <c r="H1133">
        <v>22</v>
      </c>
      <c r="I1133" s="7">
        <v>15.7032907750405</v>
      </c>
      <c r="J1133" s="6">
        <v>12.205460305628</v>
      </c>
      <c r="K1133" s="6">
        <v>13.2765645731977</v>
      </c>
      <c r="L1133">
        <v>-1.2324994461558001</v>
      </c>
      <c r="M1133">
        <v>0.39351982569272298</v>
      </c>
    </row>
    <row r="1134" spans="1:13" x14ac:dyDescent="0.25">
      <c r="A1134">
        <v>1005</v>
      </c>
      <c r="B1134" t="str">
        <f>"HADHA"</f>
        <v>HADHA</v>
      </c>
      <c r="C1134" t="str">
        <f>""</f>
        <v/>
      </c>
      <c r="D1134">
        <v>82.998999999999995</v>
      </c>
      <c r="E1134">
        <v>13.5</v>
      </c>
      <c r="F1134">
        <v>13</v>
      </c>
      <c r="G1134">
        <v>10</v>
      </c>
      <c r="H1134">
        <v>8</v>
      </c>
      <c r="I1134" s="7">
        <v>7.2908135741259299</v>
      </c>
      <c r="J1134" s="6">
        <v>5.8121239550609696</v>
      </c>
      <c r="K1134" s="6">
        <v>4.8278416629809797</v>
      </c>
      <c r="L1134">
        <v>-1.37045810782754</v>
      </c>
      <c r="M1134">
        <v>0.39641640059316802</v>
      </c>
    </row>
    <row r="1135" spans="1:13" x14ac:dyDescent="0.25">
      <c r="A1135">
        <v>882</v>
      </c>
      <c r="B1135" t="str">
        <f>"PRDX6"</f>
        <v>PRDX6</v>
      </c>
      <c r="C1135" t="str">
        <f>""</f>
        <v/>
      </c>
      <c r="D1135">
        <v>25.035</v>
      </c>
      <c r="E1135">
        <v>31.2</v>
      </c>
      <c r="F1135">
        <v>26</v>
      </c>
      <c r="G1135">
        <v>29</v>
      </c>
      <c r="H1135">
        <v>31</v>
      </c>
      <c r="I1135" s="7">
        <v>14.581627148251901</v>
      </c>
      <c r="J1135" s="6">
        <v>16.855159469676799</v>
      </c>
      <c r="K1135" s="6">
        <v>18.707886444051301</v>
      </c>
      <c r="L1135">
        <v>1.2194471012102299</v>
      </c>
      <c r="M1135">
        <v>0.396511439421812</v>
      </c>
    </row>
    <row r="1136" spans="1:13" x14ac:dyDescent="0.25">
      <c r="A1136">
        <v>1092</v>
      </c>
      <c r="B1136" t="str">
        <f>"RPL34"</f>
        <v>RPL34</v>
      </c>
      <c r="C1136" t="str">
        <f>""</f>
        <v/>
      </c>
      <c r="D1136">
        <v>13.292999999999999</v>
      </c>
      <c r="E1136">
        <v>7.7</v>
      </c>
      <c r="F1136">
        <v>7</v>
      </c>
      <c r="G1136">
        <v>9</v>
      </c>
      <c r="H1136">
        <v>10</v>
      </c>
      <c r="I1136" s="7">
        <v>3.9258226937601099</v>
      </c>
      <c r="J1136" s="6">
        <v>5.2309115595548699</v>
      </c>
      <c r="K1136" s="6">
        <v>6.03480207872623</v>
      </c>
      <c r="L1136">
        <v>1.4348220127449101</v>
      </c>
      <c r="M1136">
        <v>0.40612900355424503</v>
      </c>
    </row>
    <row r="1137" spans="1:13" x14ac:dyDescent="0.25">
      <c r="A1137">
        <v>1076</v>
      </c>
      <c r="B1137" t="str">
        <f>"ARCN1"</f>
        <v>ARCN1</v>
      </c>
      <c r="C1137" t="str">
        <f>""</f>
        <v/>
      </c>
      <c r="D1137">
        <v>57.21</v>
      </c>
      <c r="E1137">
        <v>13.9</v>
      </c>
      <c r="F1137">
        <v>7</v>
      </c>
      <c r="G1137">
        <v>10</v>
      </c>
      <c r="H1137">
        <v>9</v>
      </c>
      <c r="I1137" s="7">
        <v>3.9258226937601099</v>
      </c>
      <c r="J1137" s="6">
        <v>5.8121239550609696</v>
      </c>
      <c r="K1137" s="6">
        <v>5.4313218708536004</v>
      </c>
      <c r="L1137">
        <v>1.4319859431993001</v>
      </c>
      <c r="M1137">
        <v>0.40612902762625502</v>
      </c>
    </row>
    <row r="1138" spans="1:13" x14ac:dyDescent="0.25">
      <c r="A1138">
        <v>842</v>
      </c>
      <c r="B1138" t="str">
        <f>"EEF1G"</f>
        <v>EEF1G</v>
      </c>
      <c r="C1138" t="str">
        <f>""</f>
        <v/>
      </c>
      <c r="D1138">
        <v>50.118000000000002</v>
      </c>
      <c r="E1138">
        <v>23.1</v>
      </c>
      <c r="F1138">
        <v>30</v>
      </c>
      <c r="G1138">
        <v>35</v>
      </c>
      <c r="H1138">
        <v>33</v>
      </c>
      <c r="I1138" s="7">
        <v>16.8249544018291</v>
      </c>
      <c r="J1138" s="6">
        <v>20.342433842713401</v>
      </c>
      <c r="K1138" s="6">
        <v>19.914846859796601</v>
      </c>
      <c r="L1138">
        <v>1.1963563092371099</v>
      </c>
      <c r="M1138">
        <v>0.40947422955638602</v>
      </c>
    </row>
    <row r="1139" spans="1:13" x14ac:dyDescent="0.25">
      <c r="A1139">
        <v>987</v>
      </c>
      <c r="B1139" t="str">
        <f>"RPS19"</f>
        <v>RPS19</v>
      </c>
      <c r="C1139" t="str">
        <f>""</f>
        <v/>
      </c>
      <c r="D1139">
        <v>16.059999999999999</v>
      </c>
      <c r="E1139">
        <v>24.8</v>
      </c>
      <c r="F1139">
        <v>12</v>
      </c>
      <c r="G1139">
        <v>16</v>
      </c>
      <c r="H1139">
        <v>14</v>
      </c>
      <c r="I1139" s="7">
        <v>6.7299817607316301</v>
      </c>
      <c r="J1139" s="6">
        <v>9.2993983280975403</v>
      </c>
      <c r="K1139" s="6">
        <v>8.4487229102167198</v>
      </c>
      <c r="L1139">
        <v>1.31858613212533</v>
      </c>
      <c r="M1139">
        <v>0.41010690594622301</v>
      </c>
    </row>
    <row r="1140" spans="1:13" x14ac:dyDescent="0.25">
      <c r="A1140">
        <v>1315</v>
      </c>
      <c r="B1140" t="str">
        <f>"RPS13"</f>
        <v>RPS13</v>
      </c>
      <c r="C1140" t="str">
        <f>""</f>
        <v/>
      </c>
      <c r="D1140">
        <v>17.222000000000001</v>
      </c>
      <c r="E1140">
        <v>23.8</v>
      </c>
      <c r="F1140">
        <v>4</v>
      </c>
      <c r="G1140">
        <v>6</v>
      </c>
      <c r="H1140">
        <v>6</v>
      </c>
      <c r="I1140" s="7">
        <v>2.2433272535772102</v>
      </c>
      <c r="J1140" s="6">
        <v>3.4872743730365801</v>
      </c>
      <c r="K1140" s="6">
        <v>3.6208812472357401</v>
      </c>
      <c r="L1140">
        <v>1.5842886072323299</v>
      </c>
      <c r="M1140">
        <v>0.41163199546291901</v>
      </c>
    </row>
    <row r="1141" spans="1:13" x14ac:dyDescent="0.25">
      <c r="A1141">
        <v>1793</v>
      </c>
      <c r="B1141" t="str">
        <f>"KIAA1033"</f>
        <v>KIAA1033</v>
      </c>
      <c r="C1141" t="str">
        <f>""</f>
        <v/>
      </c>
      <c r="D1141">
        <v>136.4</v>
      </c>
      <c r="E1141">
        <v>4.0999999999999996</v>
      </c>
      <c r="F1141">
        <v>4</v>
      </c>
      <c r="G1141">
        <v>6</v>
      </c>
      <c r="H1141">
        <v>6</v>
      </c>
      <c r="I1141" s="7">
        <v>2.2433272535772102</v>
      </c>
      <c r="J1141" s="6">
        <v>3.4872743730365801</v>
      </c>
      <c r="K1141" s="6">
        <v>3.6208812472357401</v>
      </c>
      <c r="L1141">
        <v>1.5842886072323299</v>
      </c>
      <c r="M1141">
        <v>0.41163199546291901</v>
      </c>
    </row>
    <row r="1142" spans="1:13" x14ac:dyDescent="0.25">
      <c r="A1142">
        <v>2665</v>
      </c>
      <c r="B1142" t="str">
        <f>"PPA2"</f>
        <v>PPA2</v>
      </c>
      <c r="C1142" t="str">
        <f>""</f>
        <v/>
      </c>
      <c r="D1142">
        <v>37.92</v>
      </c>
      <c r="E1142">
        <v>10.199999999999999</v>
      </c>
      <c r="F1142">
        <v>4</v>
      </c>
      <c r="G1142">
        <v>6</v>
      </c>
      <c r="H1142">
        <v>6</v>
      </c>
      <c r="I1142" s="7">
        <v>2.2433272535772102</v>
      </c>
      <c r="J1142" s="6">
        <v>3.4872743730365801</v>
      </c>
      <c r="K1142" s="6">
        <v>3.6208812472357401</v>
      </c>
      <c r="L1142">
        <v>1.5842886072323299</v>
      </c>
      <c r="M1142">
        <v>0.41163199546291901</v>
      </c>
    </row>
    <row r="1143" spans="1:13" x14ac:dyDescent="0.25">
      <c r="A1143">
        <v>1492</v>
      </c>
      <c r="B1143" t="str">
        <f>"NSUN2"</f>
        <v>NSUN2</v>
      </c>
      <c r="C1143" t="str">
        <f>""</f>
        <v/>
      </c>
      <c r="D1143">
        <v>86.47</v>
      </c>
      <c r="E1143">
        <v>11.5</v>
      </c>
      <c r="F1143">
        <v>4</v>
      </c>
      <c r="G1143">
        <v>5</v>
      </c>
      <c r="H1143">
        <v>7</v>
      </c>
      <c r="I1143" s="7">
        <v>2.2433272535772102</v>
      </c>
      <c r="J1143" s="6">
        <v>2.9060619775304799</v>
      </c>
      <c r="K1143" s="6">
        <v>4.2243614551083599</v>
      </c>
      <c r="L1143">
        <v>1.5892517289371599</v>
      </c>
      <c r="M1143">
        <v>0.41180605057781999</v>
      </c>
    </row>
    <row r="1144" spans="1:13" x14ac:dyDescent="0.25">
      <c r="A1144">
        <v>3057</v>
      </c>
      <c r="B1144" t="str">
        <f>"DIS3"</f>
        <v>DIS3</v>
      </c>
      <c r="C1144" t="str">
        <f>""</f>
        <v/>
      </c>
      <c r="D1144">
        <v>105.04</v>
      </c>
      <c r="E1144">
        <v>5</v>
      </c>
      <c r="F1144">
        <v>4</v>
      </c>
      <c r="G1144">
        <v>5</v>
      </c>
      <c r="H1144">
        <v>7</v>
      </c>
      <c r="I1144" s="7">
        <v>2.2433272535772102</v>
      </c>
      <c r="J1144" s="6">
        <v>2.9060619775304799</v>
      </c>
      <c r="K1144" s="6">
        <v>4.2243614551083599</v>
      </c>
      <c r="L1144">
        <v>1.5892517289371599</v>
      </c>
      <c r="M1144">
        <v>0.41180605057781999</v>
      </c>
    </row>
    <row r="1145" spans="1:13" x14ac:dyDescent="0.25">
      <c r="A1145">
        <v>2158</v>
      </c>
      <c r="B1145" t="str">
        <f>"EMC1"</f>
        <v>EMC1</v>
      </c>
      <c r="C1145" t="str">
        <f>""</f>
        <v/>
      </c>
      <c r="D1145">
        <v>109.42</v>
      </c>
      <c r="E1145">
        <v>7.6</v>
      </c>
      <c r="F1145">
        <v>4</v>
      </c>
      <c r="G1145">
        <v>8</v>
      </c>
      <c r="H1145">
        <v>4</v>
      </c>
      <c r="I1145" s="7">
        <v>2.2433272535772102</v>
      </c>
      <c r="J1145" s="6">
        <v>4.6496991640487702</v>
      </c>
      <c r="K1145" s="6">
        <v>2.4139208314904899</v>
      </c>
      <c r="L1145">
        <v>1.57436236382267</v>
      </c>
      <c r="M1145">
        <v>0.41232895546618797</v>
      </c>
    </row>
    <row r="1146" spans="1:13" x14ac:dyDescent="0.25">
      <c r="A1146">
        <v>3127</v>
      </c>
      <c r="B1146" t="str">
        <f>"SUPT16H"</f>
        <v>SUPT16H</v>
      </c>
      <c r="C1146" t="str">
        <f>""</f>
        <v/>
      </c>
      <c r="D1146">
        <v>119.91</v>
      </c>
      <c r="E1146">
        <v>14.3</v>
      </c>
      <c r="F1146">
        <v>23</v>
      </c>
      <c r="G1146">
        <v>17</v>
      </c>
      <c r="H1146">
        <v>18</v>
      </c>
      <c r="I1146" s="7">
        <v>12.8991317080689</v>
      </c>
      <c r="J1146" s="6">
        <v>9.88061072360364</v>
      </c>
      <c r="K1146" s="6">
        <v>10.862643741707201</v>
      </c>
      <c r="L1146">
        <v>-1.24369411074239</v>
      </c>
      <c r="M1146">
        <v>0.420703289251875</v>
      </c>
    </row>
    <row r="1147" spans="1:13" x14ac:dyDescent="0.25">
      <c r="A1147">
        <v>618</v>
      </c>
      <c r="B1147" t="str">
        <f>"ALDOC"</f>
        <v>ALDOC</v>
      </c>
      <c r="C1147" t="str">
        <f>""</f>
        <v/>
      </c>
      <c r="D1147">
        <v>39.454999999999998</v>
      </c>
      <c r="E1147">
        <v>14.8</v>
      </c>
      <c r="F1147">
        <v>2</v>
      </c>
      <c r="G1147">
        <v>3</v>
      </c>
      <c r="H1147">
        <v>4</v>
      </c>
      <c r="I1147" s="7">
        <v>1.1216636267886</v>
      </c>
      <c r="J1147" s="6">
        <v>1.74363718651829</v>
      </c>
      <c r="K1147" s="6">
        <v>2.4139208314904899</v>
      </c>
      <c r="L1147">
        <v>1.8532998301425401</v>
      </c>
      <c r="M1147">
        <v>0.42220318673579799</v>
      </c>
    </row>
    <row r="1148" spans="1:13" x14ac:dyDescent="0.25">
      <c r="A1148">
        <v>609</v>
      </c>
      <c r="B1148" t="str">
        <f>"ANXA4"</f>
        <v>ANXA4</v>
      </c>
      <c r="C1148" t="str">
        <f>""</f>
        <v/>
      </c>
      <c r="D1148">
        <v>35.881999999999998</v>
      </c>
      <c r="E1148">
        <v>11.6</v>
      </c>
      <c r="F1148">
        <v>2</v>
      </c>
      <c r="G1148">
        <v>3</v>
      </c>
      <c r="H1148">
        <v>4</v>
      </c>
      <c r="I1148" s="7">
        <v>1.1216636267886</v>
      </c>
      <c r="J1148" s="6">
        <v>1.74363718651829</v>
      </c>
      <c r="K1148" s="6">
        <v>2.4139208314904899</v>
      </c>
      <c r="L1148">
        <v>1.8532998301425401</v>
      </c>
      <c r="M1148">
        <v>0.42220318673579799</v>
      </c>
    </row>
    <row r="1149" spans="1:13" x14ac:dyDescent="0.25">
      <c r="A1149">
        <v>590</v>
      </c>
      <c r="B1149" t="str">
        <f>"ASNS"</f>
        <v>ASNS</v>
      </c>
      <c r="C1149" t="str">
        <f>""</f>
        <v/>
      </c>
      <c r="D1149">
        <v>64.369</v>
      </c>
      <c r="E1149">
        <v>12.3</v>
      </c>
      <c r="F1149">
        <v>2</v>
      </c>
      <c r="G1149">
        <v>3</v>
      </c>
      <c r="H1149">
        <v>4</v>
      </c>
      <c r="I1149" s="7">
        <v>1.1216636267886</v>
      </c>
      <c r="J1149" s="6">
        <v>1.74363718651829</v>
      </c>
      <c r="K1149" s="6">
        <v>2.4139208314904899</v>
      </c>
      <c r="L1149">
        <v>1.8532998301425401</v>
      </c>
      <c r="M1149">
        <v>0.42220318673579799</v>
      </c>
    </row>
    <row r="1150" spans="1:13" x14ac:dyDescent="0.25">
      <c r="A1150">
        <v>758</v>
      </c>
      <c r="B1150" t="str">
        <f>"EIF2S2"</f>
        <v>EIF2S2</v>
      </c>
      <c r="C1150" t="str">
        <f>""</f>
        <v/>
      </c>
      <c r="D1150">
        <v>38.387999999999998</v>
      </c>
      <c r="E1150">
        <v>6.3</v>
      </c>
      <c r="F1150">
        <v>2</v>
      </c>
      <c r="G1150">
        <v>3</v>
      </c>
      <c r="H1150">
        <v>4</v>
      </c>
      <c r="I1150" s="7">
        <v>1.1216636267886</v>
      </c>
      <c r="J1150" s="6">
        <v>1.74363718651829</v>
      </c>
      <c r="K1150" s="6">
        <v>2.4139208314904899</v>
      </c>
      <c r="L1150">
        <v>1.8532998301425401</v>
      </c>
      <c r="M1150">
        <v>0.42220318673579799</v>
      </c>
    </row>
    <row r="1151" spans="1:13" x14ac:dyDescent="0.25">
      <c r="A1151">
        <v>939</v>
      </c>
      <c r="B1151" t="str">
        <f>"PFN2"</f>
        <v>PFN2</v>
      </c>
      <c r="C1151" t="str">
        <f>""</f>
        <v/>
      </c>
      <c r="D1151">
        <v>15.087999999999999</v>
      </c>
      <c r="E1151">
        <v>15.7</v>
      </c>
      <c r="F1151">
        <v>2</v>
      </c>
      <c r="G1151">
        <v>3</v>
      </c>
      <c r="H1151">
        <v>4</v>
      </c>
      <c r="I1151" s="7">
        <v>1.1216636267886</v>
      </c>
      <c r="J1151" s="6">
        <v>1.74363718651829</v>
      </c>
      <c r="K1151" s="6">
        <v>2.4139208314904899</v>
      </c>
      <c r="L1151">
        <v>1.8532998301425401</v>
      </c>
      <c r="M1151">
        <v>0.42220318673579799</v>
      </c>
    </row>
    <row r="1152" spans="1:13" x14ac:dyDescent="0.25">
      <c r="A1152">
        <v>2095</v>
      </c>
      <c r="B1152" t="str">
        <f>"ZC3H7A"</f>
        <v>ZC3H7A</v>
      </c>
      <c r="C1152" t="str">
        <f>""</f>
        <v/>
      </c>
      <c r="D1152">
        <v>110.54</v>
      </c>
      <c r="E1152">
        <v>2.2999999999999998</v>
      </c>
      <c r="F1152">
        <v>2</v>
      </c>
      <c r="G1152">
        <v>3</v>
      </c>
      <c r="H1152">
        <v>4</v>
      </c>
      <c r="I1152" s="7">
        <v>1.1216636267886</v>
      </c>
      <c r="J1152" s="6">
        <v>1.74363718651829</v>
      </c>
      <c r="K1152" s="6">
        <v>2.4139208314904899</v>
      </c>
      <c r="L1152">
        <v>1.8532998301425401</v>
      </c>
      <c r="M1152">
        <v>0.42220318673579799</v>
      </c>
    </row>
    <row r="1153" spans="1:13" x14ac:dyDescent="0.25">
      <c r="A1153">
        <v>3021</v>
      </c>
      <c r="B1153" t="str">
        <f>"MACF1"</f>
        <v>MACF1</v>
      </c>
      <c r="C1153" t="str">
        <f>""</f>
        <v/>
      </c>
      <c r="D1153">
        <v>606.16</v>
      </c>
      <c r="E1153">
        <v>1.5</v>
      </c>
      <c r="F1153">
        <v>2</v>
      </c>
      <c r="G1153">
        <v>3</v>
      </c>
      <c r="H1153">
        <v>4</v>
      </c>
      <c r="I1153" s="7">
        <v>1.1216636267886</v>
      </c>
      <c r="J1153" s="6">
        <v>1.74363718651829</v>
      </c>
      <c r="K1153" s="6">
        <v>2.4139208314904899</v>
      </c>
      <c r="L1153">
        <v>1.8532998301425401</v>
      </c>
      <c r="M1153">
        <v>0.42220318673579799</v>
      </c>
    </row>
    <row r="1154" spans="1:13" x14ac:dyDescent="0.25">
      <c r="A1154">
        <v>3119</v>
      </c>
      <c r="B1154" t="str">
        <f>"ARIH1"</f>
        <v>ARIH1</v>
      </c>
      <c r="C1154" t="str">
        <f>""</f>
        <v/>
      </c>
      <c r="D1154">
        <v>64.117000000000004</v>
      </c>
      <c r="E1154">
        <v>7.7</v>
      </c>
      <c r="F1154">
        <v>2</v>
      </c>
      <c r="G1154">
        <v>3</v>
      </c>
      <c r="H1154">
        <v>4</v>
      </c>
      <c r="I1154" s="7">
        <v>1.1216636267886</v>
      </c>
      <c r="J1154" s="6">
        <v>1.74363718651829</v>
      </c>
      <c r="K1154" s="6">
        <v>2.4139208314904899</v>
      </c>
      <c r="L1154">
        <v>1.8532998301425401</v>
      </c>
      <c r="M1154">
        <v>0.42220318673579799</v>
      </c>
    </row>
    <row r="1155" spans="1:13" x14ac:dyDescent="0.25">
      <c r="A1155">
        <v>2598</v>
      </c>
      <c r="B1155" t="str">
        <f>"EIF2A"</f>
        <v>EIF2A</v>
      </c>
      <c r="C1155" t="str">
        <f>""</f>
        <v/>
      </c>
      <c r="D1155">
        <v>62.287999999999997</v>
      </c>
      <c r="E1155">
        <v>12</v>
      </c>
      <c r="F1155">
        <v>2</v>
      </c>
      <c r="G1155">
        <v>4</v>
      </c>
      <c r="H1155">
        <v>3</v>
      </c>
      <c r="I1155" s="7">
        <v>1.1216636267886</v>
      </c>
      <c r="J1155" s="6">
        <v>2.32484958202439</v>
      </c>
      <c r="K1155" s="6">
        <v>1.8104406236178701</v>
      </c>
      <c r="L1155">
        <v>1.84337358673289</v>
      </c>
      <c r="M1155">
        <v>0.422203205520995</v>
      </c>
    </row>
    <row r="1156" spans="1:13" x14ac:dyDescent="0.25">
      <c r="A1156">
        <v>353</v>
      </c>
      <c r="B1156" t="str">
        <f>"CCNK"</f>
        <v>CCNK</v>
      </c>
      <c r="C1156" t="str">
        <f>""</f>
        <v/>
      </c>
      <c r="D1156">
        <v>40.786999999999999</v>
      </c>
      <c r="E1156">
        <v>5.4</v>
      </c>
      <c r="F1156">
        <v>2</v>
      </c>
      <c r="G1156">
        <v>4</v>
      </c>
      <c r="H1156">
        <v>3</v>
      </c>
      <c r="I1156" s="7">
        <v>1.1216636267886</v>
      </c>
      <c r="J1156" s="6">
        <v>2.32484958202439</v>
      </c>
      <c r="K1156" s="6">
        <v>1.8104406236178701</v>
      </c>
      <c r="L1156">
        <v>1.84337358673289</v>
      </c>
      <c r="M1156">
        <v>0.422203205520995</v>
      </c>
    </row>
    <row r="1157" spans="1:13" x14ac:dyDescent="0.25">
      <c r="A1157">
        <v>385</v>
      </c>
      <c r="B1157" t="str">
        <f>"IKBKAP"</f>
        <v>IKBKAP</v>
      </c>
      <c r="C1157" t="str">
        <f>""</f>
        <v/>
      </c>
      <c r="D1157">
        <v>150.25</v>
      </c>
      <c r="E1157">
        <v>5.4</v>
      </c>
      <c r="F1157">
        <v>2</v>
      </c>
      <c r="G1157">
        <v>4</v>
      </c>
      <c r="H1157">
        <v>3</v>
      </c>
      <c r="I1157" s="7">
        <v>1.1216636267886</v>
      </c>
      <c r="J1157" s="6">
        <v>2.32484958202439</v>
      </c>
      <c r="K1157" s="6">
        <v>1.8104406236178701</v>
      </c>
      <c r="L1157">
        <v>1.84337358673289</v>
      </c>
      <c r="M1157">
        <v>0.422203205520995</v>
      </c>
    </row>
    <row r="1158" spans="1:13" x14ac:dyDescent="0.25">
      <c r="A1158">
        <v>1286</v>
      </c>
      <c r="B1158" t="str">
        <f>"PSME3"</f>
        <v>PSME3</v>
      </c>
      <c r="C1158" t="str">
        <f>""</f>
        <v/>
      </c>
      <c r="D1158">
        <v>29.506</v>
      </c>
      <c r="E1158">
        <v>11.8</v>
      </c>
      <c r="F1158">
        <v>2</v>
      </c>
      <c r="G1158">
        <v>4</v>
      </c>
      <c r="H1158">
        <v>3</v>
      </c>
      <c r="I1158" s="7">
        <v>1.1216636267886</v>
      </c>
      <c r="J1158" s="6">
        <v>2.32484958202439</v>
      </c>
      <c r="K1158" s="6">
        <v>1.8104406236178701</v>
      </c>
      <c r="L1158">
        <v>1.84337358673289</v>
      </c>
      <c r="M1158">
        <v>0.422203205520995</v>
      </c>
    </row>
    <row r="1159" spans="1:13" x14ac:dyDescent="0.25">
      <c r="A1159">
        <v>1606</v>
      </c>
      <c r="B1159" t="str">
        <f>"DDX39B"</f>
        <v>DDX39B</v>
      </c>
      <c r="C1159" t="str">
        <f>""</f>
        <v/>
      </c>
      <c r="D1159">
        <v>48.991</v>
      </c>
      <c r="E1159">
        <v>9.1</v>
      </c>
      <c r="F1159">
        <v>2</v>
      </c>
      <c r="G1159">
        <v>4</v>
      </c>
      <c r="H1159">
        <v>3</v>
      </c>
      <c r="I1159" s="7">
        <v>1.1216636267886</v>
      </c>
      <c r="J1159" s="6">
        <v>2.32484958202439</v>
      </c>
      <c r="K1159" s="6">
        <v>1.8104406236178701</v>
      </c>
      <c r="L1159">
        <v>1.84337358673289</v>
      </c>
      <c r="M1159">
        <v>0.422203205520995</v>
      </c>
    </row>
    <row r="1160" spans="1:13" x14ac:dyDescent="0.25">
      <c r="A1160">
        <v>2281</v>
      </c>
      <c r="B1160" t="str">
        <f>"LARP4B"</f>
        <v>LARP4B</v>
      </c>
      <c r="C1160" t="str">
        <f>""</f>
        <v/>
      </c>
      <c r="D1160">
        <v>80.551000000000002</v>
      </c>
      <c r="E1160">
        <v>4.5</v>
      </c>
      <c r="F1160">
        <v>2</v>
      </c>
      <c r="G1160">
        <v>4</v>
      </c>
      <c r="H1160">
        <v>3</v>
      </c>
      <c r="I1160" s="7">
        <v>1.1216636267886</v>
      </c>
      <c r="J1160" s="6">
        <v>2.32484958202439</v>
      </c>
      <c r="K1160" s="6">
        <v>1.8104406236178701</v>
      </c>
      <c r="L1160">
        <v>1.84337358673289</v>
      </c>
      <c r="M1160">
        <v>0.422203205520995</v>
      </c>
    </row>
    <row r="1161" spans="1:13" x14ac:dyDescent="0.25">
      <c r="A1161">
        <v>1336</v>
      </c>
      <c r="B1161" t="str">
        <f>"RPS25"</f>
        <v>RPS25</v>
      </c>
      <c r="C1161" t="str">
        <f>""</f>
        <v/>
      </c>
      <c r="D1161">
        <v>13.742000000000001</v>
      </c>
      <c r="E1161">
        <v>8.8000000000000007</v>
      </c>
      <c r="F1161">
        <v>2</v>
      </c>
      <c r="G1161">
        <v>2</v>
      </c>
      <c r="H1161">
        <v>5</v>
      </c>
      <c r="I1161" s="7">
        <v>1.1216636267886</v>
      </c>
      <c r="J1161" s="6">
        <v>1.1624247910121901</v>
      </c>
      <c r="K1161" s="6">
        <v>3.0174010393631101</v>
      </c>
      <c r="L1161">
        <v>1.8632260735521999</v>
      </c>
      <c r="M1161">
        <v>0.42300432087328299</v>
      </c>
    </row>
    <row r="1162" spans="1:13" x14ac:dyDescent="0.25">
      <c r="A1162">
        <v>275</v>
      </c>
      <c r="B1162" t="str">
        <f>"PRMT3"</f>
        <v>PRMT3</v>
      </c>
      <c r="C1162" t="str">
        <f>""</f>
        <v/>
      </c>
      <c r="D1162">
        <v>59.902000000000001</v>
      </c>
      <c r="E1162">
        <v>6.6</v>
      </c>
      <c r="F1162">
        <v>2</v>
      </c>
      <c r="G1162">
        <v>2</v>
      </c>
      <c r="H1162">
        <v>5</v>
      </c>
      <c r="I1162" s="7">
        <v>1.1216636267886</v>
      </c>
      <c r="J1162" s="6">
        <v>1.1624247910121901</v>
      </c>
      <c r="K1162" s="6">
        <v>3.0174010393631101</v>
      </c>
      <c r="L1162">
        <v>1.8632260735521999</v>
      </c>
      <c r="M1162">
        <v>0.42300432087328299</v>
      </c>
    </row>
    <row r="1163" spans="1:13" x14ac:dyDescent="0.25">
      <c r="A1163">
        <v>2031</v>
      </c>
      <c r="B1163" t="str">
        <f>"IRF2BP2;IRF2BPL"</f>
        <v>IRF2BP2;IRF2BPL</v>
      </c>
      <c r="C1163" t="str">
        <f>""</f>
        <v/>
      </c>
      <c r="D1163">
        <v>59.48</v>
      </c>
      <c r="E1163">
        <v>4.5999999999999996</v>
      </c>
      <c r="F1163">
        <v>2</v>
      </c>
      <c r="G1163">
        <v>5</v>
      </c>
      <c r="H1163">
        <v>2</v>
      </c>
      <c r="I1163" s="7">
        <v>1.1216636267886</v>
      </c>
      <c r="J1163" s="6">
        <v>2.9060619775304799</v>
      </c>
      <c r="K1163" s="6">
        <v>1.20696041574525</v>
      </c>
      <c r="L1163">
        <v>1.8334473433232299</v>
      </c>
      <c r="M1163">
        <v>0.423004366624112</v>
      </c>
    </row>
    <row r="1164" spans="1:13" x14ac:dyDescent="0.25">
      <c r="A1164">
        <v>540</v>
      </c>
      <c r="B1164" t="str">
        <f>"SSB"</f>
        <v>SSB</v>
      </c>
      <c r="C1164" t="str">
        <f>""</f>
        <v/>
      </c>
      <c r="D1164">
        <v>46.835999999999999</v>
      </c>
      <c r="E1164">
        <v>27.5</v>
      </c>
      <c r="F1164">
        <v>8</v>
      </c>
      <c r="G1164">
        <v>11</v>
      </c>
      <c r="H1164">
        <v>10</v>
      </c>
      <c r="I1164" s="7">
        <v>4.4866545071544204</v>
      </c>
      <c r="J1164" s="6">
        <v>6.3933363505670604</v>
      </c>
      <c r="K1164" s="6">
        <v>6.03480207872623</v>
      </c>
      <c r="L1164">
        <v>1.3850117509020801</v>
      </c>
      <c r="M1164">
        <v>0.42401827288793698</v>
      </c>
    </row>
    <row r="1165" spans="1:13" x14ac:dyDescent="0.25">
      <c r="A1165">
        <v>3041</v>
      </c>
      <c r="B1165" t="str">
        <f>"RUVBL2"</f>
        <v>RUVBL2</v>
      </c>
      <c r="C1165" t="str">
        <f>""</f>
        <v/>
      </c>
      <c r="D1165">
        <v>51.155999999999999</v>
      </c>
      <c r="E1165">
        <v>16.600000000000001</v>
      </c>
      <c r="F1165">
        <v>8</v>
      </c>
      <c r="G1165">
        <v>9</v>
      </c>
      <c r="H1165">
        <v>12</v>
      </c>
      <c r="I1165" s="7">
        <v>4.4866545071544204</v>
      </c>
      <c r="J1165" s="6">
        <v>5.2309115595548699</v>
      </c>
      <c r="K1165" s="6">
        <v>7.2417624944714696</v>
      </c>
      <c r="L1165">
        <v>1.3899748726069101</v>
      </c>
      <c r="M1165">
        <v>0.424169797468813</v>
      </c>
    </row>
    <row r="1166" spans="1:13" x14ac:dyDescent="0.25">
      <c r="A1166">
        <v>1675</v>
      </c>
      <c r="B1166" t="str">
        <f>"KPNB1"</f>
        <v>KPNB1</v>
      </c>
      <c r="C1166" t="str">
        <f>""</f>
        <v/>
      </c>
      <c r="D1166">
        <v>97.168999999999997</v>
      </c>
      <c r="E1166">
        <v>15</v>
      </c>
      <c r="F1166">
        <v>23</v>
      </c>
      <c r="G1166">
        <v>28</v>
      </c>
      <c r="H1166">
        <v>25</v>
      </c>
      <c r="I1166" s="7">
        <v>12.8991317080689</v>
      </c>
      <c r="J1166" s="6">
        <v>16.2739470741707</v>
      </c>
      <c r="K1166" s="6">
        <v>15.0870051968156</v>
      </c>
      <c r="L1166">
        <v>1.21562260858879</v>
      </c>
      <c r="M1166">
        <v>0.42884575184776902</v>
      </c>
    </row>
    <row r="1167" spans="1:13" x14ac:dyDescent="0.25">
      <c r="A1167">
        <v>1711</v>
      </c>
      <c r="B1167" t="str">
        <f>"NONO"</f>
        <v>NONO</v>
      </c>
      <c r="C1167" t="str">
        <f>""</f>
        <v/>
      </c>
      <c r="D1167">
        <v>43.866</v>
      </c>
      <c r="E1167">
        <v>18.600000000000001</v>
      </c>
      <c r="F1167">
        <v>24</v>
      </c>
      <c r="G1167">
        <v>30</v>
      </c>
      <c r="H1167">
        <v>25</v>
      </c>
      <c r="I1167" s="7">
        <v>13.459963521463299</v>
      </c>
      <c r="J1167" s="6">
        <v>17.436371865182899</v>
      </c>
      <c r="K1167" s="6">
        <v>15.0870051968156</v>
      </c>
      <c r="L1167">
        <v>1.20815249648102</v>
      </c>
      <c r="M1167">
        <v>0.43282426753249098</v>
      </c>
    </row>
    <row r="1168" spans="1:13" x14ac:dyDescent="0.25">
      <c r="A1168">
        <v>192</v>
      </c>
      <c r="B1168" t="str">
        <f>"EIF3H"</f>
        <v>EIF3H</v>
      </c>
      <c r="C1168" t="str">
        <f>""</f>
        <v/>
      </c>
      <c r="D1168">
        <v>39.93</v>
      </c>
      <c r="E1168">
        <v>8.8000000000000007</v>
      </c>
      <c r="F1168">
        <v>9</v>
      </c>
      <c r="G1168">
        <v>7</v>
      </c>
      <c r="H1168">
        <v>5</v>
      </c>
      <c r="I1168" s="7">
        <v>5.0474863205487202</v>
      </c>
      <c r="J1168" s="6">
        <v>4.0684867685426802</v>
      </c>
      <c r="K1168" s="6">
        <v>3.0174010393631101</v>
      </c>
      <c r="L1168">
        <v>-1.4246588310125901</v>
      </c>
      <c r="M1168">
        <v>0.43307912820024902</v>
      </c>
    </row>
    <row r="1169" spans="1:13" x14ac:dyDescent="0.25">
      <c r="A1169">
        <v>1308</v>
      </c>
      <c r="B1169" t="str">
        <f>"RPS8"</f>
        <v>RPS8</v>
      </c>
      <c r="C1169" t="str">
        <f>""</f>
        <v/>
      </c>
      <c r="D1169">
        <v>24.204999999999998</v>
      </c>
      <c r="E1169">
        <v>26.9</v>
      </c>
      <c r="F1169">
        <v>9</v>
      </c>
      <c r="G1169">
        <v>6</v>
      </c>
      <c r="H1169">
        <v>6</v>
      </c>
      <c r="I1169" s="7">
        <v>5.0474863205487202</v>
      </c>
      <c r="J1169" s="6">
        <v>3.4872743730365801</v>
      </c>
      <c r="K1169" s="6">
        <v>3.6208812472357401</v>
      </c>
      <c r="L1169">
        <v>-1.4201957836019801</v>
      </c>
      <c r="M1169">
        <v>0.43324255127083799</v>
      </c>
    </row>
    <row r="1170" spans="1:13" x14ac:dyDescent="0.25">
      <c r="A1170">
        <v>318</v>
      </c>
      <c r="B1170" t="str">
        <f>"VPS4B"</f>
        <v>VPS4B</v>
      </c>
      <c r="C1170" t="str">
        <f>""</f>
        <v/>
      </c>
      <c r="D1170">
        <v>49.301000000000002</v>
      </c>
      <c r="E1170">
        <v>6.1</v>
      </c>
      <c r="F1170">
        <v>3</v>
      </c>
      <c r="G1170">
        <v>0</v>
      </c>
      <c r="H1170">
        <v>3</v>
      </c>
      <c r="I1170" s="7">
        <v>1.68249544018291</v>
      </c>
      <c r="J1170" s="6">
        <v>0</v>
      </c>
      <c r="K1170" s="6">
        <v>1.8104406236178701</v>
      </c>
      <c r="L1170">
        <v>-1.85865851465564</v>
      </c>
      <c r="M1170">
        <v>0.43725859556852797</v>
      </c>
    </row>
    <row r="1171" spans="1:13" x14ac:dyDescent="0.25">
      <c r="A1171">
        <v>809</v>
      </c>
      <c r="B1171" t="str">
        <f>"EIF4B"</f>
        <v>EIF4B</v>
      </c>
      <c r="C1171" t="str">
        <f>""</f>
        <v/>
      </c>
      <c r="D1171">
        <v>69.150000000000006</v>
      </c>
      <c r="E1171">
        <v>6.2</v>
      </c>
      <c r="F1171">
        <v>3</v>
      </c>
      <c r="G1171">
        <v>0</v>
      </c>
      <c r="H1171">
        <v>3</v>
      </c>
      <c r="I1171" s="7">
        <v>1.68249544018291</v>
      </c>
      <c r="J1171" s="6">
        <v>0</v>
      </c>
      <c r="K1171" s="6">
        <v>1.8104406236178701</v>
      </c>
      <c r="L1171">
        <v>-1.85865851465564</v>
      </c>
      <c r="M1171">
        <v>0.43725859556852797</v>
      </c>
    </row>
    <row r="1172" spans="1:13" x14ac:dyDescent="0.25">
      <c r="A1172">
        <v>998</v>
      </c>
      <c r="B1172" t="str">
        <f>"RPL13A"</f>
        <v>RPL13A</v>
      </c>
      <c r="C1172" t="str">
        <f>""</f>
        <v/>
      </c>
      <c r="D1172">
        <v>23.577000000000002</v>
      </c>
      <c r="E1172">
        <v>11.3</v>
      </c>
      <c r="F1172">
        <v>3</v>
      </c>
      <c r="G1172">
        <v>0</v>
      </c>
      <c r="H1172">
        <v>3</v>
      </c>
      <c r="I1172" s="7">
        <v>1.68249544018291</v>
      </c>
      <c r="J1172" s="6">
        <v>0</v>
      </c>
      <c r="K1172" s="6">
        <v>1.8104406236178701</v>
      </c>
      <c r="L1172">
        <v>-1.85865851465564</v>
      </c>
      <c r="M1172">
        <v>0.43725859556852797</v>
      </c>
    </row>
    <row r="1173" spans="1:13" x14ac:dyDescent="0.25">
      <c r="A1173">
        <v>843</v>
      </c>
      <c r="B1173" t="str">
        <f>"FKBP2"</f>
        <v>FKBP2</v>
      </c>
      <c r="C1173" t="str">
        <f>""</f>
        <v/>
      </c>
      <c r="D1173">
        <v>15.648999999999999</v>
      </c>
      <c r="E1173">
        <v>8.5</v>
      </c>
      <c r="F1173">
        <v>3</v>
      </c>
      <c r="G1173">
        <v>3</v>
      </c>
      <c r="H1173">
        <v>0</v>
      </c>
      <c r="I1173" s="7">
        <v>1.68249544018291</v>
      </c>
      <c r="J1173" s="6">
        <v>1.74363718651829</v>
      </c>
      <c r="K1173" s="6">
        <v>0</v>
      </c>
      <c r="L1173">
        <v>-1.92986872864593</v>
      </c>
      <c r="M1173">
        <v>0.43756330393913301</v>
      </c>
    </row>
    <row r="1174" spans="1:13" x14ac:dyDescent="0.25">
      <c r="A1174">
        <v>2322</v>
      </c>
      <c r="B1174" t="str">
        <f>"ZNF622"</f>
        <v>ZNF622</v>
      </c>
      <c r="C1174" t="str">
        <f>""</f>
        <v/>
      </c>
      <c r="D1174">
        <v>54.271000000000001</v>
      </c>
      <c r="E1174">
        <v>5</v>
      </c>
      <c r="F1174">
        <v>3</v>
      </c>
      <c r="G1174">
        <v>3</v>
      </c>
      <c r="H1174">
        <v>0</v>
      </c>
      <c r="I1174" s="7">
        <v>1.68249544018291</v>
      </c>
      <c r="J1174" s="6">
        <v>1.74363718651829</v>
      </c>
      <c r="K1174" s="6">
        <v>0</v>
      </c>
      <c r="L1174">
        <v>-1.92986872864593</v>
      </c>
      <c r="M1174">
        <v>0.43756330393913301</v>
      </c>
    </row>
    <row r="1175" spans="1:13" x14ac:dyDescent="0.25">
      <c r="A1175">
        <v>2516</v>
      </c>
      <c r="B1175" t="str">
        <f>"WDR77"</f>
        <v>WDR77</v>
      </c>
      <c r="C1175" t="str">
        <f>""</f>
        <v/>
      </c>
      <c r="D1175">
        <v>36.723999999999997</v>
      </c>
      <c r="E1175">
        <v>8.5</v>
      </c>
      <c r="F1175">
        <v>9</v>
      </c>
      <c r="G1175">
        <v>12</v>
      </c>
      <c r="H1175">
        <v>11</v>
      </c>
      <c r="I1175" s="7">
        <v>5.0474863205487202</v>
      </c>
      <c r="J1175" s="6">
        <v>6.9745487460731601</v>
      </c>
      <c r="K1175" s="6">
        <v>6.6382822865988498</v>
      </c>
      <c r="L1175">
        <v>1.3484762680042399</v>
      </c>
      <c r="M1175">
        <v>0.43915806867782298</v>
      </c>
    </row>
    <row r="1176" spans="1:13" x14ac:dyDescent="0.25">
      <c r="A1176">
        <v>444</v>
      </c>
      <c r="B1176" t="str">
        <f>"PNP"</f>
        <v>PNP</v>
      </c>
      <c r="C1176" t="str">
        <f>""</f>
        <v/>
      </c>
      <c r="D1176">
        <v>32.118000000000002</v>
      </c>
      <c r="E1176">
        <v>32.5</v>
      </c>
      <c r="F1176">
        <v>3</v>
      </c>
      <c r="G1176">
        <v>2</v>
      </c>
      <c r="H1176">
        <v>1</v>
      </c>
      <c r="I1176" s="7">
        <v>1.68249544018291</v>
      </c>
      <c r="J1176" s="6">
        <v>1.1624247910121901</v>
      </c>
      <c r="K1176" s="6">
        <v>0.60348020787262302</v>
      </c>
      <c r="L1176">
        <v>-1.90553335682884</v>
      </c>
      <c r="M1176">
        <v>0.44006530620837597</v>
      </c>
    </row>
    <row r="1177" spans="1:13" x14ac:dyDescent="0.25">
      <c r="A1177">
        <v>178</v>
      </c>
      <c r="B1177" t="str">
        <f>"GNPAT"</f>
        <v>GNPAT</v>
      </c>
      <c r="C1177" t="str">
        <f>""</f>
        <v/>
      </c>
      <c r="D1177">
        <v>77.186999999999998</v>
      </c>
      <c r="E1177">
        <v>2.6</v>
      </c>
      <c r="F1177">
        <v>3</v>
      </c>
      <c r="G1177">
        <v>2</v>
      </c>
      <c r="H1177">
        <v>1</v>
      </c>
      <c r="I1177" s="7">
        <v>1.68249544018291</v>
      </c>
      <c r="J1177" s="6">
        <v>1.1624247910121901</v>
      </c>
      <c r="K1177" s="6">
        <v>0.60348020787262302</v>
      </c>
      <c r="L1177">
        <v>-1.90553335682884</v>
      </c>
      <c r="M1177">
        <v>0.44006530620837597</v>
      </c>
    </row>
    <row r="1178" spans="1:13" x14ac:dyDescent="0.25">
      <c r="A1178">
        <v>347</v>
      </c>
      <c r="B1178" t="str">
        <f>"CDC123"</f>
        <v>CDC123</v>
      </c>
      <c r="C1178" t="str">
        <f>""</f>
        <v/>
      </c>
      <c r="D1178">
        <v>39.134</v>
      </c>
      <c r="E1178">
        <v>6.5</v>
      </c>
      <c r="F1178">
        <v>3</v>
      </c>
      <c r="G1178">
        <v>2</v>
      </c>
      <c r="H1178">
        <v>1</v>
      </c>
      <c r="I1178" s="7">
        <v>1.68249544018291</v>
      </c>
      <c r="J1178" s="6">
        <v>1.1624247910121901</v>
      </c>
      <c r="K1178" s="6">
        <v>0.60348020787262302</v>
      </c>
      <c r="L1178">
        <v>-1.90553335682884</v>
      </c>
      <c r="M1178">
        <v>0.44006530620837597</v>
      </c>
    </row>
    <row r="1179" spans="1:13" x14ac:dyDescent="0.25">
      <c r="A1179">
        <v>805</v>
      </c>
      <c r="B1179" t="str">
        <f>"WARS"</f>
        <v>WARS</v>
      </c>
      <c r="C1179" t="str">
        <f>""</f>
        <v/>
      </c>
      <c r="D1179">
        <v>48.850999999999999</v>
      </c>
      <c r="E1179">
        <v>10.7</v>
      </c>
      <c r="F1179">
        <v>3</v>
      </c>
      <c r="G1179">
        <v>2</v>
      </c>
      <c r="H1179">
        <v>1</v>
      </c>
      <c r="I1179" s="7">
        <v>1.68249544018291</v>
      </c>
      <c r="J1179" s="6">
        <v>1.1624247910121901</v>
      </c>
      <c r="K1179" s="6">
        <v>0.60348020787262302</v>
      </c>
      <c r="L1179">
        <v>-1.90553335682884</v>
      </c>
      <c r="M1179">
        <v>0.44006530620837597</v>
      </c>
    </row>
    <row r="1180" spans="1:13" x14ac:dyDescent="0.25">
      <c r="A1180">
        <v>929</v>
      </c>
      <c r="B1180" t="str">
        <f>"CSTF2"</f>
        <v>CSTF2</v>
      </c>
      <c r="C1180" t="str">
        <f>""</f>
        <v/>
      </c>
      <c r="D1180">
        <v>59.250999999999998</v>
      </c>
      <c r="E1180">
        <v>4.0999999999999996</v>
      </c>
      <c r="F1180">
        <v>3</v>
      </c>
      <c r="G1180">
        <v>2</v>
      </c>
      <c r="H1180">
        <v>1</v>
      </c>
      <c r="I1180" s="7">
        <v>1.68249544018291</v>
      </c>
      <c r="J1180" s="6">
        <v>1.1624247910121901</v>
      </c>
      <c r="K1180" s="6">
        <v>0.60348020787262302</v>
      </c>
      <c r="L1180">
        <v>-1.90553335682884</v>
      </c>
      <c r="M1180">
        <v>0.44006530620837597</v>
      </c>
    </row>
    <row r="1181" spans="1:13" x14ac:dyDescent="0.25">
      <c r="A1181">
        <v>1665</v>
      </c>
      <c r="B1181" t="str">
        <f>"LBR"</f>
        <v>LBR</v>
      </c>
      <c r="C1181" t="str">
        <f>""</f>
        <v/>
      </c>
      <c r="D1181">
        <v>70.701999999999998</v>
      </c>
      <c r="E1181">
        <v>3.1</v>
      </c>
      <c r="F1181">
        <v>3</v>
      </c>
      <c r="G1181">
        <v>2</v>
      </c>
      <c r="H1181">
        <v>1</v>
      </c>
      <c r="I1181" s="7">
        <v>1.68249544018291</v>
      </c>
      <c r="J1181" s="6">
        <v>1.1624247910121901</v>
      </c>
      <c r="K1181" s="6">
        <v>0.60348020787262302</v>
      </c>
      <c r="L1181">
        <v>-1.90553335682884</v>
      </c>
      <c r="M1181">
        <v>0.44006530620837597</v>
      </c>
    </row>
    <row r="1182" spans="1:13" x14ac:dyDescent="0.25">
      <c r="A1182">
        <v>1883</v>
      </c>
      <c r="B1182" t="str">
        <f>"RNF20"</f>
        <v>RNF20</v>
      </c>
      <c r="C1182" t="str">
        <f>""</f>
        <v/>
      </c>
      <c r="D1182">
        <v>113.66</v>
      </c>
      <c r="E1182">
        <v>6.8</v>
      </c>
      <c r="F1182">
        <v>3</v>
      </c>
      <c r="G1182">
        <v>2</v>
      </c>
      <c r="H1182">
        <v>1</v>
      </c>
      <c r="I1182" s="7">
        <v>1.68249544018291</v>
      </c>
      <c r="J1182" s="6">
        <v>1.1624247910121901</v>
      </c>
      <c r="K1182" s="6">
        <v>0.60348020787262302</v>
      </c>
      <c r="L1182">
        <v>-1.90553335682884</v>
      </c>
      <c r="M1182">
        <v>0.44006530620837597</v>
      </c>
    </row>
    <row r="1183" spans="1:13" x14ac:dyDescent="0.25">
      <c r="A1183">
        <v>2170</v>
      </c>
      <c r="B1183" t="str">
        <f>"SUMF2"</f>
        <v>SUMF2</v>
      </c>
      <c r="C1183" t="str">
        <f>""</f>
        <v/>
      </c>
      <c r="D1183">
        <v>24.117000000000001</v>
      </c>
      <c r="E1183">
        <v>19.7</v>
      </c>
      <c r="F1183">
        <v>3</v>
      </c>
      <c r="G1183">
        <v>2</v>
      </c>
      <c r="H1183">
        <v>1</v>
      </c>
      <c r="I1183" s="7">
        <v>1.68249544018291</v>
      </c>
      <c r="J1183" s="6">
        <v>1.1624247910121901</v>
      </c>
      <c r="K1183" s="6">
        <v>0.60348020787262302</v>
      </c>
      <c r="L1183">
        <v>-1.90553335682884</v>
      </c>
      <c r="M1183">
        <v>0.44006530620837597</v>
      </c>
    </row>
    <row r="1184" spans="1:13" x14ac:dyDescent="0.25">
      <c r="A1184">
        <v>2204</v>
      </c>
      <c r="B1184" t="str">
        <f>"WDR36"</f>
        <v>WDR36</v>
      </c>
      <c r="C1184" t="str">
        <f>""</f>
        <v/>
      </c>
      <c r="D1184">
        <v>105.32</v>
      </c>
      <c r="E1184">
        <v>3.4</v>
      </c>
      <c r="F1184">
        <v>3</v>
      </c>
      <c r="G1184">
        <v>2</v>
      </c>
      <c r="H1184">
        <v>1</v>
      </c>
      <c r="I1184" s="7">
        <v>1.68249544018291</v>
      </c>
      <c r="J1184" s="6">
        <v>1.1624247910121901</v>
      </c>
      <c r="K1184" s="6">
        <v>0.60348020787262302</v>
      </c>
      <c r="L1184">
        <v>-1.90553335682884</v>
      </c>
      <c r="M1184">
        <v>0.44006530620837597</v>
      </c>
    </row>
    <row r="1185" spans="1:13" x14ac:dyDescent="0.25">
      <c r="A1185">
        <v>2300</v>
      </c>
      <c r="B1185" t="str">
        <f>"UFD1L"</f>
        <v>UFD1L</v>
      </c>
      <c r="C1185" t="str">
        <f>""</f>
        <v/>
      </c>
      <c r="D1185">
        <v>29.901</v>
      </c>
      <c r="E1185">
        <v>3</v>
      </c>
      <c r="F1185">
        <v>3</v>
      </c>
      <c r="G1185">
        <v>2</v>
      </c>
      <c r="H1185">
        <v>1</v>
      </c>
      <c r="I1185" s="7">
        <v>1.68249544018291</v>
      </c>
      <c r="J1185" s="6">
        <v>1.1624247910121901</v>
      </c>
      <c r="K1185" s="6">
        <v>0.60348020787262302</v>
      </c>
      <c r="L1185">
        <v>-1.90553335682884</v>
      </c>
      <c r="M1185">
        <v>0.44006530620837597</v>
      </c>
    </row>
    <row r="1186" spans="1:13" x14ac:dyDescent="0.25">
      <c r="A1186">
        <v>2553</v>
      </c>
      <c r="B1186" t="str">
        <f>"THTPA"</f>
        <v>THTPA</v>
      </c>
      <c r="C1186" t="str">
        <f>""</f>
        <v/>
      </c>
      <c r="D1186">
        <v>25.565999999999999</v>
      </c>
      <c r="E1186">
        <v>10.4</v>
      </c>
      <c r="F1186">
        <v>3</v>
      </c>
      <c r="G1186">
        <v>2</v>
      </c>
      <c r="H1186">
        <v>1</v>
      </c>
      <c r="I1186" s="7">
        <v>1.68249544018291</v>
      </c>
      <c r="J1186" s="6">
        <v>1.1624247910121901</v>
      </c>
      <c r="K1186" s="6">
        <v>0.60348020787262302</v>
      </c>
      <c r="L1186">
        <v>-1.90553335682884</v>
      </c>
      <c r="M1186">
        <v>0.44006530620837597</v>
      </c>
    </row>
    <row r="1187" spans="1:13" x14ac:dyDescent="0.25">
      <c r="A1187">
        <v>2675</v>
      </c>
      <c r="B1187" t="str">
        <f>"WNK1;WNK2;WNK3"</f>
        <v>WNK1;WNK2;WNK3</v>
      </c>
      <c r="C1187" t="str">
        <f>"WNK1;WNK2;WNK3;WNK4"</f>
        <v>WNK1;WNK2;WNK3;WNK4</v>
      </c>
      <c r="D1187">
        <v>225.56</v>
      </c>
      <c r="E1187">
        <v>1.8</v>
      </c>
      <c r="F1187">
        <v>3</v>
      </c>
      <c r="G1187">
        <v>2</v>
      </c>
      <c r="H1187">
        <v>1</v>
      </c>
      <c r="I1187" s="7">
        <v>1.68249544018291</v>
      </c>
      <c r="J1187" s="6">
        <v>1.1624247910121901</v>
      </c>
      <c r="K1187" s="6">
        <v>0.60348020787262302</v>
      </c>
      <c r="L1187">
        <v>-1.90553335682884</v>
      </c>
      <c r="M1187">
        <v>0.44006530620837597</v>
      </c>
    </row>
    <row r="1188" spans="1:13" x14ac:dyDescent="0.25">
      <c r="A1188">
        <v>1251</v>
      </c>
      <c r="B1188" t="str">
        <f>"GEMIN4"</f>
        <v>GEMIN4</v>
      </c>
      <c r="C1188" t="str">
        <f>""</f>
        <v/>
      </c>
      <c r="D1188">
        <v>120.04</v>
      </c>
      <c r="E1188">
        <v>2</v>
      </c>
      <c r="F1188">
        <v>3</v>
      </c>
      <c r="G1188">
        <v>1</v>
      </c>
      <c r="H1188">
        <v>2</v>
      </c>
      <c r="I1188" s="7">
        <v>1.68249544018291</v>
      </c>
      <c r="J1188" s="6">
        <v>0.58121239550609605</v>
      </c>
      <c r="K1188" s="6">
        <v>1.20696041574525</v>
      </c>
      <c r="L1188">
        <v>-1.88180407351739</v>
      </c>
      <c r="M1188">
        <v>0.44006532906868701</v>
      </c>
    </row>
    <row r="1189" spans="1:13" x14ac:dyDescent="0.25">
      <c r="A1189">
        <v>1912</v>
      </c>
      <c r="B1189" t="str">
        <f>"DHRS7B"</f>
        <v>DHRS7B</v>
      </c>
      <c r="C1189" t="str">
        <f>""</f>
        <v/>
      </c>
      <c r="D1189">
        <v>35.119</v>
      </c>
      <c r="E1189">
        <v>8.3000000000000007</v>
      </c>
      <c r="F1189">
        <v>3</v>
      </c>
      <c r="G1189">
        <v>1</v>
      </c>
      <c r="H1189">
        <v>2</v>
      </c>
      <c r="I1189" s="7">
        <v>1.68249544018291</v>
      </c>
      <c r="J1189" s="6">
        <v>0.58121239550609605</v>
      </c>
      <c r="K1189" s="6">
        <v>1.20696041574525</v>
      </c>
      <c r="L1189">
        <v>-1.88180407351739</v>
      </c>
      <c r="M1189">
        <v>0.44006532906868701</v>
      </c>
    </row>
    <row r="1190" spans="1:13" x14ac:dyDescent="0.25">
      <c r="A1190">
        <v>190</v>
      </c>
      <c r="B1190" t="str">
        <f>"INPPL1"</f>
        <v>INPPL1</v>
      </c>
      <c r="C1190" t="str">
        <f>""</f>
        <v/>
      </c>
      <c r="D1190">
        <v>138.6</v>
      </c>
      <c r="E1190">
        <v>2.5</v>
      </c>
      <c r="F1190">
        <v>3</v>
      </c>
      <c r="G1190">
        <v>1</v>
      </c>
      <c r="H1190">
        <v>2</v>
      </c>
      <c r="I1190" s="7">
        <v>1.68249544018291</v>
      </c>
      <c r="J1190" s="6">
        <v>0.58121239550609605</v>
      </c>
      <c r="K1190" s="6">
        <v>1.20696041574525</v>
      </c>
      <c r="L1190">
        <v>-1.88180407351739</v>
      </c>
      <c r="M1190">
        <v>0.44006532906868701</v>
      </c>
    </row>
    <row r="1191" spans="1:13" x14ac:dyDescent="0.25">
      <c r="A1191">
        <v>253</v>
      </c>
      <c r="B1191" t="str">
        <f>"RAD21"</f>
        <v>RAD21</v>
      </c>
      <c r="C1191" t="str">
        <f>""</f>
        <v/>
      </c>
      <c r="D1191">
        <v>71.688999999999993</v>
      </c>
      <c r="E1191">
        <v>9.6999999999999993</v>
      </c>
      <c r="F1191">
        <v>3</v>
      </c>
      <c r="G1191">
        <v>1</v>
      </c>
      <c r="H1191">
        <v>2</v>
      </c>
      <c r="I1191" s="7">
        <v>1.68249544018291</v>
      </c>
      <c r="J1191" s="6">
        <v>0.58121239550609605</v>
      </c>
      <c r="K1191" s="6">
        <v>1.20696041574525</v>
      </c>
      <c r="L1191">
        <v>-1.88180407351739</v>
      </c>
      <c r="M1191">
        <v>0.44006532906868701</v>
      </c>
    </row>
    <row r="1192" spans="1:13" x14ac:dyDescent="0.25">
      <c r="A1192">
        <v>435</v>
      </c>
      <c r="B1192" t="str">
        <f>"PAK4"</f>
        <v>PAK4</v>
      </c>
      <c r="C1192" t="str">
        <f>"PAK4"</f>
        <v>PAK4</v>
      </c>
      <c r="D1192">
        <v>64.070999999999998</v>
      </c>
      <c r="E1192">
        <v>5.8</v>
      </c>
      <c r="F1192">
        <v>3</v>
      </c>
      <c r="G1192">
        <v>1</v>
      </c>
      <c r="H1192">
        <v>2</v>
      </c>
      <c r="I1192" s="7">
        <v>1.68249544018291</v>
      </c>
      <c r="J1192" s="6">
        <v>0.58121239550609605</v>
      </c>
      <c r="K1192" s="6">
        <v>1.20696041574525</v>
      </c>
      <c r="L1192">
        <v>-1.88180407351739</v>
      </c>
      <c r="M1192">
        <v>0.44006532906868701</v>
      </c>
    </row>
    <row r="1193" spans="1:13" x14ac:dyDescent="0.25">
      <c r="A1193">
        <v>1140</v>
      </c>
      <c r="B1193" t="str">
        <f>"METAP2"</f>
        <v>METAP2</v>
      </c>
      <c r="C1193" t="str">
        <f>""</f>
        <v/>
      </c>
      <c r="D1193">
        <v>50.496000000000002</v>
      </c>
      <c r="E1193">
        <v>8.4</v>
      </c>
      <c r="F1193">
        <v>3</v>
      </c>
      <c r="G1193">
        <v>1</v>
      </c>
      <c r="H1193">
        <v>2</v>
      </c>
      <c r="I1193" s="7">
        <v>1.68249544018291</v>
      </c>
      <c r="J1193" s="6">
        <v>0.58121239550609605</v>
      </c>
      <c r="K1193" s="6">
        <v>1.20696041574525</v>
      </c>
      <c r="L1193">
        <v>-1.88180407351739</v>
      </c>
      <c r="M1193">
        <v>0.44006532906868701</v>
      </c>
    </row>
    <row r="1194" spans="1:13" x14ac:dyDescent="0.25">
      <c r="A1194">
        <v>1141</v>
      </c>
      <c r="B1194" t="str">
        <f>"KNTC1"</f>
        <v>KNTC1</v>
      </c>
      <c r="C1194" t="str">
        <f>""</f>
        <v/>
      </c>
      <c r="D1194">
        <v>250.75</v>
      </c>
      <c r="E1194">
        <v>1.4</v>
      </c>
      <c r="F1194">
        <v>3</v>
      </c>
      <c r="G1194">
        <v>1</v>
      </c>
      <c r="H1194">
        <v>2</v>
      </c>
      <c r="I1194" s="7">
        <v>1.68249544018291</v>
      </c>
      <c r="J1194" s="6">
        <v>0.58121239550609605</v>
      </c>
      <c r="K1194" s="6">
        <v>1.20696041574525</v>
      </c>
      <c r="L1194">
        <v>-1.88180407351739</v>
      </c>
      <c r="M1194">
        <v>0.44006532906868701</v>
      </c>
    </row>
    <row r="1195" spans="1:13" x14ac:dyDescent="0.25">
      <c r="A1195">
        <v>1299</v>
      </c>
      <c r="B1195" t="str">
        <f>"COPZ1"</f>
        <v>COPZ1</v>
      </c>
      <c r="C1195" t="str">
        <f>""</f>
        <v/>
      </c>
      <c r="D1195">
        <v>20.198</v>
      </c>
      <c r="E1195">
        <v>16.899999999999999</v>
      </c>
      <c r="F1195">
        <v>3</v>
      </c>
      <c r="G1195">
        <v>1</v>
      </c>
      <c r="H1195">
        <v>2</v>
      </c>
      <c r="I1195" s="7">
        <v>1.68249544018291</v>
      </c>
      <c r="J1195" s="6">
        <v>0.58121239550609605</v>
      </c>
      <c r="K1195" s="6">
        <v>1.20696041574525</v>
      </c>
      <c r="L1195">
        <v>-1.88180407351739</v>
      </c>
      <c r="M1195">
        <v>0.44006532906868701</v>
      </c>
    </row>
    <row r="1196" spans="1:13" x14ac:dyDescent="0.25">
      <c r="A1196">
        <v>1327</v>
      </c>
      <c r="B1196" t="str">
        <f>"RPS4X;RPS4Y2"</f>
        <v>RPS4X;RPS4Y2</v>
      </c>
      <c r="C1196" t="str">
        <f>""</f>
        <v/>
      </c>
      <c r="D1196">
        <v>29.597000000000001</v>
      </c>
      <c r="E1196">
        <v>20.2</v>
      </c>
      <c r="F1196">
        <v>3</v>
      </c>
      <c r="G1196">
        <v>1</v>
      </c>
      <c r="H1196">
        <v>2</v>
      </c>
      <c r="I1196" s="7">
        <v>1.68249544018291</v>
      </c>
      <c r="J1196" s="6">
        <v>0.58121239550609605</v>
      </c>
      <c r="K1196" s="6">
        <v>1.20696041574525</v>
      </c>
      <c r="L1196">
        <v>-1.88180407351739</v>
      </c>
      <c r="M1196">
        <v>0.44006532906868701</v>
      </c>
    </row>
    <row r="1197" spans="1:13" x14ac:dyDescent="0.25">
      <c r="A1197">
        <v>1787</v>
      </c>
      <c r="B1197" t="str">
        <f>"TXNRD1"</f>
        <v>TXNRD1</v>
      </c>
      <c r="C1197" t="str">
        <f>""</f>
        <v/>
      </c>
      <c r="D1197">
        <v>54.753</v>
      </c>
      <c r="E1197">
        <v>8.6</v>
      </c>
      <c r="F1197">
        <v>3</v>
      </c>
      <c r="G1197">
        <v>1</v>
      </c>
      <c r="H1197">
        <v>2</v>
      </c>
      <c r="I1197" s="7">
        <v>1.68249544018291</v>
      </c>
      <c r="J1197" s="6">
        <v>0.58121239550609605</v>
      </c>
      <c r="K1197" s="6">
        <v>1.20696041574525</v>
      </c>
      <c r="L1197">
        <v>-1.88180407351739</v>
      </c>
      <c r="M1197">
        <v>0.44006532906868701</v>
      </c>
    </row>
    <row r="1198" spans="1:13" x14ac:dyDescent="0.25">
      <c r="A1198">
        <v>1840</v>
      </c>
      <c r="B1198" t="str">
        <f>"WDR44"</f>
        <v>WDR44</v>
      </c>
      <c r="C1198" t="str">
        <f>""</f>
        <v/>
      </c>
      <c r="D1198">
        <v>91.271000000000001</v>
      </c>
      <c r="E1198">
        <v>10.1</v>
      </c>
      <c r="F1198">
        <v>3</v>
      </c>
      <c r="G1198">
        <v>1</v>
      </c>
      <c r="H1198">
        <v>2</v>
      </c>
      <c r="I1198" s="7">
        <v>1.68249544018291</v>
      </c>
      <c r="J1198" s="6">
        <v>0.58121239550609605</v>
      </c>
      <c r="K1198" s="6">
        <v>1.20696041574525</v>
      </c>
      <c r="L1198">
        <v>-1.88180407351739</v>
      </c>
      <c r="M1198">
        <v>0.44006532906868701</v>
      </c>
    </row>
    <row r="1199" spans="1:13" x14ac:dyDescent="0.25">
      <c r="A1199">
        <v>2283</v>
      </c>
      <c r="B1199" t="str">
        <f>"DHX38"</f>
        <v>DHX38</v>
      </c>
      <c r="C1199" t="str">
        <f>""</f>
        <v/>
      </c>
      <c r="D1199">
        <v>140.5</v>
      </c>
      <c r="E1199">
        <v>4.4000000000000004</v>
      </c>
      <c r="F1199">
        <v>3</v>
      </c>
      <c r="G1199">
        <v>1</v>
      </c>
      <c r="H1199">
        <v>2</v>
      </c>
      <c r="I1199" s="7">
        <v>1.68249544018291</v>
      </c>
      <c r="J1199" s="6">
        <v>0.58121239550609605</v>
      </c>
      <c r="K1199" s="6">
        <v>1.20696041574525</v>
      </c>
      <c r="L1199">
        <v>-1.88180407351739</v>
      </c>
      <c r="M1199">
        <v>0.44006532906868701</v>
      </c>
    </row>
    <row r="1200" spans="1:13" x14ac:dyDescent="0.25">
      <c r="A1200">
        <v>2324</v>
      </c>
      <c r="B1200" t="str">
        <f>"GTPBP3"</f>
        <v>GTPBP3</v>
      </c>
      <c r="C1200" t="str">
        <f>""</f>
        <v/>
      </c>
      <c r="D1200">
        <v>49.845999999999997</v>
      </c>
      <c r="E1200">
        <v>5.0999999999999996</v>
      </c>
      <c r="F1200">
        <v>3</v>
      </c>
      <c r="G1200">
        <v>1</v>
      </c>
      <c r="H1200">
        <v>2</v>
      </c>
      <c r="I1200" s="7">
        <v>1.68249544018291</v>
      </c>
      <c r="J1200" s="6">
        <v>0.58121239550609605</v>
      </c>
      <c r="K1200" s="6">
        <v>1.20696041574525</v>
      </c>
      <c r="L1200">
        <v>-1.88180407351739</v>
      </c>
      <c r="M1200">
        <v>0.44006532906868701</v>
      </c>
    </row>
    <row r="1201" spans="1:13" x14ac:dyDescent="0.25">
      <c r="A1201">
        <v>2376</v>
      </c>
      <c r="B1201" t="str">
        <f>"DNAJA3"</f>
        <v>DNAJA3</v>
      </c>
      <c r="C1201" t="str">
        <f>""</f>
        <v/>
      </c>
      <c r="D1201">
        <v>52.488</v>
      </c>
      <c r="E1201">
        <v>7.7</v>
      </c>
      <c r="F1201">
        <v>3</v>
      </c>
      <c r="G1201">
        <v>1</v>
      </c>
      <c r="H1201">
        <v>2</v>
      </c>
      <c r="I1201" s="7">
        <v>1.68249544018291</v>
      </c>
      <c r="J1201" s="6">
        <v>0.58121239550609605</v>
      </c>
      <c r="K1201" s="6">
        <v>1.20696041574525</v>
      </c>
      <c r="L1201">
        <v>-1.88180407351739</v>
      </c>
      <c r="M1201">
        <v>0.44006532906868701</v>
      </c>
    </row>
    <row r="1202" spans="1:13" x14ac:dyDescent="0.25">
      <c r="A1202">
        <v>2395</v>
      </c>
      <c r="B1202" t="str">
        <f>"SMARCD1"</f>
        <v>SMARCD1</v>
      </c>
      <c r="C1202" t="str">
        <f>""</f>
        <v/>
      </c>
      <c r="D1202">
        <v>53.298000000000002</v>
      </c>
      <c r="E1202">
        <v>2.1</v>
      </c>
      <c r="F1202">
        <v>3</v>
      </c>
      <c r="G1202">
        <v>1</v>
      </c>
      <c r="H1202">
        <v>2</v>
      </c>
      <c r="I1202" s="7">
        <v>1.68249544018291</v>
      </c>
      <c r="J1202" s="6">
        <v>0.58121239550609605</v>
      </c>
      <c r="K1202" s="6">
        <v>1.20696041574525</v>
      </c>
      <c r="L1202">
        <v>-1.88180407351739</v>
      </c>
      <c r="M1202">
        <v>0.44006532906868701</v>
      </c>
    </row>
    <row r="1203" spans="1:13" x14ac:dyDescent="0.25">
      <c r="A1203">
        <v>2449</v>
      </c>
      <c r="B1203" t="str">
        <f>"NACC1"</f>
        <v>NACC1</v>
      </c>
      <c r="C1203" t="str">
        <f>""</f>
        <v/>
      </c>
      <c r="D1203">
        <v>57.258000000000003</v>
      </c>
      <c r="E1203">
        <v>1.5</v>
      </c>
      <c r="F1203">
        <v>3</v>
      </c>
      <c r="G1203">
        <v>1</v>
      </c>
      <c r="H1203">
        <v>2</v>
      </c>
      <c r="I1203" s="7">
        <v>1.68249544018291</v>
      </c>
      <c r="J1203" s="6">
        <v>0.58121239550609605</v>
      </c>
      <c r="K1203" s="6">
        <v>1.20696041574525</v>
      </c>
      <c r="L1203">
        <v>-1.88180407351739</v>
      </c>
      <c r="M1203">
        <v>0.44006532906868701</v>
      </c>
    </row>
    <row r="1204" spans="1:13" x14ac:dyDescent="0.25">
      <c r="A1204">
        <v>2582</v>
      </c>
      <c r="B1204" t="str">
        <f>"SFXN3"</f>
        <v>SFXN3</v>
      </c>
      <c r="C1204" t="str">
        <f>""</f>
        <v/>
      </c>
      <c r="D1204">
        <v>35.503</v>
      </c>
      <c r="E1204">
        <v>2.8</v>
      </c>
      <c r="F1204">
        <v>3</v>
      </c>
      <c r="G1204">
        <v>1</v>
      </c>
      <c r="H1204">
        <v>2</v>
      </c>
      <c r="I1204" s="7">
        <v>1.68249544018291</v>
      </c>
      <c r="J1204" s="6">
        <v>0.58121239550609605</v>
      </c>
      <c r="K1204" s="6">
        <v>1.20696041574525</v>
      </c>
      <c r="L1204">
        <v>-1.88180407351739</v>
      </c>
      <c r="M1204">
        <v>0.44006532906868701</v>
      </c>
    </row>
    <row r="1205" spans="1:13" x14ac:dyDescent="0.25">
      <c r="A1205">
        <v>2644</v>
      </c>
      <c r="B1205" t="str">
        <f>"RACGAP1"</f>
        <v>RACGAP1</v>
      </c>
      <c r="C1205" t="str">
        <f>""</f>
        <v/>
      </c>
      <c r="D1205">
        <v>71.025999999999996</v>
      </c>
      <c r="E1205">
        <v>4.3</v>
      </c>
      <c r="F1205">
        <v>3</v>
      </c>
      <c r="G1205">
        <v>1</v>
      </c>
      <c r="H1205">
        <v>2</v>
      </c>
      <c r="I1205" s="7">
        <v>1.68249544018291</v>
      </c>
      <c r="J1205" s="6">
        <v>0.58121239550609605</v>
      </c>
      <c r="K1205" s="6">
        <v>1.20696041574525</v>
      </c>
      <c r="L1205">
        <v>-1.88180407351739</v>
      </c>
      <c r="M1205">
        <v>0.44006532906868701</v>
      </c>
    </row>
    <row r="1206" spans="1:13" x14ac:dyDescent="0.25">
      <c r="A1206">
        <v>2690</v>
      </c>
      <c r="B1206" t="str">
        <f>"RPAP3"</f>
        <v>RPAP3</v>
      </c>
      <c r="C1206" t="str">
        <f>""</f>
        <v/>
      </c>
      <c r="D1206">
        <v>75.718000000000004</v>
      </c>
      <c r="E1206">
        <v>6.3</v>
      </c>
      <c r="F1206">
        <v>3</v>
      </c>
      <c r="G1206">
        <v>1</v>
      </c>
      <c r="H1206">
        <v>2</v>
      </c>
      <c r="I1206" s="7">
        <v>1.68249544018291</v>
      </c>
      <c r="J1206" s="6">
        <v>0.58121239550609605</v>
      </c>
      <c r="K1206" s="6">
        <v>1.20696041574525</v>
      </c>
      <c r="L1206">
        <v>-1.88180407351739</v>
      </c>
      <c r="M1206">
        <v>0.44006532906868701</v>
      </c>
    </row>
    <row r="1207" spans="1:13" x14ac:dyDescent="0.25">
      <c r="A1207">
        <v>2832</v>
      </c>
      <c r="B1207" t="str">
        <f>"SDAD1"</f>
        <v>SDAD1</v>
      </c>
      <c r="C1207" t="str">
        <f>""</f>
        <v/>
      </c>
      <c r="D1207">
        <v>79.87</v>
      </c>
      <c r="E1207">
        <v>2.2000000000000002</v>
      </c>
      <c r="F1207">
        <v>3</v>
      </c>
      <c r="G1207">
        <v>1</v>
      </c>
      <c r="H1207">
        <v>2</v>
      </c>
      <c r="I1207" s="7">
        <v>1.68249544018291</v>
      </c>
      <c r="J1207" s="6">
        <v>0.58121239550609605</v>
      </c>
      <c r="K1207" s="6">
        <v>1.20696041574525</v>
      </c>
      <c r="L1207">
        <v>-1.88180407351739</v>
      </c>
      <c r="M1207">
        <v>0.44006532906868701</v>
      </c>
    </row>
    <row r="1208" spans="1:13" x14ac:dyDescent="0.25">
      <c r="A1208">
        <v>153</v>
      </c>
      <c r="B1208" t="str">
        <f>"HAT1"</f>
        <v>HAT1</v>
      </c>
      <c r="C1208" t="str">
        <f>""</f>
        <v/>
      </c>
      <c r="D1208">
        <v>39.786000000000001</v>
      </c>
      <c r="E1208">
        <v>6</v>
      </c>
      <c r="F1208">
        <v>5</v>
      </c>
      <c r="G1208">
        <v>7</v>
      </c>
      <c r="H1208">
        <v>7</v>
      </c>
      <c r="I1208" s="7">
        <v>2.80415906697151</v>
      </c>
      <c r="J1208" s="6">
        <v>4.0684867685426802</v>
      </c>
      <c r="K1208" s="6">
        <v>4.2243614551083599</v>
      </c>
      <c r="L1208">
        <v>1.47866936675017</v>
      </c>
      <c r="M1208">
        <v>0.44241654308956402</v>
      </c>
    </row>
    <row r="1209" spans="1:13" x14ac:dyDescent="0.25">
      <c r="A1209">
        <v>818</v>
      </c>
      <c r="B1209" t="str">
        <f>"MCM3"</f>
        <v>MCM3</v>
      </c>
      <c r="C1209" t="str">
        <f>""</f>
        <v/>
      </c>
      <c r="D1209">
        <v>90.98</v>
      </c>
      <c r="E1209">
        <v>18.100000000000001</v>
      </c>
      <c r="F1209">
        <v>5</v>
      </c>
      <c r="G1209">
        <v>6</v>
      </c>
      <c r="H1209">
        <v>8</v>
      </c>
      <c r="I1209" s="7">
        <v>2.80415906697151</v>
      </c>
      <c r="J1209" s="6">
        <v>3.4872743730365801</v>
      </c>
      <c r="K1209" s="6">
        <v>4.8278416629809797</v>
      </c>
      <c r="L1209">
        <v>1.4826398641140399</v>
      </c>
      <c r="M1209">
        <v>0.44255991775883702</v>
      </c>
    </row>
    <row r="1210" spans="1:13" x14ac:dyDescent="0.25">
      <c r="A1210">
        <v>2313</v>
      </c>
      <c r="B1210" t="str">
        <f>"USP7"</f>
        <v>USP7</v>
      </c>
      <c r="C1210" t="str">
        <f>""</f>
        <v/>
      </c>
      <c r="D1210">
        <v>126.27</v>
      </c>
      <c r="E1210">
        <v>3.5</v>
      </c>
      <c r="F1210">
        <v>5</v>
      </c>
      <c r="G1210">
        <v>8</v>
      </c>
      <c r="H1210">
        <v>6</v>
      </c>
      <c r="I1210" s="7">
        <v>2.80415906697151</v>
      </c>
      <c r="J1210" s="6">
        <v>4.6496991640487702</v>
      </c>
      <c r="K1210" s="6">
        <v>3.6208812472357401</v>
      </c>
      <c r="L1210">
        <v>1.4746988693863099</v>
      </c>
      <c r="M1210">
        <v>0.44255995955519101</v>
      </c>
    </row>
    <row r="1211" spans="1:13" x14ac:dyDescent="0.25">
      <c r="A1211">
        <v>1282</v>
      </c>
      <c r="B1211" t="str">
        <f>"ARF3;ARF1"</f>
        <v>ARF3;ARF1</v>
      </c>
      <c r="C1211" t="str">
        <f>""</f>
        <v/>
      </c>
      <c r="D1211">
        <v>20.600999999999999</v>
      </c>
      <c r="E1211">
        <v>41.4</v>
      </c>
      <c r="F1211">
        <v>5</v>
      </c>
      <c r="G1211">
        <v>8</v>
      </c>
      <c r="H1211">
        <v>6</v>
      </c>
      <c r="I1211" s="7">
        <v>2.80415906697151</v>
      </c>
      <c r="J1211" s="6">
        <v>4.6496991640487702</v>
      </c>
      <c r="K1211" s="6">
        <v>3.6208812472357401</v>
      </c>
      <c r="L1211">
        <v>1.4746988693863099</v>
      </c>
      <c r="M1211">
        <v>0.44255995955519101</v>
      </c>
    </row>
    <row r="1212" spans="1:13" x14ac:dyDescent="0.25">
      <c r="A1212">
        <v>2472</v>
      </c>
      <c r="B1212" t="str">
        <f>"PSMD1"</f>
        <v>PSMD1</v>
      </c>
      <c r="C1212" t="str">
        <f>""</f>
        <v/>
      </c>
      <c r="D1212">
        <v>105.84</v>
      </c>
      <c r="E1212">
        <v>8.3000000000000007</v>
      </c>
      <c r="F1212">
        <v>21</v>
      </c>
      <c r="G1212">
        <v>15</v>
      </c>
      <c r="H1212">
        <v>17</v>
      </c>
      <c r="I1212" s="7">
        <v>11.777468081280301</v>
      </c>
      <c r="J1212" s="6">
        <v>8.7181859325914495</v>
      </c>
      <c r="K1212" s="6">
        <v>10.259163533834601</v>
      </c>
      <c r="L1212">
        <v>-1.2412131738540799</v>
      </c>
      <c r="M1212">
        <v>0.44436458579793903</v>
      </c>
    </row>
    <row r="1213" spans="1:13" x14ac:dyDescent="0.25">
      <c r="A1213">
        <v>1415</v>
      </c>
      <c r="B1213" t="str">
        <f>"FKBP3"</f>
        <v>FKBP3</v>
      </c>
      <c r="C1213" t="str">
        <f>""</f>
        <v/>
      </c>
      <c r="D1213">
        <v>25.177</v>
      </c>
      <c r="E1213">
        <v>12.1</v>
      </c>
      <c r="F1213">
        <v>7</v>
      </c>
      <c r="G1213">
        <v>5</v>
      </c>
      <c r="H1213">
        <v>4</v>
      </c>
      <c r="I1213" s="7">
        <v>3.9258226937601099</v>
      </c>
      <c r="J1213" s="6">
        <v>2.9060619775304799</v>
      </c>
      <c r="K1213" s="6">
        <v>2.4139208314904899</v>
      </c>
      <c r="L1213">
        <v>-1.47587796227581</v>
      </c>
      <c r="M1213">
        <v>0.449318259363929</v>
      </c>
    </row>
    <row r="1214" spans="1:13" x14ac:dyDescent="0.25">
      <c r="A1214">
        <v>1828</v>
      </c>
      <c r="B1214" t="str">
        <f>"HSD17B12"</f>
        <v>HSD17B12</v>
      </c>
      <c r="C1214" t="str">
        <f>""</f>
        <v/>
      </c>
      <c r="D1214">
        <v>34.323999999999998</v>
      </c>
      <c r="E1214">
        <v>9.3000000000000007</v>
      </c>
      <c r="F1214">
        <v>7</v>
      </c>
      <c r="G1214">
        <v>4</v>
      </c>
      <c r="H1214">
        <v>5</v>
      </c>
      <c r="I1214" s="7">
        <v>3.9258226937601099</v>
      </c>
      <c r="J1214" s="6">
        <v>2.32484958202439</v>
      </c>
      <c r="K1214" s="6">
        <v>3.0174010393631101</v>
      </c>
      <c r="L1214">
        <v>-1.46972614053082</v>
      </c>
      <c r="M1214">
        <v>0.44931828149660102</v>
      </c>
    </row>
    <row r="1215" spans="1:13" x14ac:dyDescent="0.25">
      <c r="A1215">
        <v>2945</v>
      </c>
      <c r="B1215" t="str">
        <f>"SRP68"</f>
        <v>SRP68</v>
      </c>
      <c r="C1215" t="str">
        <f>""</f>
        <v/>
      </c>
      <c r="D1215">
        <v>70.728999999999999</v>
      </c>
      <c r="E1215">
        <v>13.9</v>
      </c>
      <c r="F1215">
        <v>7</v>
      </c>
      <c r="G1215">
        <v>4</v>
      </c>
      <c r="H1215">
        <v>5</v>
      </c>
      <c r="I1215" s="7">
        <v>3.9258226937601099</v>
      </c>
      <c r="J1215" s="6">
        <v>2.32484958202439</v>
      </c>
      <c r="K1215" s="6">
        <v>3.0174010393631101</v>
      </c>
      <c r="L1215">
        <v>-1.46972614053082</v>
      </c>
      <c r="M1215">
        <v>0.44931828149660102</v>
      </c>
    </row>
    <row r="1216" spans="1:13" x14ac:dyDescent="0.25">
      <c r="A1216">
        <v>634</v>
      </c>
      <c r="B1216" t="str">
        <f>"HSPD1"</f>
        <v>HSPD1</v>
      </c>
      <c r="C1216" t="str">
        <f>""</f>
        <v/>
      </c>
      <c r="D1216">
        <v>61.054000000000002</v>
      </c>
      <c r="E1216">
        <v>15</v>
      </c>
      <c r="F1216">
        <v>18</v>
      </c>
      <c r="G1216">
        <v>14</v>
      </c>
      <c r="H1216">
        <v>13</v>
      </c>
      <c r="I1216" s="7">
        <v>10.094972641097399</v>
      </c>
      <c r="J1216" s="6">
        <v>8.1369735370853498</v>
      </c>
      <c r="K1216" s="6">
        <v>7.8452427023441</v>
      </c>
      <c r="L1216">
        <v>-1.26327569216493</v>
      </c>
      <c r="M1216">
        <v>0.44932813217956902</v>
      </c>
    </row>
    <row r="1217" spans="1:13" x14ac:dyDescent="0.25">
      <c r="A1217">
        <v>555</v>
      </c>
      <c r="B1217" t="str">
        <f>"PYGL"</f>
        <v>PYGL</v>
      </c>
      <c r="C1217" t="str">
        <f>""</f>
        <v/>
      </c>
      <c r="D1217">
        <v>93.132999999999996</v>
      </c>
      <c r="E1217">
        <v>11.1</v>
      </c>
      <c r="F1217">
        <v>18</v>
      </c>
      <c r="G1217">
        <v>14</v>
      </c>
      <c r="H1217">
        <v>13</v>
      </c>
      <c r="I1217" s="7">
        <v>10.094972641097399</v>
      </c>
      <c r="J1217" s="6">
        <v>8.1369735370853498</v>
      </c>
      <c r="K1217" s="6">
        <v>7.8452427023441</v>
      </c>
      <c r="L1217">
        <v>-1.26327569216493</v>
      </c>
      <c r="M1217">
        <v>0.44932813217956902</v>
      </c>
    </row>
    <row r="1218" spans="1:13" x14ac:dyDescent="0.25">
      <c r="A1218">
        <v>539</v>
      </c>
      <c r="B1218" t="str">
        <f>"RPLP0"</f>
        <v>RPLP0</v>
      </c>
      <c r="C1218" t="str">
        <f>""</f>
        <v/>
      </c>
      <c r="D1218">
        <v>27.434999999999999</v>
      </c>
      <c r="E1218">
        <v>25.5</v>
      </c>
      <c r="F1218">
        <v>15</v>
      </c>
      <c r="G1218">
        <v>11</v>
      </c>
      <c r="H1218">
        <v>11</v>
      </c>
      <c r="I1218" s="7">
        <v>8.4124772009145303</v>
      </c>
      <c r="J1218" s="6">
        <v>6.3933363505670604</v>
      </c>
      <c r="K1218" s="6">
        <v>6.6382822865988498</v>
      </c>
      <c r="L1218">
        <v>-1.2910870760018001</v>
      </c>
      <c r="M1218">
        <v>0.45132752245546698</v>
      </c>
    </row>
    <row r="1219" spans="1:13" x14ac:dyDescent="0.25">
      <c r="A1219">
        <v>579</v>
      </c>
      <c r="B1219" t="str">
        <f>"HSP90AA1"</f>
        <v>HSP90AA1</v>
      </c>
      <c r="C1219" t="str">
        <f>""</f>
        <v/>
      </c>
      <c r="D1219">
        <v>84.659000000000006</v>
      </c>
      <c r="E1219">
        <v>18.7</v>
      </c>
      <c r="F1219">
        <v>139</v>
      </c>
      <c r="G1219">
        <v>115</v>
      </c>
      <c r="H1219">
        <v>128</v>
      </c>
      <c r="I1219" s="7">
        <v>77.955622061808</v>
      </c>
      <c r="J1219" s="6">
        <v>66.839425483201097</v>
      </c>
      <c r="K1219" s="6">
        <v>77.245466607695704</v>
      </c>
      <c r="L1219">
        <v>-1.08207905673593</v>
      </c>
      <c r="M1219">
        <v>0.451907762674012</v>
      </c>
    </row>
    <row r="1220" spans="1:13" x14ac:dyDescent="0.25">
      <c r="A1220">
        <v>309</v>
      </c>
      <c r="B1220" t="str">
        <f>"DNAJB6"</f>
        <v>DNAJB6</v>
      </c>
      <c r="C1220" t="str">
        <f>""</f>
        <v/>
      </c>
      <c r="D1220">
        <v>26.899000000000001</v>
      </c>
      <c r="E1220">
        <v>4.5999999999999996</v>
      </c>
      <c r="F1220">
        <v>5</v>
      </c>
      <c r="G1220">
        <v>4</v>
      </c>
      <c r="H1220">
        <v>2</v>
      </c>
      <c r="I1220" s="7">
        <v>2.80415906697151</v>
      </c>
      <c r="J1220" s="6">
        <v>2.32484958202439</v>
      </c>
      <c r="K1220" s="6">
        <v>1.20696041574525</v>
      </c>
      <c r="L1220">
        <v>-1.5879444640240299</v>
      </c>
      <c r="M1220">
        <v>0.457907307933061</v>
      </c>
    </row>
    <row r="1221" spans="1:13" x14ac:dyDescent="0.25">
      <c r="A1221">
        <v>3069</v>
      </c>
      <c r="B1221" t="str">
        <f>"WBP11"</f>
        <v>WBP11</v>
      </c>
      <c r="C1221" t="str">
        <f>""</f>
        <v/>
      </c>
      <c r="D1221">
        <v>69.997</v>
      </c>
      <c r="E1221">
        <v>5.0999999999999996</v>
      </c>
      <c r="F1221">
        <v>5</v>
      </c>
      <c r="G1221">
        <v>4</v>
      </c>
      <c r="H1221">
        <v>2</v>
      </c>
      <c r="I1221" s="7">
        <v>2.80415906697151</v>
      </c>
      <c r="J1221" s="6">
        <v>2.32484958202439</v>
      </c>
      <c r="K1221" s="6">
        <v>1.20696041574525</v>
      </c>
      <c r="L1221">
        <v>-1.5879444640240299</v>
      </c>
      <c r="M1221">
        <v>0.457907307933061</v>
      </c>
    </row>
    <row r="1222" spans="1:13" x14ac:dyDescent="0.25">
      <c r="A1222">
        <v>3147</v>
      </c>
      <c r="B1222" t="str">
        <f>"CLIC4"</f>
        <v>CLIC4</v>
      </c>
      <c r="C1222" t="str">
        <f>""</f>
        <v/>
      </c>
      <c r="D1222">
        <v>28.771999999999998</v>
      </c>
      <c r="E1222">
        <v>18.600000000000001</v>
      </c>
      <c r="F1222">
        <v>5</v>
      </c>
      <c r="G1222">
        <v>4</v>
      </c>
      <c r="H1222">
        <v>2</v>
      </c>
      <c r="I1222" s="7">
        <v>2.80415906697151</v>
      </c>
      <c r="J1222" s="6">
        <v>2.32484958202439</v>
      </c>
      <c r="K1222" s="6">
        <v>1.20696041574525</v>
      </c>
      <c r="L1222">
        <v>-1.5879444640240299</v>
      </c>
      <c r="M1222">
        <v>0.457907307933061</v>
      </c>
    </row>
    <row r="1223" spans="1:13" x14ac:dyDescent="0.25">
      <c r="A1223">
        <v>828</v>
      </c>
      <c r="B1223" t="str">
        <f>"PSMA3"</f>
        <v>PSMA3</v>
      </c>
      <c r="C1223" t="str">
        <f>""</f>
        <v/>
      </c>
      <c r="D1223">
        <v>27.646999999999998</v>
      </c>
      <c r="E1223">
        <v>7.3</v>
      </c>
      <c r="F1223">
        <v>5</v>
      </c>
      <c r="G1223">
        <v>2</v>
      </c>
      <c r="H1223">
        <v>4</v>
      </c>
      <c r="I1223" s="7">
        <v>2.80415906697151</v>
      </c>
      <c r="J1223" s="6">
        <v>1.1624247910121901</v>
      </c>
      <c r="K1223" s="6">
        <v>2.4139208314904899</v>
      </c>
      <c r="L1223">
        <v>-1.56817006126449</v>
      </c>
      <c r="M1223">
        <v>0.45790734745302403</v>
      </c>
    </row>
    <row r="1224" spans="1:13" x14ac:dyDescent="0.25">
      <c r="A1224">
        <v>1727</v>
      </c>
      <c r="B1224" t="str">
        <f>"SAFB"</f>
        <v>SAFB</v>
      </c>
      <c r="C1224" t="str">
        <f>""</f>
        <v/>
      </c>
      <c r="D1224">
        <v>95.18</v>
      </c>
      <c r="E1224">
        <v>1.4</v>
      </c>
      <c r="F1224">
        <v>5</v>
      </c>
      <c r="G1224">
        <v>2</v>
      </c>
      <c r="H1224">
        <v>4</v>
      </c>
      <c r="I1224" s="7">
        <v>2.80415906697151</v>
      </c>
      <c r="J1224" s="6">
        <v>1.1624247910121901</v>
      </c>
      <c r="K1224" s="6">
        <v>2.4139208314904899</v>
      </c>
      <c r="L1224">
        <v>-1.56817006126449</v>
      </c>
      <c r="M1224">
        <v>0.45790734745302403</v>
      </c>
    </row>
    <row r="1225" spans="1:13" x14ac:dyDescent="0.25">
      <c r="A1225">
        <v>1248</v>
      </c>
      <c r="B1225" t="str">
        <f>"EIF6"</f>
        <v>EIF6</v>
      </c>
      <c r="C1225" t="str">
        <f>""</f>
        <v/>
      </c>
      <c r="D1225">
        <v>26.599</v>
      </c>
      <c r="E1225">
        <v>7.3</v>
      </c>
      <c r="F1225">
        <v>5</v>
      </c>
      <c r="G1225">
        <v>3</v>
      </c>
      <c r="H1225">
        <v>3</v>
      </c>
      <c r="I1225" s="7">
        <v>2.80415906697151</v>
      </c>
      <c r="J1225" s="6">
        <v>1.74363718651829</v>
      </c>
      <c r="K1225" s="6">
        <v>1.8104406236178701</v>
      </c>
      <c r="L1225">
        <v>-1.5779953151133099</v>
      </c>
      <c r="M1225">
        <v>0.45837566619388498</v>
      </c>
    </row>
    <row r="1226" spans="1:13" x14ac:dyDescent="0.25">
      <c r="A1226">
        <v>986</v>
      </c>
      <c r="B1226" t="str">
        <f>"EIF4A3"</f>
        <v>EIF4A3</v>
      </c>
      <c r="C1226" t="str">
        <f>""</f>
        <v/>
      </c>
      <c r="D1226">
        <v>46.871000000000002</v>
      </c>
      <c r="E1226">
        <v>7.3</v>
      </c>
      <c r="F1226">
        <v>5</v>
      </c>
      <c r="G1226">
        <v>3</v>
      </c>
      <c r="H1226">
        <v>3</v>
      </c>
      <c r="I1226" s="7">
        <v>2.80415906697151</v>
      </c>
      <c r="J1226" s="6">
        <v>1.74363718651829</v>
      </c>
      <c r="K1226" s="6">
        <v>1.8104406236178701</v>
      </c>
      <c r="L1226">
        <v>-1.5779953151133099</v>
      </c>
      <c r="M1226">
        <v>0.45837566619388498</v>
      </c>
    </row>
    <row r="1227" spans="1:13" x14ac:dyDescent="0.25">
      <c r="A1227">
        <v>1852</v>
      </c>
      <c r="B1227" t="str">
        <f>"CEP170"</f>
        <v>CEP170</v>
      </c>
      <c r="C1227" t="str">
        <f>""</f>
        <v/>
      </c>
      <c r="D1227">
        <v>161.41</v>
      </c>
      <c r="E1227">
        <v>3.4</v>
      </c>
      <c r="F1227">
        <v>5</v>
      </c>
      <c r="G1227">
        <v>3</v>
      </c>
      <c r="H1227">
        <v>3</v>
      </c>
      <c r="I1227" s="7">
        <v>2.80415906697151</v>
      </c>
      <c r="J1227" s="6">
        <v>1.74363718651829</v>
      </c>
      <c r="K1227" s="6">
        <v>1.8104406236178701</v>
      </c>
      <c r="L1227">
        <v>-1.5779953151133099</v>
      </c>
      <c r="M1227">
        <v>0.45837566619388498</v>
      </c>
    </row>
    <row r="1228" spans="1:13" x14ac:dyDescent="0.25">
      <c r="A1228">
        <v>29</v>
      </c>
      <c r="B1228" t="str">
        <f>"EIF3C;EIF3CL"</f>
        <v>EIF3C;EIF3CL</v>
      </c>
      <c r="C1228" t="str">
        <f>""</f>
        <v/>
      </c>
      <c r="D1228">
        <v>104.1</v>
      </c>
      <c r="E1228">
        <v>4.2</v>
      </c>
      <c r="F1228">
        <v>5</v>
      </c>
      <c r="G1228">
        <v>3</v>
      </c>
      <c r="H1228">
        <v>3</v>
      </c>
      <c r="I1228" s="7">
        <v>2.80415906697151</v>
      </c>
      <c r="J1228" s="6">
        <v>1.74363718651829</v>
      </c>
      <c r="K1228" s="6">
        <v>1.8104406236178701</v>
      </c>
      <c r="L1228">
        <v>-1.5779953151133099</v>
      </c>
      <c r="M1228">
        <v>0.45837566619388498</v>
      </c>
    </row>
    <row r="1229" spans="1:13" x14ac:dyDescent="0.25">
      <c r="A1229">
        <v>358</v>
      </c>
      <c r="B1229" t="str">
        <f>"GLRX3"</f>
        <v>GLRX3</v>
      </c>
      <c r="C1229" t="str">
        <f>""</f>
        <v/>
      </c>
      <c r="D1229">
        <v>37.432000000000002</v>
      </c>
      <c r="E1229">
        <v>17.899999999999999</v>
      </c>
      <c r="F1229">
        <v>5</v>
      </c>
      <c r="G1229">
        <v>3</v>
      </c>
      <c r="H1229">
        <v>3</v>
      </c>
      <c r="I1229" s="7">
        <v>2.80415906697151</v>
      </c>
      <c r="J1229" s="6">
        <v>1.74363718651829</v>
      </c>
      <c r="K1229" s="6">
        <v>1.8104406236178701</v>
      </c>
      <c r="L1229">
        <v>-1.5779953151133099</v>
      </c>
      <c r="M1229">
        <v>0.45837566619388498</v>
      </c>
    </row>
    <row r="1230" spans="1:13" x14ac:dyDescent="0.25">
      <c r="A1230">
        <v>1128</v>
      </c>
      <c r="B1230" t="str">
        <f>"MRE11A"</f>
        <v>MRE11A</v>
      </c>
      <c r="C1230" t="str">
        <f>""</f>
        <v/>
      </c>
      <c r="D1230">
        <v>77.641000000000005</v>
      </c>
      <c r="E1230">
        <v>2.5</v>
      </c>
      <c r="F1230">
        <v>5</v>
      </c>
      <c r="G1230">
        <v>3</v>
      </c>
      <c r="H1230">
        <v>3</v>
      </c>
      <c r="I1230" s="7">
        <v>2.80415906697151</v>
      </c>
      <c r="J1230" s="6">
        <v>1.74363718651829</v>
      </c>
      <c r="K1230" s="6">
        <v>1.8104406236178701</v>
      </c>
      <c r="L1230">
        <v>-1.5779953151133099</v>
      </c>
      <c r="M1230">
        <v>0.45837566619388498</v>
      </c>
    </row>
    <row r="1231" spans="1:13" x14ac:dyDescent="0.25">
      <c r="A1231">
        <v>2029</v>
      </c>
      <c r="B1231" t="str">
        <f>"DCXR"</f>
        <v>DCXR</v>
      </c>
      <c r="C1231" t="str">
        <f>""</f>
        <v/>
      </c>
      <c r="D1231">
        <v>25.913</v>
      </c>
      <c r="E1231">
        <v>8.6</v>
      </c>
      <c r="F1231">
        <v>5</v>
      </c>
      <c r="G1231">
        <v>3</v>
      </c>
      <c r="H1231">
        <v>3</v>
      </c>
      <c r="I1231" s="7">
        <v>2.80415906697151</v>
      </c>
      <c r="J1231" s="6">
        <v>1.74363718651829</v>
      </c>
      <c r="K1231" s="6">
        <v>1.8104406236178701</v>
      </c>
      <c r="L1231">
        <v>-1.5779953151133099</v>
      </c>
      <c r="M1231">
        <v>0.45837566619388498</v>
      </c>
    </row>
    <row r="1232" spans="1:13" x14ac:dyDescent="0.25">
      <c r="A1232">
        <v>2195</v>
      </c>
      <c r="B1232" t="str">
        <f>"NUP35"</f>
        <v>NUP35</v>
      </c>
      <c r="C1232" t="str">
        <f>""</f>
        <v/>
      </c>
      <c r="D1232">
        <v>34.773000000000003</v>
      </c>
      <c r="E1232">
        <v>13.5</v>
      </c>
      <c r="F1232">
        <v>5</v>
      </c>
      <c r="G1232">
        <v>3</v>
      </c>
      <c r="H1232">
        <v>3</v>
      </c>
      <c r="I1232" s="7">
        <v>2.80415906697151</v>
      </c>
      <c r="J1232" s="6">
        <v>1.74363718651829</v>
      </c>
      <c r="K1232" s="6">
        <v>1.8104406236178701</v>
      </c>
      <c r="L1232">
        <v>-1.5779953151133099</v>
      </c>
      <c r="M1232">
        <v>0.45837566619388498</v>
      </c>
    </row>
    <row r="1233" spans="1:13" x14ac:dyDescent="0.25">
      <c r="A1233">
        <v>3068</v>
      </c>
      <c r="B1233" t="str">
        <f>"THRAP3"</f>
        <v>THRAP3</v>
      </c>
      <c r="C1233" t="str">
        <f>""</f>
        <v/>
      </c>
      <c r="D1233">
        <v>108.66</v>
      </c>
      <c r="E1233">
        <v>7.5</v>
      </c>
      <c r="F1233">
        <v>5</v>
      </c>
      <c r="G1233">
        <v>3</v>
      </c>
      <c r="H1233">
        <v>3</v>
      </c>
      <c r="I1233" s="7">
        <v>2.80415906697151</v>
      </c>
      <c r="J1233" s="6">
        <v>1.74363718651829</v>
      </c>
      <c r="K1233" s="6">
        <v>1.8104406236178701</v>
      </c>
      <c r="L1233">
        <v>-1.5779953151133099</v>
      </c>
      <c r="M1233">
        <v>0.45837566619388498</v>
      </c>
    </row>
    <row r="1234" spans="1:13" x14ac:dyDescent="0.25">
      <c r="A1234">
        <v>1465</v>
      </c>
      <c r="B1234" t="str">
        <f>"GFPT1"</f>
        <v>GFPT1</v>
      </c>
      <c r="C1234" t="str">
        <f>""</f>
        <v/>
      </c>
      <c r="D1234">
        <v>76.757999999999996</v>
      </c>
      <c r="E1234">
        <v>10.9</v>
      </c>
      <c r="F1234">
        <v>11</v>
      </c>
      <c r="G1234">
        <v>13</v>
      </c>
      <c r="H1234">
        <v>14</v>
      </c>
      <c r="I1234" s="7">
        <v>6.1691499473373197</v>
      </c>
      <c r="J1234" s="6">
        <v>7.5557611415792598</v>
      </c>
      <c r="K1234" s="6">
        <v>8.4487229102167198</v>
      </c>
      <c r="L1234">
        <v>1.2971385189546001</v>
      </c>
      <c r="M1234">
        <v>0.46328995418582503</v>
      </c>
    </row>
    <row r="1235" spans="1:13" x14ac:dyDescent="0.25">
      <c r="A1235">
        <v>1314</v>
      </c>
      <c r="B1235" t="str">
        <f>"RPS18"</f>
        <v>RPS18</v>
      </c>
      <c r="C1235" t="str">
        <f>""</f>
        <v/>
      </c>
      <c r="D1235">
        <v>17.718</v>
      </c>
      <c r="E1235">
        <v>5.9</v>
      </c>
      <c r="F1235">
        <v>6</v>
      </c>
      <c r="G1235">
        <v>8</v>
      </c>
      <c r="H1235">
        <v>8</v>
      </c>
      <c r="I1235" s="7">
        <v>3.3649908803658102</v>
      </c>
      <c r="J1235" s="6">
        <v>4.6496991640487702</v>
      </c>
      <c r="K1235" s="6">
        <v>4.8278416629809797</v>
      </c>
      <c r="L1235">
        <v>1.4082565397620701</v>
      </c>
      <c r="M1235">
        <v>0.46641497475816601</v>
      </c>
    </row>
    <row r="1236" spans="1:13" x14ac:dyDescent="0.25">
      <c r="A1236">
        <v>1035</v>
      </c>
      <c r="B1236" t="str">
        <f>"MSH2"</f>
        <v>MSH2</v>
      </c>
      <c r="C1236" t="str">
        <f>""</f>
        <v/>
      </c>
      <c r="D1236">
        <v>104.74</v>
      </c>
      <c r="E1236">
        <v>3.3</v>
      </c>
      <c r="F1236">
        <v>6</v>
      </c>
      <c r="G1236">
        <v>7</v>
      </c>
      <c r="H1236">
        <v>9</v>
      </c>
      <c r="I1236" s="7">
        <v>3.3649908803658102</v>
      </c>
      <c r="J1236" s="6">
        <v>4.0684867685426802</v>
      </c>
      <c r="K1236" s="6">
        <v>5.4313218708536004</v>
      </c>
      <c r="L1236">
        <v>1.41156528756529</v>
      </c>
      <c r="M1236">
        <v>0.466535427589783</v>
      </c>
    </row>
    <row r="1237" spans="1:13" x14ac:dyDescent="0.25">
      <c r="A1237">
        <v>2518</v>
      </c>
      <c r="B1237" t="str">
        <f>"MYBBP1A"</f>
        <v>MYBBP1A</v>
      </c>
      <c r="C1237" t="str">
        <f>""</f>
        <v/>
      </c>
      <c r="D1237">
        <v>148.85</v>
      </c>
      <c r="E1237">
        <v>4.4000000000000004</v>
      </c>
      <c r="F1237">
        <v>6</v>
      </c>
      <c r="G1237">
        <v>11</v>
      </c>
      <c r="H1237">
        <v>5</v>
      </c>
      <c r="I1237" s="7">
        <v>3.3649908803658102</v>
      </c>
      <c r="J1237" s="6">
        <v>6.3933363505670604</v>
      </c>
      <c r="K1237" s="6">
        <v>3.0174010393631101</v>
      </c>
      <c r="L1237">
        <v>1.39833029635241</v>
      </c>
      <c r="M1237">
        <v>0.467500805088922</v>
      </c>
    </row>
    <row r="1238" spans="1:13" x14ac:dyDescent="0.25">
      <c r="A1238">
        <v>894</v>
      </c>
      <c r="B1238" t="str">
        <f>"PPIF"</f>
        <v>PPIF</v>
      </c>
      <c r="C1238" t="str">
        <f>""</f>
        <v/>
      </c>
      <c r="D1238">
        <v>16.541</v>
      </c>
      <c r="E1238">
        <v>5.8</v>
      </c>
      <c r="F1238">
        <v>12</v>
      </c>
      <c r="G1238">
        <v>14</v>
      </c>
      <c r="H1238">
        <v>15</v>
      </c>
      <c r="I1238" s="7">
        <v>6.7299817607316301</v>
      </c>
      <c r="J1238" s="6">
        <v>8.1369735370853498</v>
      </c>
      <c r="K1238" s="6">
        <v>9.0522031180893396</v>
      </c>
      <c r="L1238">
        <v>1.27705967611018</v>
      </c>
      <c r="M1238">
        <v>0.47301340101349498</v>
      </c>
    </row>
    <row r="1239" spans="1:13" x14ac:dyDescent="0.25">
      <c r="A1239">
        <v>41</v>
      </c>
      <c r="B1239" t="str">
        <f>"KRT6A"</f>
        <v>KRT6A</v>
      </c>
      <c r="C1239" t="str">
        <f>""</f>
        <v/>
      </c>
      <c r="D1239">
        <v>60.043999999999997</v>
      </c>
      <c r="E1239">
        <v>19.7</v>
      </c>
      <c r="F1239">
        <v>1</v>
      </c>
      <c r="G1239">
        <v>2</v>
      </c>
      <c r="H1239">
        <v>2</v>
      </c>
      <c r="I1239" s="7">
        <v>0.56083181339430199</v>
      </c>
      <c r="J1239" s="6">
        <v>1.1624247910121901</v>
      </c>
      <c r="K1239" s="6">
        <v>1.20696041574525</v>
      </c>
      <c r="L1239">
        <v>2.1123848096431002</v>
      </c>
      <c r="M1239">
        <v>0.476154861837981</v>
      </c>
    </row>
    <row r="1240" spans="1:13" x14ac:dyDescent="0.25">
      <c r="A1240">
        <v>1072</v>
      </c>
      <c r="B1240" t="str">
        <f>"QARS"</f>
        <v>QARS</v>
      </c>
      <c r="C1240" t="str">
        <f>""</f>
        <v/>
      </c>
      <c r="D1240">
        <v>86.578000000000003</v>
      </c>
      <c r="E1240">
        <v>10.5</v>
      </c>
      <c r="F1240">
        <v>1</v>
      </c>
      <c r="G1240">
        <v>2</v>
      </c>
      <c r="H1240">
        <v>2</v>
      </c>
      <c r="I1240" s="7">
        <v>0.56083181339430199</v>
      </c>
      <c r="J1240" s="6">
        <v>1.1624247910121901</v>
      </c>
      <c r="K1240" s="6">
        <v>1.20696041574525</v>
      </c>
      <c r="L1240">
        <v>2.1123848096431002</v>
      </c>
      <c r="M1240">
        <v>0.476154861837981</v>
      </c>
    </row>
    <row r="1241" spans="1:13" x14ac:dyDescent="0.25">
      <c r="A1241">
        <v>142</v>
      </c>
      <c r="B1241" t="str">
        <f>"PDCD5"</f>
        <v>PDCD5</v>
      </c>
      <c r="C1241" t="str">
        <f>""</f>
        <v/>
      </c>
      <c r="D1241">
        <v>14.285</v>
      </c>
      <c r="E1241">
        <v>8.8000000000000007</v>
      </c>
      <c r="F1241">
        <v>1</v>
      </c>
      <c r="G1241">
        <v>2</v>
      </c>
      <c r="H1241">
        <v>2</v>
      </c>
      <c r="I1241" s="7">
        <v>0.56083181339430199</v>
      </c>
      <c r="J1241" s="6">
        <v>1.1624247910121901</v>
      </c>
      <c r="K1241" s="6">
        <v>1.20696041574525</v>
      </c>
      <c r="L1241">
        <v>2.1123848096431002</v>
      </c>
      <c r="M1241">
        <v>0.476154861837981</v>
      </c>
    </row>
    <row r="1242" spans="1:13" x14ac:dyDescent="0.25">
      <c r="A1242">
        <v>628</v>
      </c>
      <c r="B1242" t="str">
        <f>"RAP2C;RAP2B;RAP2A"</f>
        <v>RAP2C;RAP2B;RAP2A</v>
      </c>
      <c r="C1242" t="str">
        <f>""</f>
        <v/>
      </c>
      <c r="D1242">
        <v>20.745000000000001</v>
      </c>
      <c r="E1242">
        <v>5.5</v>
      </c>
      <c r="F1242">
        <v>1</v>
      </c>
      <c r="G1242">
        <v>2</v>
      </c>
      <c r="H1242">
        <v>2</v>
      </c>
      <c r="I1242" s="7">
        <v>0.56083181339430199</v>
      </c>
      <c r="J1242" s="6">
        <v>1.1624247910121901</v>
      </c>
      <c r="K1242" s="6">
        <v>1.20696041574525</v>
      </c>
      <c r="L1242">
        <v>2.1123848096431002</v>
      </c>
      <c r="M1242">
        <v>0.476154861837981</v>
      </c>
    </row>
    <row r="1243" spans="1:13" x14ac:dyDescent="0.25">
      <c r="A1243">
        <v>1179</v>
      </c>
      <c r="B1243" t="str">
        <f>"RAP1GDS1"</f>
        <v>RAP1GDS1</v>
      </c>
      <c r="C1243" t="str">
        <f>""</f>
        <v/>
      </c>
      <c r="D1243">
        <v>61.036000000000001</v>
      </c>
      <c r="E1243">
        <v>3.6</v>
      </c>
      <c r="F1243">
        <v>1</v>
      </c>
      <c r="G1243">
        <v>2</v>
      </c>
      <c r="H1243">
        <v>2</v>
      </c>
      <c r="I1243" s="7">
        <v>0.56083181339430199</v>
      </c>
      <c r="J1243" s="6">
        <v>1.1624247910121901</v>
      </c>
      <c r="K1243" s="6">
        <v>1.20696041574525</v>
      </c>
      <c r="L1243">
        <v>2.1123848096431002</v>
      </c>
      <c r="M1243">
        <v>0.476154861837981</v>
      </c>
    </row>
    <row r="1244" spans="1:13" x14ac:dyDescent="0.25">
      <c r="A1244">
        <v>2011</v>
      </c>
      <c r="B1244" t="str">
        <f>"MICAL3"</f>
        <v>MICAL3</v>
      </c>
      <c r="C1244" t="str">
        <f>""</f>
        <v/>
      </c>
      <c r="D1244">
        <v>224.29</v>
      </c>
      <c r="E1244">
        <v>1.9</v>
      </c>
      <c r="F1244">
        <v>1</v>
      </c>
      <c r="G1244">
        <v>2</v>
      </c>
      <c r="H1244">
        <v>2</v>
      </c>
      <c r="I1244" s="7">
        <v>0.56083181339430199</v>
      </c>
      <c r="J1244" s="6">
        <v>1.1624247910121901</v>
      </c>
      <c r="K1244" s="6">
        <v>1.20696041574525</v>
      </c>
      <c r="L1244">
        <v>2.1123848096431002</v>
      </c>
      <c r="M1244">
        <v>0.476154861837981</v>
      </c>
    </row>
    <row r="1245" spans="1:13" x14ac:dyDescent="0.25">
      <c r="A1245">
        <v>96</v>
      </c>
      <c r="B1245" t="str">
        <f>"APBB1"</f>
        <v>APBB1</v>
      </c>
      <c r="C1245" t="str">
        <f>""</f>
        <v/>
      </c>
      <c r="D1245">
        <v>49.856000000000002</v>
      </c>
      <c r="E1245">
        <v>3.1</v>
      </c>
      <c r="F1245">
        <v>1</v>
      </c>
      <c r="G1245">
        <v>2</v>
      </c>
      <c r="H1245">
        <v>2</v>
      </c>
      <c r="I1245" s="7">
        <v>0.56083181339430199</v>
      </c>
      <c r="J1245" s="6">
        <v>1.1624247910121901</v>
      </c>
      <c r="K1245" s="6">
        <v>1.20696041574525</v>
      </c>
      <c r="L1245">
        <v>2.1123848096431002</v>
      </c>
      <c r="M1245">
        <v>0.476154861837981</v>
      </c>
    </row>
    <row r="1246" spans="1:13" x14ac:dyDescent="0.25">
      <c r="A1246">
        <v>200</v>
      </c>
      <c r="B1246" t="str">
        <f>"RNMT"</f>
        <v>RNMT</v>
      </c>
      <c r="C1246" t="str">
        <f>""</f>
        <v/>
      </c>
      <c r="D1246">
        <v>54.843000000000004</v>
      </c>
      <c r="E1246">
        <v>5.5</v>
      </c>
      <c r="F1246">
        <v>1</v>
      </c>
      <c r="G1246">
        <v>2</v>
      </c>
      <c r="H1246">
        <v>2</v>
      </c>
      <c r="I1246" s="7">
        <v>0.56083181339430199</v>
      </c>
      <c r="J1246" s="6">
        <v>1.1624247910121901</v>
      </c>
      <c r="K1246" s="6">
        <v>1.20696041574525</v>
      </c>
      <c r="L1246">
        <v>2.1123848096431002</v>
      </c>
      <c r="M1246">
        <v>0.476154861837981</v>
      </c>
    </row>
    <row r="1247" spans="1:13" x14ac:dyDescent="0.25">
      <c r="A1247">
        <v>315</v>
      </c>
      <c r="B1247" t="str">
        <f>"PDCD6"</f>
        <v>PDCD6</v>
      </c>
      <c r="C1247" t="str">
        <f>""</f>
        <v/>
      </c>
      <c r="D1247">
        <v>21.664000000000001</v>
      </c>
      <c r="E1247">
        <v>16.899999999999999</v>
      </c>
      <c r="F1247">
        <v>1</v>
      </c>
      <c r="G1247">
        <v>2</v>
      </c>
      <c r="H1247">
        <v>2</v>
      </c>
      <c r="I1247" s="7">
        <v>0.56083181339430199</v>
      </c>
      <c r="J1247" s="6">
        <v>1.1624247910121901</v>
      </c>
      <c r="K1247" s="6">
        <v>1.20696041574525</v>
      </c>
      <c r="L1247">
        <v>2.1123848096431002</v>
      </c>
      <c r="M1247">
        <v>0.476154861837981</v>
      </c>
    </row>
    <row r="1248" spans="1:13" x14ac:dyDescent="0.25">
      <c r="A1248">
        <v>519</v>
      </c>
      <c r="B1248" t="str">
        <f>"TP53"</f>
        <v>TP53</v>
      </c>
      <c r="C1248" t="str">
        <f>""</f>
        <v/>
      </c>
      <c r="D1248">
        <v>33.491999999999997</v>
      </c>
      <c r="E1248">
        <v>4</v>
      </c>
      <c r="F1248">
        <v>1</v>
      </c>
      <c r="G1248">
        <v>2</v>
      </c>
      <c r="H1248">
        <v>2</v>
      </c>
      <c r="I1248" s="7">
        <v>0.56083181339430199</v>
      </c>
      <c r="J1248" s="6">
        <v>1.1624247910121901</v>
      </c>
      <c r="K1248" s="6">
        <v>1.20696041574525</v>
      </c>
      <c r="L1248">
        <v>2.1123848096431002</v>
      </c>
      <c r="M1248">
        <v>0.476154861837981</v>
      </c>
    </row>
    <row r="1249" spans="1:13" x14ac:dyDescent="0.25">
      <c r="A1249">
        <v>535</v>
      </c>
      <c r="B1249" t="str">
        <f>"PCCA"</f>
        <v>PCCA</v>
      </c>
      <c r="C1249" t="str">
        <f>""</f>
        <v/>
      </c>
      <c r="D1249">
        <v>75.001000000000005</v>
      </c>
      <c r="E1249">
        <v>2.2000000000000002</v>
      </c>
      <c r="F1249">
        <v>1</v>
      </c>
      <c r="G1249">
        <v>2</v>
      </c>
      <c r="H1249">
        <v>2</v>
      </c>
      <c r="I1249" s="7">
        <v>0.56083181339430199</v>
      </c>
      <c r="J1249" s="6">
        <v>1.1624247910121901</v>
      </c>
      <c r="K1249" s="6">
        <v>1.20696041574525</v>
      </c>
      <c r="L1249">
        <v>2.1123848096431002</v>
      </c>
      <c r="M1249">
        <v>0.476154861837981</v>
      </c>
    </row>
    <row r="1250" spans="1:13" x14ac:dyDescent="0.25">
      <c r="A1250">
        <v>560</v>
      </c>
      <c r="B1250" t="str">
        <f>"EPHX1"</f>
        <v>EPHX1</v>
      </c>
      <c r="C1250" t="str">
        <f>""</f>
        <v/>
      </c>
      <c r="D1250">
        <v>52.948</v>
      </c>
      <c r="E1250">
        <v>10.3</v>
      </c>
      <c r="F1250">
        <v>1</v>
      </c>
      <c r="G1250">
        <v>2</v>
      </c>
      <c r="H1250">
        <v>2</v>
      </c>
      <c r="I1250" s="7">
        <v>0.56083181339430199</v>
      </c>
      <c r="J1250" s="6">
        <v>1.1624247910121901</v>
      </c>
      <c r="K1250" s="6">
        <v>1.20696041574525</v>
      </c>
      <c r="L1250">
        <v>2.1123848096431002</v>
      </c>
      <c r="M1250">
        <v>0.476154861837981</v>
      </c>
    </row>
    <row r="1251" spans="1:13" x14ac:dyDescent="0.25">
      <c r="A1251">
        <v>644</v>
      </c>
      <c r="B1251" t="str">
        <f>"BCR"</f>
        <v>BCR</v>
      </c>
      <c r="C1251" t="str">
        <f>"BCR"</f>
        <v>BCR</v>
      </c>
      <c r="D1251">
        <v>137.72999999999999</v>
      </c>
      <c r="E1251">
        <v>2</v>
      </c>
      <c r="F1251">
        <v>1</v>
      </c>
      <c r="G1251">
        <v>2</v>
      </c>
      <c r="H1251">
        <v>2</v>
      </c>
      <c r="I1251" s="7">
        <v>0.56083181339430199</v>
      </c>
      <c r="J1251" s="6">
        <v>1.1624247910121901</v>
      </c>
      <c r="K1251" s="6">
        <v>1.20696041574525</v>
      </c>
      <c r="L1251">
        <v>2.1123848096431002</v>
      </c>
      <c r="M1251">
        <v>0.476154861837981</v>
      </c>
    </row>
    <row r="1252" spans="1:13" x14ac:dyDescent="0.25">
      <c r="A1252">
        <v>684</v>
      </c>
      <c r="B1252" t="str">
        <f>"PRKAR2A"</f>
        <v>PRKAR2A</v>
      </c>
      <c r="C1252" t="str">
        <f>""</f>
        <v/>
      </c>
      <c r="D1252">
        <v>43.066000000000003</v>
      </c>
      <c r="E1252">
        <v>6.3</v>
      </c>
      <c r="F1252">
        <v>1</v>
      </c>
      <c r="G1252">
        <v>2</v>
      </c>
      <c r="H1252">
        <v>2</v>
      </c>
      <c r="I1252" s="7">
        <v>0.56083181339430199</v>
      </c>
      <c r="J1252" s="6">
        <v>1.1624247910121901</v>
      </c>
      <c r="K1252" s="6">
        <v>1.20696041574525</v>
      </c>
      <c r="L1252">
        <v>2.1123848096431002</v>
      </c>
      <c r="M1252">
        <v>0.476154861837981</v>
      </c>
    </row>
    <row r="1253" spans="1:13" x14ac:dyDescent="0.25">
      <c r="A1253">
        <v>896</v>
      </c>
      <c r="B1253" t="str">
        <f>"HMOX2"</f>
        <v>HMOX2</v>
      </c>
      <c r="C1253" t="str">
        <f>""</f>
        <v/>
      </c>
      <c r="D1253">
        <v>32.837000000000003</v>
      </c>
      <c r="E1253">
        <v>7.3</v>
      </c>
      <c r="F1253">
        <v>1</v>
      </c>
      <c r="G1253">
        <v>2</v>
      </c>
      <c r="H1253">
        <v>2</v>
      </c>
      <c r="I1253" s="7">
        <v>0.56083181339430199</v>
      </c>
      <c r="J1253" s="6">
        <v>1.1624247910121901</v>
      </c>
      <c r="K1253" s="6">
        <v>1.20696041574525</v>
      </c>
      <c r="L1253">
        <v>2.1123848096431002</v>
      </c>
      <c r="M1253">
        <v>0.476154861837981</v>
      </c>
    </row>
    <row r="1254" spans="1:13" x14ac:dyDescent="0.25">
      <c r="A1254">
        <v>1085</v>
      </c>
      <c r="B1254" t="str">
        <f>"CSNK1A1"</f>
        <v>CSNK1A1</v>
      </c>
      <c r="C1254" t="str">
        <f>"CSNK1A1;CSNK1A1L"</f>
        <v>CSNK1A1;CSNK1A1L</v>
      </c>
      <c r="D1254">
        <v>37.567</v>
      </c>
      <c r="E1254">
        <v>14.2</v>
      </c>
      <c r="F1254">
        <v>1</v>
      </c>
      <c r="G1254">
        <v>2</v>
      </c>
      <c r="H1254">
        <v>2</v>
      </c>
      <c r="I1254" s="7">
        <v>0.56083181339430199</v>
      </c>
      <c r="J1254" s="6">
        <v>1.1624247910121901</v>
      </c>
      <c r="K1254" s="6">
        <v>1.20696041574525</v>
      </c>
      <c r="L1254">
        <v>2.1123848096431002</v>
      </c>
      <c r="M1254">
        <v>0.476154861837981</v>
      </c>
    </row>
    <row r="1255" spans="1:13" x14ac:dyDescent="0.25">
      <c r="A1255">
        <v>1350</v>
      </c>
      <c r="B1255" t="str">
        <f>"RAC1"</f>
        <v>RAC1</v>
      </c>
      <c r="C1255" t="str">
        <f>""</f>
        <v/>
      </c>
      <c r="D1255">
        <v>21.45</v>
      </c>
      <c r="E1255">
        <v>15.1</v>
      </c>
      <c r="F1255">
        <v>1</v>
      </c>
      <c r="G1255">
        <v>2</v>
      </c>
      <c r="H1255">
        <v>2</v>
      </c>
      <c r="I1255" s="7">
        <v>0.56083181339430199</v>
      </c>
      <c r="J1255" s="6">
        <v>1.1624247910121901</v>
      </c>
      <c r="K1255" s="6">
        <v>1.20696041574525</v>
      </c>
      <c r="L1255">
        <v>2.1123848096431002</v>
      </c>
      <c r="M1255">
        <v>0.476154861837981</v>
      </c>
    </row>
    <row r="1256" spans="1:13" x14ac:dyDescent="0.25">
      <c r="A1256">
        <v>1388</v>
      </c>
      <c r="B1256" t="str">
        <f>"MRPS35"</f>
        <v>MRPS35</v>
      </c>
      <c r="C1256" t="str">
        <f>""</f>
        <v/>
      </c>
      <c r="D1256">
        <v>36.844000000000001</v>
      </c>
      <c r="E1256">
        <v>11.5</v>
      </c>
      <c r="F1256">
        <v>1</v>
      </c>
      <c r="G1256">
        <v>2</v>
      </c>
      <c r="H1256">
        <v>2</v>
      </c>
      <c r="I1256" s="7">
        <v>0.56083181339430199</v>
      </c>
      <c r="J1256" s="6">
        <v>1.1624247910121901</v>
      </c>
      <c r="K1256" s="6">
        <v>1.20696041574525</v>
      </c>
      <c r="L1256">
        <v>2.1123848096431002</v>
      </c>
      <c r="M1256">
        <v>0.476154861837981</v>
      </c>
    </row>
    <row r="1257" spans="1:13" x14ac:dyDescent="0.25">
      <c r="A1257">
        <v>1468</v>
      </c>
      <c r="B1257" t="str">
        <f>"GABPA"</f>
        <v>GABPA</v>
      </c>
      <c r="C1257" t="str">
        <f>""</f>
        <v/>
      </c>
      <c r="D1257">
        <v>51.295000000000002</v>
      </c>
      <c r="E1257">
        <v>4.8</v>
      </c>
      <c r="F1257">
        <v>1</v>
      </c>
      <c r="G1257">
        <v>2</v>
      </c>
      <c r="H1257">
        <v>2</v>
      </c>
      <c r="I1257" s="7">
        <v>0.56083181339430199</v>
      </c>
      <c r="J1257" s="6">
        <v>1.1624247910121901</v>
      </c>
      <c r="K1257" s="6">
        <v>1.20696041574525</v>
      </c>
      <c r="L1257">
        <v>2.1123848096431002</v>
      </c>
      <c r="M1257">
        <v>0.476154861837981</v>
      </c>
    </row>
    <row r="1258" spans="1:13" x14ac:dyDescent="0.25">
      <c r="A1258">
        <v>1512</v>
      </c>
      <c r="B1258" t="str">
        <f>"BPTF"</f>
        <v>BPTF</v>
      </c>
      <c r="C1258" t="str">
        <f>""</f>
        <v/>
      </c>
      <c r="D1258">
        <v>322.20999999999998</v>
      </c>
      <c r="E1258">
        <v>2.1</v>
      </c>
      <c r="F1258">
        <v>1</v>
      </c>
      <c r="G1258">
        <v>2</v>
      </c>
      <c r="H1258">
        <v>2</v>
      </c>
      <c r="I1258" s="7">
        <v>0.56083181339430199</v>
      </c>
      <c r="J1258" s="6">
        <v>1.1624247910121901</v>
      </c>
      <c r="K1258" s="6">
        <v>1.20696041574525</v>
      </c>
      <c r="L1258">
        <v>2.1123848096431002</v>
      </c>
      <c r="M1258">
        <v>0.476154861837981</v>
      </c>
    </row>
    <row r="1259" spans="1:13" x14ac:dyDescent="0.25">
      <c r="A1259">
        <v>1560</v>
      </c>
      <c r="B1259" t="str">
        <f>"MTA1"</f>
        <v>MTA1</v>
      </c>
      <c r="C1259" t="str">
        <f>""</f>
        <v/>
      </c>
      <c r="D1259">
        <v>49.017000000000003</v>
      </c>
      <c r="E1259">
        <v>2.2999999999999998</v>
      </c>
      <c r="F1259">
        <v>1</v>
      </c>
      <c r="G1259">
        <v>2</v>
      </c>
      <c r="H1259">
        <v>2</v>
      </c>
      <c r="I1259" s="7">
        <v>0.56083181339430199</v>
      </c>
      <c r="J1259" s="6">
        <v>1.1624247910121901</v>
      </c>
      <c r="K1259" s="6">
        <v>1.20696041574525</v>
      </c>
      <c r="L1259">
        <v>2.1123848096431002</v>
      </c>
      <c r="M1259">
        <v>0.476154861837981</v>
      </c>
    </row>
    <row r="1260" spans="1:13" x14ac:dyDescent="0.25">
      <c r="A1260">
        <v>1680</v>
      </c>
      <c r="B1260" t="str">
        <f>"SHPRH"</f>
        <v>SHPRH</v>
      </c>
      <c r="C1260" t="str">
        <f>""</f>
        <v/>
      </c>
      <c r="D1260">
        <v>190.49</v>
      </c>
      <c r="E1260">
        <v>1.9</v>
      </c>
      <c r="F1260">
        <v>1</v>
      </c>
      <c r="G1260">
        <v>2</v>
      </c>
      <c r="H1260">
        <v>2</v>
      </c>
      <c r="I1260" s="7">
        <v>0.56083181339430199</v>
      </c>
      <c r="J1260" s="6">
        <v>1.1624247910121901</v>
      </c>
      <c r="K1260" s="6">
        <v>1.20696041574525</v>
      </c>
      <c r="L1260">
        <v>2.1123848096431002</v>
      </c>
      <c r="M1260">
        <v>0.476154861837981</v>
      </c>
    </row>
    <row r="1261" spans="1:13" x14ac:dyDescent="0.25">
      <c r="A1261">
        <v>1807</v>
      </c>
      <c r="B1261" t="str">
        <f>"DAK"</f>
        <v>DAK</v>
      </c>
      <c r="C1261" t="str">
        <f>""</f>
        <v/>
      </c>
      <c r="D1261">
        <v>58.945999999999998</v>
      </c>
      <c r="E1261">
        <v>2.8</v>
      </c>
      <c r="F1261">
        <v>1</v>
      </c>
      <c r="G1261">
        <v>2</v>
      </c>
      <c r="H1261">
        <v>2</v>
      </c>
      <c r="I1261" s="7">
        <v>0.56083181339430199</v>
      </c>
      <c r="J1261" s="6">
        <v>1.1624247910121901</v>
      </c>
      <c r="K1261" s="6">
        <v>1.20696041574525</v>
      </c>
      <c r="L1261">
        <v>2.1123848096431002</v>
      </c>
      <c r="M1261">
        <v>0.476154861837981</v>
      </c>
    </row>
    <row r="1262" spans="1:13" x14ac:dyDescent="0.25">
      <c r="A1262">
        <v>1914</v>
      </c>
      <c r="B1262" t="str">
        <f>"RAB12"</f>
        <v>RAB12</v>
      </c>
      <c r="C1262" t="str">
        <f>""</f>
        <v/>
      </c>
      <c r="D1262">
        <v>27.248000000000001</v>
      </c>
      <c r="E1262">
        <v>12.7</v>
      </c>
      <c r="F1262">
        <v>1</v>
      </c>
      <c r="G1262">
        <v>2</v>
      </c>
      <c r="H1262">
        <v>2</v>
      </c>
      <c r="I1262" s="7">
        <v>0.56083181339430199</v>
      </c>
      <c r="J1262" s="6">
        <v>1.1624247910121901</v>
      </c>
      <c r="K1262" s="6">
        <v>1.20696041574525</v>
      </c>
      <c r="L1262">
        <v>2.1123848096431002</v>
      </c>
      <c r="M1262">
        <v>0.476154861837981</v>
      </c>
    </row>
    <row r="1263" spans="1:13" x14ac:dyDescent="0.25">
      <c r="A1263">
        <v>2181</v>
      </c>
      <c r="B1263" t="str">
        <f>"LSM14A"</f>
        <v>LSM14A</v>
      </c>
      <c r="C1263" t="str">
        <f>""</f>
        <v/>
      </c>
      <c r="D1263">
        <v>46.411000000000001</v>
      </c>
      <c r="E1263">
        <v>3.3</v>
      </c>
      <c r="F1263">
        <v>1</v>
      </c>
      <c r="G1263">
        <v>2</v>
      </c>
      <c r="H1263">
        <v>2</v>
      </c>
      <c r="I1263" s="7">
        <v>0.56083181339430199</v>
      </c>
      <c r="J1263" s="6">
        <v>1.1624247910121901</v>
      </c>
      <c r="K1263" s="6">
        <v>1.20696041574525</v>
      </c>
      <c r="L1263">
        <v>2.1123848096431002</v>
      </c>
      <c r="M1263">
        <v>0.476154861837981</v>
      </c>
    </row>
    <row r="1264" spans="1:13" x14ac:dyDescent="0.25">
      <c r="A1264">
        <v>2213</v>
      </c>
      <c r="B1264" t="str">
        <f>"NT5C"</f>
        <v>NT5C</v>
      </c>
      <c r="C1264" t="str">
        <f>""</f>
        <v/>
      </c>
      <c r="D1264">
        <v>23.382000000000001</v>
      </c>
      <c r="E1264">
        <v>4.5</v>
      </c>
      <c r="F1264">
        <v>1</v>
      </c>
      <c r="G1264">
        <v>2</v>
      </c>
      <c r="H1264">
        <v>2</v>
      </c>
      <c r="I1264" s="7">
        <v>0.56083181339430199</v>
      </c>
      <c r="J1264" s="6">
        <v>1.1624247910121901</v>
      </c>
      <c r="K1264" s="6">
        <v>1.20696041574525</v>
      </c>
      <c r="L1264">
        <v>2.1123848096431002</v>
      </c>
      <c r="M1264">
        <v>0.476154861837981</v>
      </c>
    </row>
    <row r="1265" spans="1:13" x14ac:dyDescent="0.25">
      <c r="A1265">
        <v>2222</v>
      </c>
      <c r="B1265" t="str">
        <f>"RB1CC1"</f>
        <v>RB1CC1</v>
      </c>
      <c r="C1265" t="str">
        <f>""</f>
        <v/>
      </c>
      <c r="D1265">
        <v>182.85</v>
      </c>
      <c r="E1265">
        <v>1.8</v>
      </c>
      <c r="F1265">
        <v>1</v>
      </c>
      <c r="G1265">
        <v>2</v>
      </c>
      <c r="H1265">
        <v>2</v>
      </c>
      <c r="I1265" s="7">
        <v>0.56083181339430199</v>
      </c>
      <c r="J1265" s="6">
        <v>1.1624247910121901</v>
      </c>
      <c r="K1265" s="6">
        <v>1.20696041574525</v>
      </c>
      <c r="L1265">
        <v>2.1123848096431002</v>
      </c>
      <c r="M1265">
        <v>0.476154861837981</v>
      </c>
    </row>
    <row r="1266" spans="1:13" x14ac:dyDescent="0.25">
      <c r="A1266">
        <v>2263</v>
      </c>
      <c r="B1266" t="str">
        <f>"IRGQ"</f>
        <v>IRGQ</v>
      </c>
      <c r="C1266" t="str">
        <f>""</f>
        <v/>
      </c>
      <c r="D1266">
        <v>62.716999999999999</v>
      </c>
      <c r="E1266">
        <v>2.4</v>
      </c>
      <c r="F1266">
        <v>1</v>
      </c>
      <c r="G1266">
        <v>2</v>
      </c>
      <c r="H1266">
        <v>2</v>
      </c>
      <c r="I1266" s="7">
        <v>0.56083181339430199</v>
      </c>
      <c r="J1266" s="6">
        <v>1.1624247910121901</v>
      </c>
      <c r="K1266" s="6">
        <v>1.20696041574525</v>
      </c>
      <c r="L1266">
        <v>2.1123848096431002</v>
      </c>
      <c r="M1266">
        <v>0.476154861837981</v>
      </c>
    </row>
    <row r="1267" spans="1:13" x14ac:dyDescent="0.25">
      <c r="A1267">
        <v>2299</v>
      </c>
      <c r="B1267" t="str">
        <f>"OSTF1"</f>
        <v>OSTF1</v>
      </c>
      <c r="C1267" t="str">
        <f>""</f>
        <v/>
      </c>
      <c r="D1267">
        <v>23.786999999999999</v>
      </c>
      <c r="E1267">
        <v>5.6</v>
      </c>
      <c r="F1267">
        <v>1</v>
      </c>
      <c r="G1267">
        <v>2</v>
      </c>
      <c r="H1267">
        <v>2</v>
      </c>
      <c r="I1267" s="7">
        <v>0.56083181339430199</v>
      </c>
      <c r="J1267" s="6">
        <v>1.1624247910121901</v>
      </c>
      <c r="K1267" s="6">
        <v>1.20696041574525</v>
      </c>
      <c r="L1267">
        <v>2.1123848096431002</v>
      </c>
      <c r="M1267">
        <v>0.476154861837981</v>
      </c>
    </row>
    <row r="1268" spans="1:13" x14ac:dyDescent="0.25">
      <c r="A1268">
        <v>2343</v>
      </c>
      <c r="B1268" t="str">
        <f>"ARL8A"</f>
        <v>ARL8A</v>
      </c>
      <c r="C1268" t="str">
        <f>""</f>
        <v/>
      </c>
      <c r="D1268">
        <v>21.416</v>
      </c>
      <c r="E1268">
        <v>23.1</v>
      </c>
      <c r="F1268">
        <v>1</v>
      </c>
      <c r="G1268">
        <v>2</v>
      </c>
      <c r="H1268">
        <v>2</v>
      </c>
      <c r="I1268" s="7">
        <v>0.56083181339430199</v>
      </c>
      <c r="J1268" s="6">
        <v>1.1624247910121901</v>
      </c>
      <c r="K1268" s="6">
        <v>1.20696041574525</v>
      </c>
      <c r="L1268">
        <v>2.1123848096431002</v>
      </c>
      <c r="M1268">
        <v>0.476154861837981</v>
      </c>
    </row>
    <row r="1269" spans="1:13" x14ac:dyDescent="0.25">
      <c r="A1269">
        <v>2365</v>
      </c>
      <c r="B1269" t="str">
        <f>"MRRF"</f>
        <v>MRRF</v>
      </c>
      <c r="C1269" t="str">
        <f>""</f>
        <v/>
      </c>
      <c r="D1269">
        <v>13.603999999999999</v>
      </c>
      <c r="E1269">
        <v>9.6999999999999993</v>
      </c>
      <c r="F1269">
        <v>1</v>
      </c>
      <c r="G1269">
        <v>2</v>
      </c>
      <c r="H1269">
        <v>2</v>
      </c>
      <c r="I1269" s="7">
        <v>0.56083181339430199</v>
      </c>
      <c r="J1269" s="6">
        <v>1.1624247910121901</v>
      </c>
      <c r="K1269" s="6">
        <v>1.20696041574525</v>
      </c>
      <c r="L1269">
        <v>2.1123848096431002</v>
      </c>
      <c r="M1269">
        <v>0.476154861837981</v>
      </c>
    </row>
    <row r="1270" spans="1:13" x14ac:dyDescent="0.25">
      <c r="A1270">
        <v>2416</v>
      </c>
      <c r="B1270" t="str">
        <f>"ZFP91"</f>
        <v>ZFP91</v>
      </c>
      <c r="C1270" t="str">
        <f>""</f>
        <v/>
      </c>
      <c r="D1270">
        <v>59.57</v>
      </c>
      <c r="E1270">
        <v>4.2</v>
      </c>
      <c r="F1270">
        <v>1</v>
      </c>
      <c r="G1270">
        <v>2</v>
      </c>
      <c r="H1270">
        <v>2</v>
      </c>
      <c r="I1270" s="7">
        <v>0.56083181339430199</v>
      </c>
      <c r="J1270" s="6">
        <v>1.1624247910121901</v>
      </c>
      <c r="K1270" s="6">
        <v>1.20696041574525</v>
      </c>
      <c r="L1270">
        <v>2.1123848096431002</v>
      </c>
      <c r="M1270">
        <v>0.476154861837981</v>
      </c>
    </row>
    <row r="1271" spans="1:13" x14ac:dyDescent="0.25">
      <c r="A1271">
        <v>2482</v>
      </c>
      <c r="B1271" t="str">
        <f>"TTC1"</f>
        <v>TTC1</v>
      </c>
      <c r="C1271" t="str">
        <f>""</f>
        <v/>
      </c>
      <c r="D1271">
        <v>33.526000000000003</v>
      </c>
      <c r="E1271">
        <v>3.4</v>
      </c>
      <c r="F1271">
        <v>1</v>
      </c>
      <c r="G1271">
        <v>2</v>
      </c>
      <c r="H1271">
        <v>2</v>
      </c>
      <c r="I1271" s="7">
        <v>0.56083181339430199</v>
      </c>
      <c r="J1271" s="6">
        <v>1.1624247910121901</v>
      </c>
      <c r="K1271" s="6">
        <v>1.20696041574525</v>
      </c>
      <c r="L1271">
        <v>2.1123848096431002</v>
      </c>
      <c r="M1271">
        <v>0.476154861837981</v>
      </c>
    </row>
    <row r="1272" spans="1:13" x14ac:dyDescent="0.25">
      <c r="A1272">
        <v>2550</v>
      </c>
      <c r="B1272" t="str">
        <f>"ANP32E"</f>
        <v>ANP32E</v>
      </c>
      <c r="C1272" t="str">
        <f>""</f>
        <v/>
      </c>
      <c r="D1272">
        <v>25.125</v>
      </c>
      <c r="E1272">
        <v>5.5</v>
      </c>
      <c r="F1272">
        <v>1</v>
      </c>
      <c r="G1272">
        <v>2</v>
      </c>
      <c r="H1272">
        <v>2</v>
      </c>
      <c r="I1272" s="7">
        <v>0.56083181339430199</v>
      </c>
      <c r="J1272" s="6">
        <v>1.1624247910121901</v>
      </c>
      <c r="K1272" s="6">
        <v>1.20696041574525</v>
      </c>
      <c r="L1272">
        <v>2.1123848096431002</v>
      </c>
      <c r="M1272">
        <v>0.476154861837981</v>
      </c>
    </row>
    <row r="1273" spans="1:13" x14ac:dyDescent="0.25">
      <c r="A1273">
        <v>2577</v>
      </c>
      <c r="B1273" t="str">
        <f>"TARS2"</f>
        <v>TARS2</v>
      </c>
      <c r="C1273" t="str">
        <f>""</f>
        <v/>
      </c>
      <c r="D1273">
        <v>66.372</v>
      </c>
      <c r="E1273">
        <v>5.6</v>
      </c>
      <c r="F1273">
        <v>1</v>
      </c>
      <c r="G1273">
        <v>2</v>
      </c>
      <c r="H1273">
        <v>2</v>
      </c>
      <c r="I1273" s="7">
        <v>0.56083181339430199</v>
      </c>
      <c r="J1273" s="6">
        <v>1.1624247910121901</v>
      </c>
      <c r="K1273" s="6">
        <v>1.20696041574525</v>
      </c>
      <c r="L1273">
        <v>2.1123848096431002</v>
      </c>
      <c r="M1273">
        <v>0.476154861837981</v>
      </c>
    </row>
    <row r="1274" spans="1:13" x14ac:dyDescent="0.25">
      <c r="A1274">
        <v>2647</v>
      </c>
      <c r="B1274" t="str">
        <f>"RAB1B"</f>
        <v>RAB1B</v>
      </c>
      <c r="C1274" t="str">
        <f>""</f>
        <v/>
      </c>
      <c r="D1274">
        <v>22.170999999999999</v>
      </c>
      <c r="E1274">
        <v>5</v>
      </c>
      <c r="F1274">
        <v>1</v>
      </c>
      <c r="G1274">
        <v>2</v>
      </c>
      <c r="H1274">
        <v>2</v>
      </c>
      <c r="I1274" s="7">
        <v>0.56083181339430199</v>
      </c>
      <c r="J1274" s="6">
        <v>1.1624247910121901</v>
      </c>
      <c r="K1274" s="6">
        <v>1.20696041574525</v>
      </c>
      <c r="L1274">
        <v>2.1123848096431002</v>
      </c>
      <c r="M1274">
        <v>0.476154861837981</v>
      </c>
    </row>
    <row r="1275" spans="1:13" x14ac:dyDescent="0.25">
      <c r="A1275">
        <v>2661</v>
      </c>
      <c r="B1275" t="str">
        <f>"SLK"</f>
        <v>SLK</v>
      </c>
      <c r="C1275" t="str">
        <f>"SLK"</f>
        <v>SLK</v>
      </c>
      <c r="D1275">
        <v>138.99</v>
      </c>
      <c r="E1275">
        <v>4.2</v>
      </c>
      <c r="F1275">
        <v>1</v>
      </c>
      <c r="G1275">
        <v>2</v>
      </c>
      <c r="H1275">
        <v>2</v>
      </c>
      <c r="I1275" s="7">
        <v>0.56083181339430199</v>
      </c>
      <c r="J1275" s="6">
        <v>1.1624247910121901</v>
      </c>
      <c r="K1275" s="6">
        <v>1.20696041574525</v>
      </c>
      <c r="L1275">
        <v>2.1123848096431002</v>
      </c>
      <c r="M1275">
        <v>0.476154861837981</v>
      </c>
    </row>
    <row r="1276" spans="1:13" x14ac:dyDescent="0.25">
      <c r="A1276">
        <v>2810</v>
      </c>
      <c r="B1276" t="str">
        <f>"ZCCHC3"</f>
        <v>ZCCHC3</v>
      </c>
      <c r="C1276" t="str">
        <f>""</f>
        <v/>
      </c>
      <c r="D1276">
        <v>43.546999999999997</v>
      </c>
      <c r="E1276">
        <v>2.5</v>
      </c>
      <c r="F1276">
        <v>1</v>
      </c>
      <c r="G1276">
        <v>2</v>
      </c>
      <c r="H1276">
        <v>2</v>
      </c>
      <c r="I1276" s="7">
        <v>0.56083181339430199</v>
      </c>
      <c r="J1276" s="6">
        <v>1.1624247910121901</v>
      </c>
      <c r="K1276" s="6">
        <v>1.20696041574525</v>
      </c>
      <c r="L1276">
        <v>2.1123848096431002</v>
      </c>
      <c r="M1276">
        <v>0.476154861837981</v>
      </c>
    </row>
    <row r="1277" spans="1:13" x14ac:dyDescent="0.25">
      <c r="A1277">
        <v>2842</v>
      </c>
      <c r="B1277" t="str">
        <f>"TXNL4B"</f>
        <v>TXNL4B</v>
      </c>
      <c r="C1277" t="str">
        <f>""</f>
        <v/>
      </c>
      <c r="D1277">
        <v>17.013999999999999</v>
      </c>
      <c r="E1277">
        <v>6.7</v>
      </c>
      <c r="F1277">
        <v>1</v>
      </c>
      <c r="G1277">
        <v>2</v>
      </c>
      <c r="H1277">
        <v>2</v>
      </c>
      <c r="I1277" s="7">
        <v>0.56083181339430199</v>
      </c>
      <c r="J1277" s="6">
        <v>1.1624247910121901</v>
      </c>
      <c r="K1277" s="6">
        <v>1.20696041574525</v>
      </c>
      <c r="L1277">
        <v>2.1123848096431002</v>
      </c>
      <c r="M1277">
        <v>0.476154861837981</v>
      </c>
    </row>
    <row r="1278" spans="1:13" x14ac:dyDescent="0.25">
      <c r="A1278">
        <v>2911</v>
      </c>
      <c r="B1278" t="str">
        <f>"NCDN"</f>
        <v>NCDN</v>
      </c>
      <c r="C1278" t="str">
        <f>""</f>
        <v/>
      </c>
      <c r="D1278">
        <v>77.242000000000004</v>
      </c>
      <c r="E1278">
        <v>2</v>
      </c>
      <c r="F1278">
        <v>1</v>
      </c>
      <c r="G1278">
        <v>2</v>
      </c>
      <c r="H1278">
        <v>2</v>
      </c>
      <c r="I1278" s="7">
        <v>0.56083181339430199</v>
      </c>
      <c r="J1278" s="6">
        <v>1.1624247910121901</v>
      </c>
      <c r="K1278" s="6">
        <v>1.20696041574525</v>
      </c>
      <c r="L1278">
        <v>2.1123848096431002</v>
      </c>
      <c r="M1278">
        <v>0.476154861837981</v>
      </c>
    </row>
    <row r="1279" spans="1:13" x14ac:dyDescent="0.25">
      <c r="A1279">
        <v>2916</v>
      </c>
      <c r="B1279" t="str">
        <f>"COMMD3"</f>
        <v>COMMD3</v>
      </c>
      <c r="C1279" t="str">
        <f>""</f>
        <v/>
      </c>
      <c r="D1279">
        <v>22.151</v>
      </c>
      <c r="E1279">
        <v>6.2</v>
      </c>
      <c r="F1279">
        <v>1</v>
      </c>
      <c r="G1279">
        <v>2</v>
      </c>
      <c r="H1279">
        <v>2</v>
      </c>
      <c r="I1279" s="7">
        <v>0.56083181339430199</v>
      </c>
      <c r="J1279" s="6">
        <v>1.1624247910121901</v>
      </c>
      <c r="K1279" s="6">
        <v>1.20696041574525</v>
      </c>
      <c r="L1279">
        <v>2.1123848096431002</v>
      </c>
      <c r="M1279">
        <v>0.476154861837981</v>
      </c>
    </row>
    <row r="1280" spans="1:13" x14ac:dyDescent="0.25">
      <c r="A1280">
        <v>2923</v>
      </c>
      <c r="B1280" t="str">
        <f>"GRHPR"</f>
        <v>GRHPR</v>
      </c>
      <c r="C1280" t="str">
        <f>""</f>
        <v/>
      </c>
      <c r="D1280">
        <v>35.667999999999999</v>
      </c>
      <c r="E1280">
        <v>8.5</v>
      </c>
      <c r="F1280">
        <v>1</v>
      </c>
      <c r="G1280">
        <v>2</v>
      </c>
      <c r="H1280">
        <v>2</v>
      </c>
      <c r="I1280" s="7">
        <v>0.56083181339430199</v>
      </c>
      <c r="J1280" s="6">
        <v>1.1624247910121901</v>
      </c>
      <c r="K1280" s="6">
        <v>1.20696041574525</v>
      </c>
      <c r="L1280">
        <v>2.1123848096431002</v>
      </c>
      <c r="M1280">
        <v>0.476154861837981</v>
      </c>
    </row>
    <row r="1281" spans="1:13" x14ac:dyDescent="0.25">
      <c r="A1281">
        <v>2953</v>
      </c>
      <c r="B1281" t="str">
        <f>"BAIAP2L1"</f>
        <v>BAIAP2L1</v>
      </c>
      <c r="C1281" t="str">
        <f>""</f>
        <v/>
      </c>
      <c r="D1281">
        <v>56.881999999999998</v>
      </c>
      <c r="E1281">
        <v>2.2000000000000002</v>
      </c>
      <c r="F1281">
        <v>1</v>
      </c>
      <c r="G1281">
        <v>2</v>
      </c>
      <c r="H1281">
        <v>2</v>
      </c>
      <c r="I1281" s="7">
        <v>0.56083181339430199</v>
      </c>
      <c r="J1281" s="6">
        <v>1.1624247910121901</v>
      </c>
      <c r="K1281" s="6">
        <v>1.20696041574525</v>
      </c>
      <c r="L1281">
        <v>2.1123848096431002</v>
      </c>
      <c r="M1281">
        <v>0.476154861837981</v>
      </c>
    </row>
    <row r="1282" spans="1:13" x14ac:dyDescent="0.25">
      <c r="A1282">
        <v>3150</v>
      </c>
      <c r="B1282" t="str">
        <f>"MAD1L1"</f>
        <v>MAD1L1</v>
      </c>
      <c r="C1282" t="str">
        <f>""</f>
        <v/>
      </c>
      <c r="D1282">
        <v>83.066000000000003</v>
      </c>
      <c r="E1282">
        <v>4.5999999999999996</v>
      </c>
      <c r="F1282">
        <v>1</v>
      </c>
      <c r="G1282">
        <v>2</v>
      </c>
      <c r="H1282">
        <v>2</v>
      </c>
      <c r="I1282" s="7">
        <v>0.56083181339430199</v>
      </c>
      <c r="J1282" s="6">
        <v>1.1624247910121901</v>
      </c>
      <c r="K1282" s="6">
        <v>1.20696041574525</v>
      </c>
      <c r="L1282">
        <v>2.1123848096431002</v>
      </c>
      <c r="M1282">
        <v>0.476154861837981</v>
      </c>
    </row>
    <row r="1283" spans="1:13" x14ac:dyDescent="0.25">
      <c r="A1283">
        <v>513</v>
      </c>
      <c r="B1283" t="str">
        <f>"KRT6B"</f>
        <v>KRT6B</v>
      </c>
      <c r="C1283" t="str">
        <f>""</f>
        <v/>
      </c>
      <c r="D1283">
        <v>60.066000000000003</v>
      </c>
      <c r="E1283">
        <v>17.899999999999999</v>
      </c>
      <c r="F1283">
        <v>1</v>
      </c>
      <c r="G1283">
        <v>1</v>
      </c>
      <c r="H1283">
        <v>3</v>
      </c>
      <c r="I1283" s="7">
        <v>0.56083181339430199</v>
      </c>
      <c r="J1283" s="6">
        <v>0.58121239550609605</v>
      </c>
      <c r="K1283" s="6">
        <v>1.8104406236178701</v>
      </c>
      <c r="L1283">
        <v>2.1322372964624199</v>
      </c>
      <c r="M1283">
        <v>0.477153375490736</v>
      </c>
    </row>
    <row r="1284" spans="1:13" x14ac:dyDescent="0.25">
      <c r="A1284">
        <v>3117</v>
      </c>
      <c r="B1284" t="str">
        <f>"LAS1L"</f>
        <v>LAS1L</v>
      </c>
      <c r="C1284" t="str">
        <f>""</f>
        <v/>
      </c>
      <c r="D1284">
        <v>33.107999999999997</v>
      </c>
      <c r="E1284">
        <v>2.7</v>
      </c>
      <c r="F1284">
        <v>1</v>
      </c>
      <c r="G1284">
        <v>1</v>
      </c>
      <c r="H1284">
        <v>3</v>
      </c>
      <c r="I1284" s="7">
        <v>0.56083181339430199</v>
      </c>
      <c r="J1284" s="6">
        <v>0.58121239550609605</v>
      </c>
      <c r="K1284" s="6">
        <v>1.8104406236178701</v>
      </c>
      <c r="L1284">
        <v>2.1322372964624199</v>
      </c>
      <c r="M1284">
        <v>0.477153375490736</v>
      </c>
    </row>
    <row r="1285" spans="1:13" x14ac:dyDescent="0.25">
      <c r="A1285">
        <v>979</v>
      </c>
      <c r="B1285" t="str">
        <f>"TALDO1"</f>
        <v>TALDO1</v>
      </c>
      <c r="C1285" t="str">
        <f>""</f>
        <v/>
      </c>
      <c r="D1285">
        <v>37.54</v>
      </c>
      <c r="E1285">
        <v>9.1999999999999993</v>
      </c>
      <c r="F1285">
        <v>1</v>
      </c>
      <c r="G1285">
        <v>1</v>
      </c>
      <c r="H1285">
        <v>3</v>
      </c>
      <c r="I1285" s="7">
        <v>0.56083181339430199</v>
      </c>
      <c r="J1285" s="6">
        <v>0.58121239550609605</v>
      </c>
      <c r="K1285" s="6">
        <v>1.8104406236178701</v>
      </c>
      <c r="L1285">
        <v>2.1322372964624199</v>
      </c>
      <c r="M1285">
        <v>0.477153375490736</v>
      </c>
    </row>
    <row r="1286" spans="1:13" x14ac:dyDescent="0.25">
      <c r="A1286">
        <v>1102</v>
      </c>
      <c r="B1286" t="str">
        <f>"ALDH7A1"</f>
        <v>ALDH7A1</v>
      </c>
      <c r="C1286" t="str">
        <f>""</f>
        <v/>
      </c>
      <c r="D1286">
        <v>51.41</v>
      </c>
      <c r="E1286">
        <v>9.1</v>
      </c>
      <c r="F1286">
        <v>1</v>
      </c>
      <c r="G1286">
        <v>1</v>
      </c>
      <c r="H1286">
        <v>3</v>
      </c>
      <c r="I1286" s="7">
        <v>0.56083181339430199</v>
      </c>
      <c r="J1286" s="6">
        <v>0.58121239550609605</v>
      </c>
      <c r="K1286" s="6">
        <v>1.8104406236178701</v>
      </c>
      <c r="L1286">
        <v>2.1322372964624199</v>
      </c>
      <c r="M1286">
        <v>0.477153375490736</v>
      </c>
    </row>
    <row r="1287" spans="1:13" x14ac:dyDescent="0.25">
      <c r="A1287">
        <v>4</v>
      </c>
      <c r="B1287" t="str">
        <f>""</f>
        <v/>
      </c>
      <c r="C1287" t="str">
        <f>""</f>
        <v/>
      </c>
      <c r="D1287">
        <v>28.17</v>
      </c>
      <c r="E1287">
        <v>16</v>
      </c>
      <c r="F1287">
        <v>1</v>
      </c>
      <c r="G1287">
        <v>1</v>
      </c>
      <c r="H1287">
        <v>3</v>
      </c>
      <c r="I1287" s="7">
        <v>0.56083181339430199</v>
      </c>
      <c r="J1287" s="6">
        <v>0.58121239550609605</v>
      </c>
      <c r="K1287" s="6">
        <v>1.8104406236178701</v>
      </c>
      <c r="L1287">
        <v>2.1322372964624199</v>
      </c>
      <c r="M1287">
        <v>0.477153375490736</v>
      </c>
    </row>
    <row r="1288" spans="1:13" x14ac:dyDescent="0.25">
      <c r="A1288">
        <v>511</v>
      </c>
      <c r="B1288" t="str">
        <f>"TK1"</f>
        <v>TK1</v>
      </c>
      <c r="C1288" t="str">
        <f>""</f>
        <v/>
      </c>
      <c r="D1288">
        <v>25.468</v>
      </c>
      <c r="E1288">
        <v>21.8</v>
      </c>
      <c r="F1288">
        <v>1</v>
      </c>
      <c r="G1288">
        <v>1</v>
      </c>
      <c r="H1288">
        <v>3</v>
      </c>
      <c r="I1288" s="7">
        <v>0.56083181339430199</v>
      </c>
      <c r="J1288" s="6">
        <v>0.58121239550609605</v>
      </c>
      <c r="K1288" s="6">
        <v>1.8104406236178701</v>
      </c>
      <c r="L1288">
        <v>2.1322372964624199</v>
      </c>
      <c r="M1288">
        <v>0.477153375490736</v>
      </c>
    </row>
    <row r="1289" spans="1:13" x14ac:dyDescent="0.25">
      <c r="A1289">
        <v>1052</v>
      </c>
      <c r="B1289" t="str">
        <f>"CRK"</f>
        <v>CRK</v>
      </c>
      <c r="C1289" t="str">
        <f>""</f>
        <v/>
      </c>
      <c r="D1289">
        <v>22.905000000000001</v>
      </c>
      <c r="E1289">
        <v>5.4</v>
      </c>
      <c r="F1289">
        <v>1</v>
      </c>
      <c r="G1289">
        <v>1</v>
      </c>
      <c r="H1289">
        <v>3</v>
      </c>
      <c r="I1289" s="7">
        <v>0.56083181339430199</v>
      </c>
      <c r="J1289" s="6">
        <v>0.58121239550609605</v>
      </c>
      <c r="K1289" s="6">
        <v>1.8104406236178701</v>
      </c>
      <c r="L1289">
        <v>2.1322372964624199</v>
      </c>
      <c r="M1289">
        <v>0.477153375490736</v>
      </c>
    </row>
    <row r="1290" spans="1:13" x14ac:dyDescent="0.25">
      <c r="A1290">
        <v>1254</v>
      </c>
      <c r="B1290" t="str">
        <f>"CORO7"</f>
        <v>CORO7</v>
      </c>
      <c r="C1290" t="str">
        <f>""</f>
        <v/>
      </c>
      <c r="D1290">
        <v>91.653999999999996</v>
      </c>
      <c r="E1290">
        <v>6.1</v>
      </c>
      <c r="F1290">
        <v>1</v>
      </c>
      <c r="G1290">
        <v>1</v>
      </c>
      <c r="H1290">
        <v>3</v>
      </c>
      <c r="I1290" s="7">
        <v>0.56083181339430199</v>
      </c>
      <c r="J1290" s="6">
        <v>0.58121239550609605</v>
      </c>
      <c r="K1290" s="6">
        <v>1.8104406236178701</v>
      </c>
      <c r="L1290">
        <v>2.1322372964624199</v>
      </c>
      <c r="M1290">
        <v>0.477153375490736</v>
      </c>
    </row>
    <row r="1291" spans="1:13" x14ac:dyDescent="0.25">
      <c r="A1291">
        <v>1387</v>
      </c>
      <c r="B1291" t="str">
        <f>"MRPS10"</f>
        <v>MRPS10</v>
      </c>
      <c r="C1291" t="str">
        <f>""</f>
        <v/>
      </c>
      <c r="D1291">
        <v>22.998999999999999</v>
      </c>
      <c r="E1291">
        <v>15.4</v>
      </c>
      <c r="F1291">
        <v>1</v>
      </c>
      <c r="G1291">
        <v>1</v>
      </c>
      <c r="H1291">
        <v>3</v>
      </c>
      <c r="I1291" s="7">
        <v>0.56083181339430199</v>
      </c>
      <c r="J1291" s="6">
        <v>0.58121239550609605</v>
      </c>
      <c r="K1291" s="6">
        <v>1.8104406236178701</v>
      </c>
      <c r="L1291">
        <v>2.1322372964624199</v>
      </c>
      <c r="M1291">
        <v>0.477153375490736</v>
      </c>
    </row>
    <row r="1292" spans="1:13" x14ac:dyDescent="0.25">
      <c r="A1292">
        <v>1864</v>
      </c>
      <c r="B1292" t="str">
        <f>"CAMSAP1"</f>
        <v>CAMSAP1</v>
      </c>
      <c r="C1292" t="str">
        <f>""</f>
        <v/>
      </c>
      <c r="D1292">
        <v>146.54</v>
      </c>
      <c r="E1292">
        <v>2.9</v>
      </c>
      <c r="F1292">
        <v>1</v>
      </c>
      <c r="G1292">
        <v>1</v>
      </c>
      <c r="H1292">
        <v>3</v>
      </c>
      <c r="I1292" s="7">
        <v>0.56083181339430199</v>
      </c>
      <c r="J1292" s="6">
        <v>0.58121239550609605</v>
      </c>
      <c r="K1292" s="6">
        <v>1.8104406236178701</v>
      </c>
      <c r="L1292">
        <v>2.1322372964624199</v>
      </c>
      <c r="M1292">
        <v>0.477153375490736</v>
      </c>
    </row>
    <row r="1293" spans="1:13" x14ac:dyDescent="0.25">
      <c r="A1293">
        <v>2146</v>
      </c>
      <c r="B1293" t="str">
        <f>"OXR1"</f>
        <v>OXR1</v>
      </c>
      <c r="C1293" t="str">
        <f>""</f>
        <v/>
      </c>
      <c r="D1293">
        <v>93.733000000000004</v>
      </c>
      <c r="E1293">
        <v>6.2</v>
      </c>
      <c r="F1293">
        <v>1</v>
      </c>
      <c r="G1293">
        <v>1</v>
      </c>
      <c r="H1293">
        <v>3</v>
      </c>
      <c r="I1293" s="7">
        <v>0.56083181339430199</v>
      </c>
      <c r="J1293" s="6">
        <v>0.58121239550609605</v>
      </c>
      <c r="K1293" s="6">
        <v>1.8104406236178701</v>
      </c>
      <c r="L1293">
        <v>2.1322372964624199</v>
      </c>
      <c r="M1293">
        <v>0.477153375490736</v>
      </c>
    </row>
    <row r="1294" spans="1:13" x14ac:dyDescent="0.25">
      <c r="A1294">
        <v>2180</v>
      </c>
      <c r="B1294" t="str">
        <f>"RNF214"</f>
        <v>RNF214</v>
      </c>
      <c r="C1294" t="str">
        <f>""</f>
        <v/>
      </c>
      <c r="D1294">
        <v>61.317</v>
      </c>
      <c r="E1294">
        <v>4.5999999999999996</v>
      </c>
      <c r="F1294">
        <v>1</v>
      </c>
      <c r="G1294">
        <v>1</v>
      </c>
      <c r="H1294">
        <v>3</v>
      </c>
      <c r="I1294" s="7">
        <v>0.56083181339430199</v>
      </c>
      <c r="J1294" s="6">
        <v>0.58121239550609605</v>
      </c>
      <c r="K1294" s="6">
        <v>1.8104406236178701</v>
      </c>
      <c r="L1294">
        <v>2.1322372964624199</v>
      </c>
      <c r="M1294">
        <v>0.477153375490736</v>
      </c>
    </row>
    <row r="1295" spans="1:13" x14ac:dyDescent="0.25">
      <c r="A1295">
        <v>2215</v>
      </c>
      <c r="B1295" t="str">
        <f>"PNPT1"</f>
        <v>PNPT1</v>
      </c>
      <c r="C1295" t="str">
        <f>""</f>
        <v/>
      </c>
      <c r="D1295">
        <v>85.95</v>
      </c>
      <c r="E1295">
        <v>2.8</v>
      </c>
      <c r="F1295">
        <v>1</v>
      </c>
      <c r="G1295">
        <v>1</v>
      </c>
      <c r="H1295">
        <v>3</v>
      </c>
      <c r="I1295" s="7">
        <v>0.56083181339430199</v>
      </c>
      <c r="J1295" s="6">
        <v>0.58121239550609605</v>
      </c>
      <c r="K1295" s="6">
        <v>1.8104406236178701</v>
      </c>
      <c r="L1295">
        <v>2.1322372964624199</v>
      </c>
      <c r="M1295">
        <v>0.477153375490736</v>
      </c>
    </row>
    <row r="1296" spans="1:13" x14ac:dyDescent="0.25">
      <c r="A1296">
        <v>2804</v>
      </c>
      <c r="B1296" t="str">
        <f>"OLA1"</f>
        <v>OLA1</v>
      </c>
      <c r="C1296" t="str">
        <f>""</f>
        <v/>
      </c>
      <c r="D1296">
        <v>27.584</v>
      </c>
      <c r="E1296">
        <v>26.1</v>
      </c>
      <c r="F1296">
        <v>1</v>
      </c>
      <c r="G1296">
        <v>1</v>
      </c>
      <c r="H1296">
        <v>3</v>
      </c>
      <c r="I1296" s="7">
        <v>0.56083181339430199</v>
      </c>
      <c r="J1296" s="6">
        <v>0.58121239550609605</v>
      </c>
      <c r="K1296" s="6">
        <v>1.8104406236178701</v>
      </c>
      <c r="L1296">
        <v>2.1322372964624199</v>
      </c>
      <c r="M1296">
        <v>0.477153375490736</v>
      </c>
    </row>
    <row r="1297" spans="1:13" x14ac:dyDescent="0.25">
      <c r="A1297">
        <v>3031</v>
      </c>
      <c r="B1297" t="str">
        <f>"SHOC2"</f>
        <v>SHOC2</v>
      </c>
      <c r="C1297" t="str">
        <f>""</f>
        <v/>
      </c>
      <c r="D1297">
        <v>59.743000000000002</v>
      </c>
      <c r="E1297">
        <v>5.6</v>
      </c>
      <c r="F1297">
        <v>1</v>
      </c>
      <c r="G1297">
        <v>1</v>
      </c>
      <c r="H1297">
        <v>3</v>
      </c>
      <c r="I1297" s="7">
        <v>0.56083181339430199</v>
      </c>
      <c r="J1297" s="6">
        <v>0.58121239550609605</v>
      </c>
      <c r="K1297" s="6">
        <v>1.8104406236178701</v>
      </c>
      <c r="L1297">
        <v>2.1322372964624199</v>
      </c>
      <c r="M1297">
        <v>0.477153375490736</v>
      </c>
    </row>
    <row r="1298" spans="1:13" x14ac:dyDescent="0.25">
      <c r="A1298">
        <v>345</v>
      </c>
      <c r="B1298" t="str">
        <f>"NUP155"</f>
        <v>NUP155</v>
      </c>
      <c r="C1298" t="str">
        <f>""</f>
        <v/>
      </c>
      <c r="D1298">
        <v>149.01</v>
      </c>
      <c r="E1298">
        <v>3.1</v>
      </c>
      <c r="F1298">
        <v>1</v>
      </c>
      <c r="G1298">
        <v>3</v>
      </c>
      <c r="H1298">
        <v>1</v>
      </c>
      <c r="I1298" s="7">
        <v>0.56083181339430199</v>
      </c>
      <c r="J1298" s="6">
        <v>1.74363718651829</v>
      </c>
      <c r="K1298" s="6">
        <v>0.60348020787262302</v>
      </c>
      <c r="L1298">
        <v>2.0925323228237902</v>
      </c>
      <c r="M1298">
        <v>0.47715340309522097</v>
      </c>
    </row>
    <row r="1299" spans="1:13" x14ac:dyDescent="0.25">
      <c r="A1299">
        <v>525</v>
      </c>
      <c r="B1299" t="str">
        <f>"APP"</f>
        <v>APP</v>
      </c>
      <c r="C1299" t="str">
        <f>""</f>
        <v/>
      </c>
      <c r="D1299">
        <v>72.552000000000007</v>
      </c>
      <c r="E1299">
        <v>4.4000000000000004</v>
      </c>
      <c r="F1299">
        <v>1</v>
      </c>
      <c r="G1299">
        <v>3</v>
      </c>
      <c r="H1299">
        <v>1</v>
      </c>
      <c r="I1299" s="7">
        <v>0.56083181339430199</v>
      </c>
      <c r="J1299" s="6">
        <v>1.74363718651829</v>
      </c>
      <c r="K1299" s="6">
        <v>0.60348020787262302</v>
      </c>
      <c r="L1299">
        <v>2.0925323228237902</v>
      </c>
      <c r="M1299">
        <v>0.47715340309522097</v>
      </c>
    </row>
    <row r="1300" spans="1:13" x14ac:dyDescent="0.25">
      <c r="A1300">
        <v>861</v>
      </c>
      <c r="B1300" t="str">
        <f>"GSTM2;GSTM4;GSTM1"</f>
        <v>GSTM2;GSTM4;GSTM1</v>
      </c>
      <c r="C1300" t="str">
        <f>""</f>
        <v/>
      </c>
      <c r="D1300">
        <v>22.643999999999998</v>
      </c>
      <c r="E1300">
        <v>15.2</v>
      </c>
      <c r="F1300">
        <v>1</v>
      </c>
      <c r="G1300">
        <v>3</v>
      </c>
      <c r="H1300">
        <v>1</v>
      </c>
      <c r="I1300" s="7">
        <v>0.56083181339430199</v>
      </c>
      <c r="J1300" s="6">
        <v>1.74363718651829</v>
      </c>
      <c r="K1300" s="6">
        <v>0.60348020787262302</v>
      </c>
      <c r="L1300">
        <v>2.0925323228237902</v>
      </c>
      <c r="M1300">
        <v>0.47715340309522097</v>
      </c>
    </row>
    <row r="1301" spans="1:13" x14ac:dyDescent="0.25">
      <c r="A1301">
        <v>910</v>
      </c>
      <c r="B1301" t="str">
        <f>"RRM2"</f>
        <v>RRM2</v>
      </c>
      <c r="C1301" t="str">
        <f>""</f>
        <v/>
      </c>
      <c r="D1301">
        <v>44.877000000000002</v>
      </c>
      <c r="E1301">
        <v>10.3</v>
      </c>
      <c r="F1301">
        <v>1</v>
      </c>
      <c r="G1301">
        <v>3</v>
      </c>
      <c r="H1301">
        <v>1</v>
      </c>
      <c r="I1301" s="7">
        <v>0.56083181339430199</v>
      </c>
      <c r="J1301" s="6">
        <v>1.74363718651829</v>
      </c>
      <c r="K1301" s="6">
        <v>0.60348020787262302</v>
      </c>
      <c r="L1301">
        <v>2.0925323228237902</v>
      </c>
      <c r="M1301">
        <v>0.47715340309522097</v>
      </c>
    </row>
    <row r="1302" spans="1:13" x14ac:dyDescent="0.25">
      <c r="A1302">
        <v>1367</v>
      </c>
      <c r="B1302" t="str">
        <f>"CSNK2A3;CSNK2A1"</f>
        <v>CSNK2A3;CSNK2A1</v>
      </c>
      <c r="C1302" t="str">
        <f>"CSNK2A1"</f>
        <v>CSNK2A1</v>
      </c>
      <c r="D1302">
        <v>45.219000000000001</v>
      </c>
      <c r="E1302">
        <v>7.7</v>
      </c>
      <c r="F1302">
        <v>1</v>
      </c>
      <c r="G1302">
        <v>3</v>
      </c>
      <c r="H1302">
        <v>1</v>
      </c>
      <c r="I1302" s="7">
        <v>0.56083181339430199</v>
      </c>
      <c r="J1302" s="6">
        <v>1.74363718651829</v>
      </c>
      <c r="K1302" s="6">
        <v>0.60348020787262302</v>
      </c>
      <c r="L1302">
        <v>2.0925323228237902</v>
      </c>
      <c r="M1302">
        <v>0.47715340309522097</v>
      </c>
    </row>
    <row r="1303" spans="1:13" x14ac:dyDescent="0.25">
      <c r="A1303">
        <v>1368</v>
      </c>
      <c r="B1303" t="str">
        <f>"PAFAH1B2"</f>
        <v>PAFAH1B2</v>
      </c>
      <c r="C1303" t="str">
        <f>""</f>
        <v/>
      </c>
      <c r="D1303">
        <v>14.888</v>
      </c>
      <c r="E1303">
        <v>36.4</v>
      </c>
      <c r="F1303">
        <v>1</v>
      </c>
      <c r="G1303">
        <v>3</v>
      </c>
      <c r="H1303">
        <v>1</v>
      </c>
      <c r="I1303" s="7">
        <v>0.56083181339430199</v>
      </c>
      <c r="J1303" s="6">
        <v>1.74363718651829</v>
      </c>
      <c r="K1303" s="6">
        <v>0.60348020787262302</v>
      </c>
      <c r="L1303">
        <v>2.0925323228237902</v>
      </c>
      <c r="M1303">
        <v>0.47715340309522097</v>
      </c>
    </row>
    <row r="1304" spans="1:13" x14ac:dyDescent="0.25">
      <c r="A1304">
        <v>1739</v>
      </c>
      <c r="B1304" t="str">
        <f>"TRIP13"</f>
        <v>TRIP13</v>
      </c>
      <c r="C1304" t="str">
        <f>""</f>
        <v/>
      </c>
      <c r="D1304">
        <v>48.55</v>
      </c>
      <c r="E1304">
        <v>7.4</v>
      </c>
      <c r="F1304">
        <v>1</v>
      </c>
      <c r="G1304">
        <v>3</v>
      </c>
      <c r="H1304">
        <v>1</v>
      </c>
      <c r="I1304" s="7">
        <v>0.56083181339430199</v>
      </c>
      <c r="J1304" s="6">
        <v>1.74363718651829</v>
      </c>
      <c r="K1304" s="6">
        <v>0.60348020787262302</v>
      </c>
      <c r="L1304">
        <v>2.0925323228237902</v>
      </c>
      <c r="M1304">
        <v>0.47715340309522097</v>
      </c>
    </row>
    <row r="1305" spans="1:13" x14ac:dyDescent="0.25">
      <c r="A1305">
        <v>1875</v>
      </c>
      <c r="B1305" t="str">
        <f>"PRR14L"</f>
        <v>PRR14L</v>
      </c>
      <c r="C1305" t="str">
        <f>""</f>
        <v/>
      </c>
      <c r="D1305">
        <v>237.3</v>
      </c>
      <c r="E1305">
        <v>2.1</v>
      </c>
      <c r="F1305">
        <v>1</v>
      </c>
      <c r="G1305">
        <v>3</v>
      </c>
      <c r="H1305">
        <v>1</v>
      </c>
      <c r="I1305" s="7">
        <v>0.56083181339430199</v>
      </c>
      <c r="J1305" s="6">
        <v>1.74363718651829</v>
      </c>
      <c r="K1305" s="6">
        <v>0.60348020787262302</v>
      </c>
      <c r="L1305">
        <v>2.0925323228237902</v>
      </c>
      <c r="M1305">
        <v>0.47715340309522097</v>
      </c>
    </row>
    <row r="1306" spans="1:13" x14ac:dyDescent="0.25">
      <c r="A1306">
        <v>2248</v>
      </c>
      <c r="B1306" t="str">
        <f>"C2orf47"</f>
        <v>C2orf47</v>
      </c>
      <c r="C1306" t="str">
        <f>""</f>
        <v/>
      </c>
      <c r="D1306">
        <v>32.543999999999997</v>
      </c>
      <c r="E1306">
        <v>7.2</v>
      </c>
      <c r="F1306">
        <v>1</v>
      </c>
      <c r="G1306">
        <v>3</v>
      </c>
      <c r="H1306">
        <v>1</v>
      </c>
      <c r="I1306" s="7">
        <v>0.56083181339430199</v>
      </c>
      <c r="J1306" s="6">
        <v>1.74363718651829</v>
      </c>
      <c r="K1306" s="6">
        <v>0.60348020787262302</v>
      </c>
      <c r="L1306">
        <v>2.0925323228237902</v>
      </c>
      <c r="M1306">
        <v>0.47715340309522097</v>
      </c>
    </row>
    <row r="1307" spans="1:13" x14ac:dyDescent="0.25">
      <c r="A1307">
        <v>2370</v>
      </c>
      <c r="B1307" t="str">
        <f>"GNPNAT1"</f>
        <v>GNPNAT1</v>
      </c>
      <c r="C1307" t="str">
        <f>""</f>
        <v/>
      </c>
      <c r="D1307">
        <v>20.748999999999999</v>
      </c>
      <c r="E1307">
        <v>6</v>
      </c>
      <c r="F1307">
        <v>1</v>
      </c>
      <c r="G1307">
        <v>3</v>
      </c>
      <c r="H1307">
        <v>1</v>
      </c>
      <c r="I1307" s="7">
        <v>0.56083181339430199</v>
      </c>
      <c r="J1307" s="6">
        <v>1.74363718651829</v>
      </c>
      <c r="K1307" s="6">
        <v>0.60348020787262302</v>
      </c>
      <c r="L1307">
        <v>2.0925323228237902</v>
      </c>
      <c r="M1307">
        <v>0.47715340309522097</v>
      </c>
    </row>
    <row r="1308" spans="1:13" x14ac:dyDescent="0.25">
      <c r="A1308">
        <v>2493</v>
      </c>
      <c r="B1308" t="str">
        <f>"MIPEP"</f>
        <v>MIPEP</v>
      </c>
      <c r="C1308" t="str">
        <f>""</f>
        <v/>
      </c>
      <c r="D1308">
        <v>80.64</v>
      </c>
      <c r="E1308">
        <v>1.3</v>
      </c>
      <c r="F1308">
        <v>1</v>
      </c>
      <c r="G1308">
        <v>3</v>
      </c>
      <c r="H1308">
        <v>1</v>
      </c>
      <c r="I1308" s="7">
        <v>0.56083181339430199</v>
      </c>
      <c r="J1308" s="6">
        <v>1.74363718651829</v>
      </c>
      <c r="K1308" s="6">
        <v>0.60348020787262302</v>
      </c>
      <c r="L1308">
        <v>2.0925323228237902</v>
      </c>
      <c r="M1308">
        <v>0.47715340309522097</v>
      </c>
    </row>
    <row r="1309" spans="1:13" x14ac:dyDescent="0.25">
      <c r="A1309">
        <v>2605</v>
      </c>
      <c r="B1309" t="str">
        <f>"SRXN1"</f>
        <v>SRXN1</v>
      </c>
      <c r="C1309" t="str">
        <f>""</f>
        <v/>
      </c>
      <c r="D1309">
        <v>14.259</v>
      </c>
      <c r="E1309">
        <v>13.9</v>
      </c>
      <c r="F1309">
        <v>1</v>
      </c>
      <c r="G1309">
        <v>3</v>
      </c>
      <c r="H1309">
        <v>1</v>
      </c>
      <c r="I1309" s="7">
        <v>0.56083181339430199</v>
      </c>
      <c r="J1309" s="6">
        <v>1.74363718651829</v>
      </c>
      <c r="K1309" s="6">
        <v>0.60348020787262302</v>
      </c>
      <c r="L1309">
        <v>2.0925323228237902</v>
      </c>
      <c r="M1309">
        <v>0.47715340309522097</v>
      </c>
    </row>
    <row r="1310" spans="1:13" x14ac:dyDescent="0.25">
      <c r="A1310">
        <v>2976</v>
      </c>
      <c r="B1310" t="str">
        <f>"APPL1"</f>
        <v>APPL1</v>
      </c>
      <c r="C1310" t="str">
        <f>""</f>
        <v/>
      </c>
      <c r="D1310">
        <v>79.662999999999997</v>
      </c>
      <c r="E1310">
        <v>3.4</v>
      </c>
      <c r="F1310">
        <v>1</v>
      </c>
      <c r="G1310">
        <v>3</v>
      </c>
      <c r="H1310">
        <v>1</v>
      </c>
      <c r="I1310" s="7">
        <v>0.56083181339430199</v>
      </c>
      <c r="J1310" s="6">
        <v>1.74363718651829</v>
      </c>
      <c r="K1310" s="6">
        <v>0.60348020787262302</v>
      </c>
      <c r="L1310">
        <v>2.0925323228237902</v>
      </c>
      <c r="M1310">
        <v>0.47715340309522097</v>
      </c>
    </row>
    <row r="1311" spans="1:13" x14ac:dyDescent="0.25">
      <c r="A1311">
        <v>3103</v>
      </c>
      <c r="B1311" t="str">
        <f>"SAMHD1"</f>
        <v>SAMHD1</v>
      </c>
      <c r="C1311" t="str">
        <f>""</f>
        <v/>
      </c>
      <c r="D1311">
        <v>72.2</v>
      </c>
      <c r="E1311">
        <v>5.4</v>
      </c>
      <c r="F1311">
        <v>1</v>
      </c>
      <c r="G1311">
        <v>3</v>
      </c>
      <c r="H1311">
        <v>1</v>
      </c>
      <c r="I1311" s="7">
        <v>0.56083181339430199</v>
      </c>
      <c r="J1311" s="6">
        <v>1.74363718651829</v>
      </c>
      <c r="K1311" s="6">
        <v>0.60348020787262302</v>
      </c>
      <c r="L1311">
        <v>2.0925323228237902</v>
      </c>
      <c r="M1311">
        <v>0.47715340309522097</v>
      </c>
    </row>
    <row r="1312" spans="1:13" x14ac:dyDescent="0.25">
      <c r="A1312">
        <v>3161</v>
      </c>
      <c r="B1312" t="str">
        <f>"MORC2"</f>
        <v>MORC2</v>
      </c>
      <c r="C1312" t="str">
        <f>""</f>
        <v/>
      </c>
      <c r="D1312">
        <v>117.82</v>
      </c>
      <c r="E1312">
        <v>3.5</v>
      </c>
      <c r="F1312">
        <v>1</v>
      </c>
      <c r="G1312">
        <v>3</v>
      </c>
      <c r="H1312">
        <v>1</v>
      </c>
      <c r="I1312" s="7">
        <v>0.56083181339430199</v>
      </c>
      <c r="J1312" s="6">
        <v>1.74363718651829</v>
      </c>
      <c r="K1312" s="6">
        <v>0.60348020787262302</v>
      </c>
      <c r="L1312">
        <v>2.0925323228237902</v>
      </c>
      <c r="M1312">
        <v>0.47715340309522097</v>
      </c>
    </row>
    <row r="1313" spans="1:13" x14ac:dyDescent="0.25">
      <c r="A1313">
        <v>3163</v>
      </c>
      <c r="B1313" t="str">
        <f>"SEC23IP"</f>
        <v>SEC23IP</v>
      </c>
      <c r="C1313" t="str">
        <f>""</f>
        <v/>
      </c>
      <c r="D1313">
        <v>102.19</v>
      </c>
      <c r="E1313">
        <v>4.8</v>
      </c>
      <c r="F1313">
        <v>1</v>
      </c>
      <c r="G1313">
        <v>3</v>
      </c>
      <c r="H1313">
        <v>1</v>
      </c>
      <c r="I1313" s="7">
        <v>0.56083181339430199</v>
      </c>
      <c r="J1313" s="6">
        <v>1.74363718651829</v>
      </c>
      <c r="K1313" s="6">
        <v>0.60348020787262302</v>
      </c>
      <c r="L1313">
        <v>2.0925323228237902</v>
      </c>
      <c r="M1313">
        <v>0.47715340309522097</v>
      </c>
    </row>
    <row r="1314" spans="1:13" x14ac:dyDescent="0.25">
      <c r="A1314">
        <v>2009</v>
      </c>
      <c r="B1314" t="str">
        <f>"TAOK1"</f>
        <v>TAOK1</v>
      </c>
      <c r="C1314" t="str">
        <f>"TAOK1"</f>
        <v>TAOK1</v>
      </c>
      <c r="D1314">
        <v>116.07</v>
      </c>
      <c r="E1314">
        <v>3.2</v>
      </c>
      <c r="F1314">
        <v>3</v>
      </c>
      <c r="G1314">
        <v>4</v>
      </c>
      <c r="H1314">
        <v>5</v>
      </c>
      <c r="I1314" s="7">
        <v>1.68249544018291</v>
      </c>
      <c r="J1314" s="6">
        <v>2.32484958202439</v>
      </c>
      <c r="K1314" s="6">
        <v>3.0174010393631101</v>
      </c>
      <c r="L1314">
        <v>1.58759735503555</v>
      </c>
      <c r="M1314">
        <v>0.47716530249426298</v>
      </c>
    </row>
    <row r="1315" spans="1:13" x14ac:dyDescent="0.25">
      <c r="A1315">
        <v>883</v>
      </c>
      <c r="B1315" t="str">
        <f>"PRDX5"</f>
        <v>PRDX5</v>
      </c>
      <c r="C1315" t="str">
        <f>""</f>
        <v/>
      </c>
      <c r="D1315">
        <v>17.030999999999999</v>
      </c>
      <c r="E1315">
        <v>9.9</v>
      </c>
      <c r="F1315">
        <v>3</v>
      </c>
      <c r="G1315">
        <v>4</v>
      </c>
      <c r="H1315">
        <v>5</v>
      </c>
      <c r="I1315" s="7">
        <v>1.68249544018291</v>
      </c>
      <c r="J1315" s="6">
        <v>2.32484958202439</v>
      </c>
      <c r="K1315" s="6">
        <v>3.0174010393631101</v>
      </c>
      <c r="L1315">
        <v>1.58759735503555</v>
      </c>
      <c r="M1315">
        <v>0.47716530249426298</v>
      </c>
    </row>
    <row r="1316" spans="1:13" x14ac:dyDescent="0.25">
      <c r="A1316">
        <v>1112</v>
      </c>
      <c r="B1316" t="str">
        <f>"PSMB3"</f>
        <v>PSMB3</v>
      </c>
      <c r="C1316" t="str">
        <f>""</f>
        <v/>
      </c>
      <c r="D1316">
        <v>22.949000000000002</v>
      </c>
      <c r="E1316">
        <v>21.5</v>
      </c>
      <c r="F1316">
        <v>3</v>
      </c>
      <c r="G1316">
        <v>4</v>
      </c>
      <c r="H1316">
        <v>5</v>
      </c>
      <c r="I1316" s="7">
        <v>1.68249544018291</v>
      </c>
      <c r="J1316" s="6">
        <v>2.32484958202439</v>
      </c>
      <c r="K1316" s="6">
        <v>3.0174010393631101</v>
      </c>
      <c r="L1316">
        <v>1.58759735503555</v>
      </c>
      <c r="M1316">
        <v>0.47716530249426298</v>
      </c>
    </row>
    <row r="1317" spans="1:13" x14ac:dyDescent="0.25">
      <c r="A1317">
        <v>2869</v>
      </c>
      <c r="B1317" t="str">
        <f>"IGF2BP1"</f>
        <v>IGF2BP1</v>
      </c>
      <c r="C1317" t="str">
        <f>""</f>
        <v/>
      </c>
      <c r="D1317">
        <v>63.48</v>
      </c>
      <c r="E1317">
        <v>8</v>
      </c>
      <c r="F1317">
        <v>3</v>
      </c>
      <c r="G1317">
        <v>4</v>
      </c>
      <c r="H1317">
        <v>5</v>
      </c>
      <c r="I1317" s="7">
        <v>1.68249544018291</v>
      </c>
      <c r="J1317" s="6">
        <v>2.32484958202439</v>
      </c>
      <c r="K1317" s="6">
        <v>3.0174010393631101</v>
      </c>
      <c r="L1317">
        <v>1.58759735503555</v>
      </c>
      <c r="M1317">
        <v>0.47716530249426298</v>
      </c>
    </row>
    <row r="1318" spans="1:13" x14ac:dyDescent="0.25">
      <c r="A1318">
        <v>826</v>
      </c>
      <c r="B1318" t="str">
        <f>"PSMA1"</f>
        <v>PSMA1</v>
      </c>
      <c r="C1318" t="str">
        <f>""</f>
        <v/>
      </c>
      <c r="D1318">
        <v>29.555</v>
      </c>
      <c r="E1318">
        <v>14.4</v>
      </c>
      <c r="F1318">
        <v>3</v>
      </c>
      <c r="G1318">
        <v>4</v>
      </c>
      <c r="H1318">
        <v>5</v>
      </c>
      <c r="I1318" s="7">
        <v>1.68249544018291</v>
      </c>
      <c r="J1318" s="6">
        <v>2.32484958202439</v>
      </c>
      <c r="K1318" s="6">
        <v>3.0174010393631101</v>
      </c>
      <c r="L1318">
        <v>1.58759735503555</v>
      </c>
      <c r="M1318">
        <v>0.47716530249426298</v>
      </c>
    </row>
    <row r="1319" spans="1:13" x14ac:dyDescent="0.25">
      <c r="A1319">
        <v>1578</v>
      </c>
      <c r="B1319" t="str">
        <f>"ROCK1"</f>
        <v>ROCK1</v>
      </c>
      <c r="C1319" t="str">
        <f>"ROCK1"</f>
        <v>ROCK1</v>
      </c>
      <c r="D1319">
        <v>158.16999999999999</v>
      </c>
      <c r="E1319">
        <v>5.3</v>
      </c>
      <c r="F1319">
        <v>3</v>
      </c>
      <c r="G1319">
        <v>4</v>
      </c>
      <c r="H1319">
        <v>5</v>
      </c>
      <c r="I1319" s="7">
        <v>1.68249544018291</v>
      </c>
      <c r="J1319" s="6">
        <v>2.32484958202439</v>
      </c>
      <c r="K1319" s="6">
        <v>3.0174010393631101</v>
      </c>
      <c r="L1319">
        <v>1.58759735503555</v>
      </c>
      <c r="M1319">
        <v>0.47716530249426298</v>
      </c>
    </row>
    <row r="1320" spans="1:13" x14ac:dyDescent="0.25">
      <c r="A1320">
        <v>3141</v>
      </c>
      <c r="B1320" t="str">
        <f>"PUS1"</f>
        <v>PUS1</v>
      </c>
      <c r="C1320" t="str">
        <f>""</f>
        <v/>
      </c>
      <c r="D1320">
        <v>44.377000000000002</v>
      </c>
      <c r="E1320">
        <v>12.3</v>
      </c>
      <c r="F1320">
        <v>3</v>
      </c>
      <c r="G1320">
        <v>4</v>
      </c>
      <c r="H1320">
        <v>5</v>
      </c>
      <c r="I1320" s="7">
        <v>1.68249544018291</v>
      </c>
      <c r="J1320" s="6">
        <v>2.32484958202439</v>
      </c>
      <c r="K1320" s="6">
        <v>3.0174010393631101</v>
      </c>
      <c r="L1320">
        <v>1.58759735503555</v>
      </c>
      <c r="M1320">
        <v>0.47716530249426298</v>
      </c>
    </row>
    <row r="1321" spans="1:13" x14ac:dyDescent="0.25">
      <c r="A1321">
        <v>901</v>
      </c>
      <c r="B1321" t="str">
        <f>"SRI"</f>
        <v>SRI</v>
      </c>
      <c r="C1321" t="str">
        <f>""</f>
        <v/>
      </c>
      <c r="D1321">
        <v>20.006</v>
      </c>
      <c r="E1321">
        <v>10</v>
      </c>
      <c r="F1321">
        <v>3</v>
      </c>
      <c r="G1321">
        <v>5</v>
      </c>
      <c r="H1321">
        <v>4</v>
      </c>
      <c r="I1321" s="7">
        <v>1.68249544018291</v>
      </c>
      <c r="J1321" s="6">
        <v>2.9060619775304799</v>
      </c>
      <c r="K1321" s="6">
        <v>2.4139208314904899</v>
      </c>
      <c r="L1321">
        <v>1.58097985942911</v>
      </c>
      <c r="M1321">
        <v>0.47716532360443498</v>
      </c>
    </row>
    <row r="1322" spans="1:13" x14ac:dyDescent="0.25">
      <c r="A1322">
        <v>725</v>
      </c>
      <c r="B1322" t="str">
        <f>"GOT1"</f>
        <v>GOT1</v>
      </c>
      <c r="C1322" t="str">
        <f>""</f>
        <v/>
      </c>
      <c r="D1322">
        <v>46.247</v>
      </c>
      <c r="E1322">
        <v>16</v>
      </c>
      <c r="F1322">
        <v>3</v>
      </c>
      <c r="G1322">
        <v>5</v>
      </c>
      <c r="H1322">
        <v>4</v>
      </c>
      <c r="I1322" s="7">
        <v>1.68249544018291</v>
      </c>
      <c r="J1322" s="6">
        <v>2.9060619775304799</v>
      </c>
      <c r="K1322" s="6">
        <v>2.4139208314904899</v>
      </c>
      <c r="L1322">
        <v>1.58097985942911</v>
      </c>
      <c r="M1322">
        <v>0.47716532360443498</v>
      </c>
    </row>
    <row r="1323" spans="1:13" x14ac:dyDescent="0.25">
      <c r="A1323">
        <v>2616</v>
      </c>
      <c r="B1323" t="str">
        <f>"UCK2;UCK1"</f>
        <v>UCK2;UCK1</v>
      </c>
      <c r="C1323" t="str">
        <f>""</f>
        <v/>
      </c>
      <c r="D1323">
        <v>29.298999999999999</v>
      </c>
      <c r="E1323">
        <v>8</v>
      </c>
      <c r="F1323">
        <v>3</v>
      </c>
      <c r="G1323">
        <v>5</v>
      </c>
      <c r="H1323">
        <v>4</v>
      </c>
      <c r="I1323" s="7">
        <v>1.68249544018291</v>
      </c>
      <c r="J1323" s="6">
        <v>2.9060619775304799</v>
      </c>
      <c r="K1323" s="6">
        <v>2.4139208314904899</v>
      </c>
      <c r="L1323">
        <v>1.58097985942911</v>
      </c>
      <c r="M1323">
        <v>0.47716532360443498</v>
      </c>
    </row>
    <row r="1324" spans="1:13" x14ac:dyDescent="0.25">
      <c r="A1324">
        <v>1766</v>
      </c>
      <c r="B1324" t="str">
        <f>"RBBP7"</f>
        <v>RBBP7</v>
      </c>
      <c r="C1324" t="str">
        <f>""</f>
        <v/>
      </c>
      <c r="D1324">
        <v>47.82</v>
      </c>
      <c r="E1324">
        <v>14.1</v>
      </c>
      <c r="F1324">
        <v>3</v>
      </c>
      <c r="G1324">
        <v>5</v>
      </c>
      <c r="H1324">
        <v>4</v>
      </c>
      <c r="I1324" s="7">
        <v>1.68249544018291</v>
      </c>
      <c r="J1324" s="6">
        <v>2.9060619775304799</v>
      </c>
      <c r="K1324" s="6">
        <v>2.4139208314904899</v>
      </c>
      <c r="L1324">
        <v>1.58097985942911</v>
      </c>
      <c r="M1324">
        <v>0.47716532360443498</v>
      </c>
    </row>
    <row r="1325" spans="1:13" x14ac:dyDescent="0.25">
      <c r="A1325">
        <v>2318</v>
      </c>
      <c r="B1325" t="str">
        <f>"MYDGF"</f>
        <v>MYDGF</v>
      </c>
      <c r="C1325" t="str">
        <f>""</f>
        <v/>
      </c>
      <c r="D1325">
        <v>18.795000000000002</v>
      </c>
      <c r="E1325">
        <v>6.9</v>
      </c>
      <c r="F1325">
        <v>3</v>
      </c>
      <c r="G1325">
        <v>5</v>
      </c>
      <c r="H1325">
        <v>4</v>
      </c>
      <c r="I1325" s="7">
        <v>1.68249544018291</v>
      </c>
      <c r="J1325" s="6">
        <v>2.9060619775304799</v>
      </c>
      <c r="K1325" s="6">
        <v>2.4139208314904899</v>
      </c>
      <c r="L1325">
        <v>1.58097985942911</v>
      </c>
      <c r="M1325">
        <v>0.47716532360443498</v>
      </c>
    </row>
    <row r="1326" spans="1:13" x14ac:dyDescent="0.25">
      <c r="A1326">
        <v>1065</v>
      </c>
      <c r="B1326" t="str">
        <f>"UTRN"</f>
        <v>UTRN</v>
      </c>
      <c r="C1326" t="str">
        <f>""</f>
        <v/>
      </c>
      <c r="D1326">
        <v>394.96</v>
      </c>
      <c r="E1326">
        <v>1.8</v>
      </c>
      <c r="F1326">
        <v>3</v>
      </c>
      <c r="G1326">
        <v>6</v>
      </c>
      <c r="H1326">
        <v>3</v>
      </c>
      <c r="I1326" s="7">
        <v>1.68249544018291</v>
      </c>
      <c r="J1326" s="6">
        <v>3.4872743730365801</v>
      </c>
      <c r="K1326" s="6">
        <v>1.8104406236178701</v>
      </c>
      <c r="L1326">
        <v>1.57436236382267</v>
      </c>
      <c r="M1326">
        <v>0.47774904132702301</v>
      </c>
    </row>
    <row r="1327" spans="1:13" x14ac:dyDescent="0.25">
      <c r="A1327">
        <v>2425</v>
      </c>
      <c r="B1327" t="str">
        <f>"SNX27"</f>
        <v>SNX27</v>
      </c>
      <c r="C1327" t="str">
        <f>""</f>
        <v/>
      </c>
      <c r="D1327">
        <v>61.264000000000003</v>
      </c>
      <c r="E1327">
        <v>10.7</v>
      </c>
      <c r="F1327">
        <v>3</v>
      </c>
      <c r="G1327">
        <v>6</v>
      </c>
      <c r="H1327">
        <v>3</v>
      </c>
      <c r="I1327" s="7">
        <v>1.68249544018291</v>
      </c>
      <c r="J1327" s="6">
        <v>3.4872743730365801</v>
      </c>
      <c r="K1327" s="6">
        <v>1.8104406236178701</v>
      </c>
      <c r="L1327">
        <v>1.57436236382267</v>
      </c>
      <c r="M1327">
        <v>0.47774904132702301</v>
      </c>
    </row>
    <row r="1328" spans="1:13" x14ac:dyDescent="0.25">
      <c r="A1328">
        <v>793</v>
      </c>
      <c r="B1328" t="str">
        <f>"NME2;NME1"</f>
        <v>NME2;NME1</v>
      </c>
      <c r="C1328" t="str">
        <f>"NME1"</f>
        <v>NME1</v>
      </c>
      <c r="D1328">
        <v>30.137</v>
      </c>
      <c r="E1328">
        <v>31.8</v>
      </c>
      <c r="F1328">
        <v>13</v>
      </c>
      <c r="G1328">
        <v>17</v>
      </c>
      <c r="H1328">
        <v>14</v>
      </c>
      <c r="I1328" s="7">
        <v>7.2908135741259299</v>
      </c>
      <c r="J1328" s="6">
        <v>9.88061072360364</v>
      </c>
      <c r="K1328" s="6">
        <v>8.4487229102167198</v>
      </c>
      <c r="L1328">
        <v>1.2570156572696201</v>
      </c>
      <c r="M1328">
        <v>0.48161402289613803</v>
      </c>
    </row>
    <row r="1329" spans="1:13" x14ac:dyDescent="0.25">
      <c r="A1329">
        <v>652</v>
      </c>
      <c r="B1329" t="str">
        <f>"MTHFD1"</f>
        <v>MTHFD1</v>
      </c>
      <c r="C1329" t="str">
        <f>""</f>
        <v/>
      </c>
      <c r="D1329">
        <v>101.56</v>
      </c>
      <c r="E1329">
        <v>16.8</v>
      </c>
      <c r="F1329">
        <v>27</v>
      </c>
      <c r="G1329">
        <v>20</v>
      </c>
      <c r="H1329">
        <v>23</v>
      </c>
      <c r="I1329" s="7">
        <v>15.1424589616462</v>
      </c>
      <c r="J1329" s="6">
        <v>11.6242479101219</v>
      </c>
      <c r="K1329" s="6">
        <v>13.8800447810703</v>
      </c>
      <c r="L1329">
        <v>-1.1874439448285901</v>
      </c>
      <c r="M1329">
        <v>0.484923753545073</v>
      </c>
    </row>
    <row r="1330" spans="1:13" x14ac:dyDescent="0.25">
      <c r="A1330">
        <v>1462</v>
      </c>
      <c r="B1330" t="str">
        <f>"PTPN11"</f>
        <v>PTPN11</v>
      </c>
      <c r="C1330" t="str">
        <f>""</f>
        <v/>
      </c>
      <c r="D1330">
        <v>52.826999999999998</v>
      </c>
      <c r="E1330">
        <v>8.6999999999999993</v>
      </c>
      <c r="F1330">
        <v>7</v>
      </c>
      <c r="G1330">
        <v>9</v>
      </c>
      <c r="H1330">
        <v>9</v>
      </c>
      <c r="I1330" s="7">
        <v>3.9258226937601099</v>
      </c>
      <c r="J1330" s="6">
        <v>5.2309115595548699</v>
      </c>
      <c r="K1330" s="6">
        <v>5.4313218708536004</v>
      </c>
      <c r="L1330">
        <v>1.357961663342</v>
      </c>
      <c r="M1330">
        <v>0.48561472763496799</v>
      </c>
    </row>
    <row r="1331" spans="1:13" x14ac:dyDescent="0.25">
      <c r="A1331">
        <v>1147</v>
      </c>
      <c r="B1331" t="str">
        <f>"ANXA11"</f>
        <v>ANXA11</v>
      </c>
      <c r="C1331" t="str">
        <f>""</f>
        <v/>
      </c>
      <c r="D1331">
        <v>51.241999999999997</v>
      </c>
      <c r="E1331">
        <v>16.5</v>
      </c>
      <c r="F1331">
        <v>7</v>
      </c>
      <c r="G1331">
        <v>8</v>
      </c>
      <c r="H1331">
        <v>10</v>
      </c>
      <c r="I1331" s="7">
        <v>3.9258226937601099</v>
      </c>
      <c r="J1331" s="6">
        <v>4.6496991640487702</v>
      </c>
      <c r="K1331" s="6">
        <v>6.03480207872623</v>
      </c>
      <c r="L1331">
        <v>1.36079773288761</v>
      </c>
      <c r="M1331">
        <v>0.48571762387245798</v>
      </c>
    </row>
    <row r="1332" spans="1:13" x14ac:dyDescent="0.25">
      <c r="A1332">
        <v>3110</v>
      </c>
      <c r="B1332" t="str">
        <f>"USP15"</f>
        <v>USP15</v>
      </c>
      <c r="C1332" t="str">
        <f>""</f>
        <v/>
      </c>
      <c r="D1332">
        <v>109.3</v>
      </c>
      <c r="E1332">
        <v>5.8</v>
      </c>
      <c r="F1332">
        <v>7</v>
      </c>
      <c r="G1332">
        <v>8</v>
      </c>
      <c r="H1332">
        <v>10</v>
      </c>
      <c r="I1332" s="7">
        <v>3.9258226937601099</v>
      </c>
      <c r="J1332" s="6">
        <v>4.6496991640487702</v>
      </c>
      <c r="K1332" s="6">
        <v>6.03480207872623</v>
      </c>
      <c r="L1332">
        <v>1.36079773288761</v>
      </c>
      <c r="M1332">
        <v>0.48571762387245798</v>
      </c>
    </row>
    <row r="1333" spans="1:13" x14ac:dyDescent="0.25">
      <c r="A1333">
        <v>808</v>
      </c>
      <c r="B1333" t="str">
        <f>"CFL1"</f>
        <v>CFL1</v>
      </c>
      <c r="C1333" t="str">
        <f>""</f>
        <v/>
      </c>
      <c r="D1333">
        <v>18.501999999999999</v>
      </c>
      <c r="E1333">
        <v>33.700000000000003</v>
      </c>
      <c r="F1333">
        <v>15</v>
      </c>
      <c r="G1333">
        <v>20</v>
      </c>
      <c r="H1333">
        <v>15</v>
      </c>
      <c r="I1333" s="7">
        <v>8.4124772009145303</v>
      </c>
      <c r="J1333" s="6">
        <v>11.6242479101219</v>
      </c>
      <c r="K1333" s="6">
        <v>9.0522031180893396</v>
      </c>
      <c r="L1333">
        <v>1.22891572448859</v>
      </c>
      <c r="M1333">
        <v>0.49586154522126802</v>
      </c>
    </row>
    <row r="1334" spans="1:13" x14ac:dyDescent="0.25">
      <c r="A1334">
        <v>1708</v>
      </c>
      <c r="B1334" t="str">
        <f>"PPA1"</f>
        <v>PPA1</v>
      </c>
      <c r="C1334" t="str">
        <f>""</f>
        <v/>
      </c>
      <c r="D1334">
        <v>32.659999999999997</v>
      </c>
      <c r="E1334">
        <v>17</v>
      </c>
      <c r="F1334">
        <v>8</v>
      </c>
      <c r="G1334">
        <v>8</v>
      </c>
      <c r="H1334">
        <v>3</v>
      </c>
      <c r="I1334" s="7">
        <v>4.4866545071544204</v>
      </c>
      <c r="J1334" s="6">
        <v>4.6496991640487702</v>
      </c>
      <c r="K1334" s="6">
        <v>1.8104406236178701</v>
      </c>
      <c r="L1334">
        <v>-1.38902706586012</v>
      </c>
      <c r="M1334">
        <v>0.49604242728403403</v>
      </c>
    </row>
    <row r="1335" spans="1:13" x14ac:dyDescent="0.25">
      <c r="A1335">
        <v>1145</v>
      </c>
      <c r="B1335" t="str">
        <f>"CCT8"</f>
        <v>CCT8</v>
      </c>
      <c r="C1335" t="str">
        <f>""</f>
        <v/>
      </c>
      <c r="D1335">
        <v>59.62</v>
      </c>
      <c r="E1335">
        <v>16.100000000000001</v>
      </c>
      <c r="F1335">
        <v>32</v>
      </c>
      <c r="G1335">
        <v>35</v>
      </c>
      <c r="H1335">
        <v>35</v>
      </c>
      <c r="I1335" s="7">
        <v>17.946618028617699</v>
      </c>
      <c r="J1335" s="6">
        <v>20.342433842713401</v>
      </c>
      <c r="K1335" s="6">
        <v>21.121807275541801</v>
      </c>
      <c r="L1335">
        <v>1.1552104427735701</v>
      </c>
      <c r="M1335">
        <v>0.49793185877002499</v>
      </c>
    </row>
    <row r="1336" spans="1:13" x14ac:dyDescent="0.25">
      <c r="A1336">
        <v>616</v>
      </c>
      <c r="B1336" t="str">
        <f>"UCHL1"</f>
        <v>UCHL1</v>
      </c>
      <c r="C1336" t="str">
        <f>""</f>
        <v/>
      </c>
      <c r="D1336">
        <v>24.824000000000002</v>
      </c>
      <c r="E1336">
        <v>8.1</v>
      </c>
      <c r="F1336">
        <v>14</v>
      </c>
      <c r="G1336">
        <v>9</v>
      </c>
      <c r="H1336">
        <v>12</v>
      </c>
      <c r="I1336" s="7">
        <v>7.8516453875202297</v>
      </c>
      <c r="J1336" s="6">
        <v>5.2309115595548699</v>
      </c>
      <c r="K1336" s="6">
        <v>7.2417624944714696</v>
      </c>
      <c r="L1336">
        <v>-1.2590155653086501</v>
      </c>
      <c r="M1336">
        <v>0.50454682030353304</v>
      </c>
    </row>
    <row r="1337" spans="1:13" x14ac:dyDescent="0.25">
      <c r="A1337">
        <v>335</v>
      </c>
      <c r="B1337" t="str">
        <f>"SF3B1"</f>
        <v>SF3B1</v>
      </c>
      <c r="C1337" t="str">
        <f>""</f>
        <v/>
      </c>
      <c r="D1337">
        <v>145.83000000000001</v>
      </c>
      <c r="E1337">
        <v>8.1</v>
      </c>
      <c r="F1337">
        <v>14</v>
      </c>
      <c r="G1337">
        <v>11</v>
      </c>
      <c r="H1337">
        <v>10</v>
      </c>
      <c r="I1337" s="7">
        <v>7.8516453875202297</v>
      </c>
      <c r="J1337" s="6">
        <v>6.3933363505670604</v>
      </c>
      <c r="K1337" s="6">
        <v>6.03480207872623</v>
      </c>
      <c r="L1337">
        <v>-1.2635271858597601</v>
      </c>
      <c r="M1337">
        <v>0.50470334084283497</v>
      </c>
    </row>
    <row r="1338" spans="1:13" x14ac:dyDescent="0.25">
      <c r="A1338">
        <v>636</v>
      </c>
      <c r="B1338" t="str">
        <f>"HSPA5"</f>
        <v>HSPA5</v>
      </c>
      <c r="C1338" t="str">
        <f>""</f>
        <v/>
      </c>
      <c r="D1338">
        <v>72.331999999999994</v>
      </c>
      <c r="E1338">
        <v>26.1</v>
      </c>
      <c r="F1338">
        <v>11</v>
      </c>
      <c r="G1338">
        <v>7</v>
      </c>
      <c r="H1338">
        <v>9</v>
      </c>
      <c r="I1338" s="7">
        <v>6.1691499473373197</v>
      </c>
      <c r="J1338" s="6">
        <v>4.0684867685426802</v>
      </c>
      <c r="K1338" s="6">
        <v>5.4313218708536004</v>
      </c>
      <c r="L1338">
        <v>-1.2987945718724201</v>
      </c>
      <c r="M1338">
        <v>0.50619929184750101</v>
      </c>
    </row>
    <row r="1339" spans="1:13" x14ac:dyDescent="0.25">
      <c r="A1339">
        <v>3100</v>
      </c>
      <c r="B1339" t="str">
        <f>"RTCB"</f>
        <v>RTCB</v>
      </c>
      <c r="C1339" t="str">
        <f>""</f>
        <v/>
      </c>
      <c r="D1339">
        <v>55.21</v>
      </c>
      <c r="E1339">
        <v>14.7</v>
      </c>
      <c r="F1339">
        <v>11</v>
      </c>
      <c r="G1339">
        <v>8</v>
      </c>
      <c r="H1339">
        <v>8</v>
      </c>
      <c r="I1339" s="7">
        <v>6.1691499473373197</v>
      </c>
      <c r="J1339" s="6">
        <v>4.6496991640487702</v>
      </c>
      <c r="K1339" s="6">
        <v>4.8278416629809797</v>
      </c>
      <c r="L1339">
        <v>-1.30184613496848</v>
      </c>
      <c r="M1339">
        <v>0.50631664161083101</v>
      </c>
    </row>
    <row r="1340" spans="1:13" x14ac:dyDescent="0.25">
      <c r="A1340">
        <v>171</v>
      </c>
      <c r="B1340" t="str">
        <f>"ARPC2"</f>
        <v>ARPC2</v>
      </c>
      <c r="C1340" t="str">
        <f>""</f>
        <v/>
      </c>
      <c r="D1340">
        <v>34.332999999999998</v>
      </c>
      <c r="E1340">
        <v>18.7</v>
      </c>
      <c r="F1340">
        <v>4</v>
      </c>
      <c r="G1340">
        <v>5</v>
      </c>
      <c r="H1340">
        <v>6</v>
      </c>
      <c r="I1340" s="7">
        <v>2.2433272535772102</v>
      </c>
      <c r="J1340" s="6">
        <v>2.9060619775304799</v>
      </c>
      <c r="K1340" s="6">
        <v>3.6208812472357401</v>
      </c>
      <c r="L1340">
        <v>1.45474611748205</v>
      </c>
      <c r="M1340">
        <v>0.51404295929592403</v>
      </c>
    </row>
    <row r="1341" spans="1:13" x14ac:dyDescent="0.25">
      <c r="A1341">
        <v>2402</v>
      </c>
      <c r="B1341" t="str">
        <f>"ERO1L"</f>
        <v>ERO1L</v>
      </c>
      <c r="C1341" t="str">
        <f>""</f>
        <v/>
      </c>
      <c r="D1341">
        <v>54.392000000000003</v>
      </c>
      <c r="E1341">
        <v>7.1</v>
      </c>
      <c r="F1341">
        <v>4</v>
      </c>
      <c r="G1341">
        <v>5</v>
      </c>
      <c r="H1341">
        <v>6</v>
      </c>
      <c r="I1341" s="7">
        <v>2.2433272535772102</v>
      </c>
      <c r="J1341" s="6">
        <v>2.9060619775304799</v>
      </c>
      <c r="K1341" s="6">
        <v>3.6208812472357401</v>
      </c>
      <c r="L1341">
        <v>1.45474611748205</v>
      </c>
      <c r="M1341">
        <v>0.51404295929592403</v>
      </c>
    </row>
    <row r="1342" spans="1:13" x14ac:dyDescent="0.25">
      <c r="A1342">
        <v>158</v>
      </c>
      <c r="B1342" t="str">
        <f>"PPP1R12A"</f>
        <v>PPP1R12A</v>
      </c>
      <c r="C1342" t="str">
        <f>""</f>
        <v/>
      </c>
      <c r="D1342">
        <v>105.64</v>
      </c>
      <c r="E1342">
        <v>5.8</v>
      </c>
      <c r="F1342">
        <v>4</v>
      </c>
      <c r="G1342">
        <v>5</v>
      </c>
      <c r="H1342">
        <v>6</v>
      </c>
      <c r="I1342" s="7">
        <v>2.2433272535772102</v>
      </c>
      <c r="J1342" s="6">
        <v>2.9060619775304799</v>
      </c>
      <c r="K1342" s="6">
        <v>3.6208812472357401</v>
      </c>
      <c r="L1342">
        <v>1.45474611748205</v>
      </c>
      <c r="M1342">
        <v>0.51404295929592403</v>
      </c>
    </row>
    <row r="1343" spans="1:13" x14ac:dyDescent="0.25">
      <c r="A1343">
        <v>891</v>
      </c>
      <c r="B1343" t="str">
        <f>"PPP2R1B"</f>
        <v>PPP2R1B</v>
      </c>
      <c r="C1343" t="str">
        <f>""</f>
        <v/>
      </c>
      <c r="D1343">
        <v>61.313000000000002</v>
      </c>
      <c r="E1343">
        <v>7.9</v>
      </c>
      <c r="F1343">
        <v>4</v>
      </c>
      <c r="G1343">
        <v>5</v>
      </c>
      <c r="H1343">
        <v>6</v>
      </c>
      <c r="I1343" s="7">
        <v>2.2433272535772102</v>
      </c>
      <c r="J1343" s="6">
        <v>2.9060619775304799</v>
      </c>
      <c r="K1343" s="6">
        <v>3.6208812472357401</v>
      </c>
      <c r="L1343">
        <v>1.45474611748205</v>
      </c>
      <c r="M1343">
        <v>0.51404295929592403</v>
      </c>
    </row>
    <row r="1344" spans="1:13" x14ac:dyDescent="0.25">
      <c r="A1344">
        <v>1572</v>
      </c>
      <c r="B1344" t="str">
        <f>"SF3B2"</f>
        <v>SF3B2</v>
      </c>
      <c r="C1344" t="str">
        <f>""</f>
        <v/>
      </c>
      <c r="D1344">
        <v>100.23</v>
      </c>
      <c r="E1344">
        <v>12.6</v>
      </c>
      <c r="F1344">
        <v>4</v>
      </c>
      <c r="G1344">
        <v>5</v>
      </c>
      <c r="H1344">
        <v>6</v>
      </c>
      <c r="I1344" s="7">
        <v>2.2433272535772102</v>
      </c>
      <c r="J1344" s="6">
        <v>2.9060619775304799</v>
      </c>
      <c r="K1344" s="6">
        <v>3.6208812472357401</v>
      </c>
      <c r="L1344">
        <v>1.45474611748205</v>
      </c>
      <c r="M1344">
        <v>0.51404295929592403</v>
      </c>
    </row>
    <row r="1345" spans="1:13" x14ac:dyDescent="0.25">
      <c r="A1345">
        <v>577</v>
      </c>
      <c r="B1345" t="str">
        <f>"APRT"</f>
        <v>APRT</v>
      </c>
      <c r="C1345" t="str">
        <f>""</f>
        <v/>
      </c>
      <c r="D1345">
        <v>19.608000000000001</v>
      </c>
      <c r="E1345">
        <v>44.4</v>
      </c>
      <c r="F1345">
        <v>4</v>
      </c>
      <c r="G1345">
        <v>6</v>
      </c>
      <c r="H1345">
        <v>5</v>
      </c>
      <c r="I1345" s="7">
        <v>2.2433272535772102</v>
      </c>
      <c r="J1345" s="6">
        <v>3.4872743730365801</v>
      </c>
      <c r="K1345" s="6">
        <v>3.0174010393631101</v>
      </c>
      <c r="L1345">
        <v>1.4497829957772199</v>
      </c>
      <c r="M1345">
        <v>0.51404297954373201</v>
      </c>
    </row>
    <row r="1346" spans="1:13" x14ac:dyDescent="0.25">
      <c r="A1346">
        <v>988</v>
      </c>
      <c r="B1346" t="str">
        <f>"RPL3"</f>
        <v>RPL3</v>
      </c>
      <c r="C1346" t="str">
        <f>""</f>
        <v/>
      </c>
      <c r="D1346">
        <v>46.107999999999997</v>
      </c>
      <c r="E1346">
        <v>16.399999999999999</v>
      </c>
      <c r="F1346">
        <v>4</v>
      </c>
      <c r="G1346">
        <v>6</v>
      </c>
      <c r="H1346">
        <v>5</v>
      </c>
      <c r="I1346" s="7">
        <v>2.2433272535772102</v>
      </c>
      <c r="J1346" s="6">
        <v>3.4872743730365801</v>
      </c>
      <c r="K1346" s="6">
        <v>3.0174010393631101</v>
      </c>
      <c r="L1346">
        <v>1.4497829957772199</v>
      </c>
      <c r="M1346">
        <v>0.51404297954373201</v>
      </c>
    </row>
    <row r="1347" spans="1:13" x14ac:dyDescent="0.25">
      <c r="A1347">
        <v>2967</v>
      </c>
      <c r="B1347" t="str">
        <f>"DCTN4"</f>
        <v>DCTN4</v>
      </c>
      <c r="C1347" t="str">
        <f>""</f>
        <v/>
      </c>
      <c r="D1347">
        <v>45.756</v>
      </c>
      <c r="E1347">
        <v>6.7</v>
      </c>
      <c r="F1347">
        <v>4</v>
      </c>
      <c r="G1347">
        <v>6</v>
      </c>
      <c r="H1347">
        <v>5</v>
      </c>
      <c r="I1347" s="7">
        <v>2.2433272535772102</v>
      </c>
      <c r="J1347" s="6">
        <v>3.4872743730365801</v>
      </c>
      <c r="K1347" s="6">
        <v>3.0174010393631101</v>
      </c>
      <c r="L1347">
        <v>1.4497829957772199</v>
      </c>
      <c r="M1347">
        <v>0.51404297954373201</v>
      </c>
    </row>
    <row r="1348" spans="1:13" x14ac:dyDescent="0.25">
      <c r="A1348">
        <v>674</v>
      </c>
      <c r="B1348" t="str">
        <f>"PDIA4"</f>
        <v>PDIA4</v>
      </c>
      <c r="C1348" t="str">
        <f>""</f>
        <v/>
      </c>
      <c r="D1348">
        <v>72.932000000000002</v>
      </c>
      <c r="E1348">
        <v>11.5</v>
      </c>
      <c r="F1348">
        <v>4</v>
      </c>
      <c r="G1348">
        <v>4</v>
      </c>
      <c r="H1348">
        <v>7</v>
      </c>
      <c r="I1348" s="7">
        <v>2.2433272535772102</v>
      </c>
      <c r="J1348" s="6">
        <v>2.32484958202439</v>
      </c>
      <c r="K1348" s="6">
        <v>4.2243614551083599</v>
      </c>
      <c r="L1348">
        <v>1.45970923918688</v>
      </c>
      <c r="M1348">
        <v>0.51448964350314197</v>
      </c>
    </row>
    <row r="1349" spans="1:13" x14ac:dyDescent="0.25">
      <c r="A1349">
        <v>2641</v>
      </c>
      <c r="B1349" t="str">
        <f>"XRN2"</f>
        <v>XRN2</v>
      </c>
      <c r="C1349" t="str">
        <f>""</f>
        <v/>
      </c>
      <c r="D1349">
        <v>99.96</v>
      </c>
      <c r="E1349">
        <v>5.4</v>
      </c>
      <c r="F1349">
        <v>4</v>
      </c>
      <c r="G1349">
        <v>4</v>
      </c>
      <c r="H1349">
        <v>7</v>
      </c>
      <c r="I1349" s="7">
        <v>2.2433272535772102</v>
      </c>
      <c r="J1349" s="6">
        <v>2.32484958202439</v>
      </c>
      <c r="K1349" s="6">
        <v>4.2243614551083599</v>
      </c>
      <c r="L1349">
        <v>1.45970923918688</v>
      </c>
      <c r="M1349">
        <v>0.51448964350314197</v>
      </c>
    </row>
    <row r="1350" spans="1:13" x14ac:dyDescent="0.25">
      <c r="A1350">
        <v>321</v>
      </c>
      <c r="B1350" t="str">
        <f>"CS"</f>
        <v>CS</v>
      </c>
      <c r="C1350" t="str">
        <f>""</f>
        <v/>
      </c>
      <c r="D1350">
        <v>51.712000000000003</v>
      </c>
      <c r="E1350">
        <v>5.8</v>
      </c>
      <c r="F1350">
        <v>4</v>
      </c>
      <c r="G1350">
        <v>7</v>
      </c>
      <c r="H1350">
        <v>4</v>
      </c>
      <c r="I1350" s="7">
        <v>2.2433272535772102</v>
      </c>
      <c r="J1350" s="6">
        <v>4.0684867685426802</v>
      </c>
      <c r="K1350" s="6">
        <v>2.4139208314904899</v>
      </c>
      <c r="L1350">
        <v>1.4448198740723901</v>
      </c>
      <c r="M1350">
        <v>0.51448970618207202</v>
      </c>
    </row>
    <row r="1351" spans="1:13" x14ac:dyDescent="0.25">
      <c r="A1351">
        <v>1284</v>
      </c>
      <c r="B1351" t="str">
        <f>"RPS3A"</f>
        <v>RPS3A</v>
      </c>
      <c r="C1351" t="str">
        <f>""</f>
        <v/>
      </c>
      <c r="D1351">
        <v>29.945</v>
      </c>
      <c r="E1351">
        <v>10.6</v>
      </c>
      <c r="F1351">
        <v>4</v>
      </c>
      <c r="G1351">
        <v>8</v>
      </c>
      <c r="H1351">
        <v>3</v>
      </c>
      <c r="I1351" s="7">
        <v>2.2433272535772102</v>
      </c>
      <c r="J1351" s="6">
        <v>4.6496991640487702</v>
      </c>
      <c r="K1351" s="6">
        <v>1.8104406236178701</v>
      </c>
      <c r="L1351">
        <v>1.4398567523675601</v>
      </c>
      <c r="M1351">
        <v>0.51538485652598498</v>
      </c>
    </row>
    <row r="1352" spans="1:13" x14ac:dyDescent="0.25">
      <c r="A1352">
        <v>2312</v>
      </c>
      <c r="B1352" t="str">
        <f>"USP9X;USP9Y"</f>
        <v>USP9X;USP9Y</v>
      </c>
      <c r="C1352" t="str">
        <f>""</f>
        <v/>
      </c>
      <c r="D1352">
        <v>290.45999999999998</v>
      </c>
      <c r="E1352">
        <v>2.7</v>
      </c>
      <c r="F1352">
        <v>4</v>
      </c>
      <c r="G1352">
        <v>8</v>
      </c>
      <c r="H1352">
        <v>3</v>
      </c>
      <c r="I1352" s="7">
        <v>2.2433272535772102</v>
      </c>
      <c r="J1352" s="6">
        <v>4.6496991640487702</v>
      </c>
      <c r="K1352" s="6">
        <v>1.8104406236178701</v>
      </c>
      <c r="L1352">
        <v>1.4398567523675601</v>
      </c>
      <c r="M1352">
        <v>0.51538485652598498</v>
      </c>
    </row>
    <row r="1353" spans="1:13" x14ac:dyDescent="0.25">
      <c r="A1353">
        <v>1265</v>
      </c>
      <c r="B1353" t="str">
        <f>"EIF4A1"</f>
        <v>EIF4A1</v>
      </c>
      <c r="C1353" t="str">
        <f>""</f>
        <v/>
      </c>
      <c r="D1353">
        <v>39.548000000000002</v>
      </c>
      <c r="E1353">
        <v>15.9</v>
      </c>
      <c r="F1353">
        <v>18</v>
      </c>
      <c r="G1353">
        <v>15</v>
      </c>
      <c r="H1353">
        <v>13</v>
      </c>
      <c r="I1353" s="7">
        <v>10.094972641097399</v>
      </c>
      <c r="J1353" s="6">
        <v>8.7181859325914495</v>
      </c>
      <c r="K1353" s="6">
        <v>7.8452427023441</v>
      </c>
      <c r="L1353">
        <v>-1.21894721963605</v>
      </c>
      <c r="M1353">
        <v>0.51961549119506401</v>
      </c>
    </row>
    <row r="1354" spans="1:13" x14ac:dyDescent="0.25">
      <c r="A1354">
        <v>1040</v>
      </c>
      <c r="B1354" t="str">
        <f>"RANBP1"</f>
        <v>RANBP1</v>
      </c>
      <c r="C1354" t="str">
        <f>""</f>
        <v/>
      </c>
      <c r="D1354">
        <v>23.239000000000001</v>
      </c>
      <c r="E1354">
        <v>32</v>
      </c>
      <c r="F1354">
        <v>6</v>
      </c>
      <c r="G1354">
        <v>3</v>
      </c>
      <c r="H1354">
        <v>5</v>
      </c>
      <c r="I1354" s="7">
        <v>3.3649908803658102</v>
      </c>
      <c r="J1354" s="6">
        <v>1.74363718651829</v>
      </c>
      <c r="K1354" s="6">
        <v>3.0174010393631101</v>
      </c>
      <c r="L1354">
        <v>-1.4135533976910499</v>
      </c>
      <c r="M1354">
        <v>0.52198311186217194</v>
      </c>
    </row>
    <row r="1355" spans="1:13" x14ac:dyDescent="0.25">
      <c r="A1355">
        <v>1050</v>
      </c>
      <c r="B1355" t="str">
        <f>"RECQL"</f>
        <v>RECQL</v>
      </c>
      <c r="C1355" t="str">
        <f>""</f>
        <v/>
      </c>
      <c r="D1355">
        <v>73.456999999999994</v>
      </c>
      <c r="E1355">
        <v>9.1</v>
      </c>
      <c r="F1355">
        <v>6</v>
      </c>
      <c r="G1355">
        <v>3</v>
      </c>
      <c r="H1355">
        <v>5</v>
      </c>
      <c r="I1355" s="7">
        <v>3.3649908803658102</v>
      </c>
      <c r="J1355" s="6">
        <v>1.74363718651829</v>
      </c>
      <c r="K1355" s="6">
        <v>3.0174010393631101</v>
      </c>
      <c r="L1355">
        <v>-1.4135533976910499</v>
      </c>
      <c r="M1355">
        <v>0.52198311186217194</v>
      </c>
    </row>
    <row r="1356" spans="1:13" x14ac:dyDescent="0.25">
      <c r="A1356">
        <v>1726</v>
      </c>
      <c r="B1356" t="str">
        <f>"RPS6KA1"</f>
        <v>RPS6KA1</v>
      </c>
      <c r="C1356" t="str">
        <f>"RPS6KA1"</f>
        <v>RPS6KA1</v>
      </c>
      <c r="D1356">
        <v>72.697000000000003</v>
      </c>
      <c r="E1356">
        <v>7.8</v>
      </c>
      <c r="F1356">
        <v>6</v>
      </c>
      <c r="G1356">
        <v>3</v>
      </c>
      <c r="H1356">
        <v>5</v>
      </c>
      <c r="I1356" s="7">
        <v>3.3649908803658102</v>
      </c>
      <c r="J1356" s="6">
        <v>1.74363718651829</v>
      </c>
      <c r="K1356" s="6">
        <v>3.0174010393631101</v>
      </c>
      <c r="L1356">
        <v>-1.4135533976910499</v>
      </c>
      <c r="M1356">
        <v>0.52198311186217194</v>
      </c>
    </row>
    <row r="1357" spans="1:13" x14ac:dyDescent="0.25">
      <c r="A1357">
        <v>3079</v>
      </c>
      <c r="B1357" t="str">
        <f>"NOSIP"</f>
        <v>NOSIP</v>
      </c>
      <c r="C1357" t="str">
        <f>""</f>
        <v/>
      </c>
      <c r="D1357">
        <v>33.171999999999997</v>
      </c>
      <c r="E1357">
        <v>6</v>
      </c>
      <c r="F1357">
        <v>6</v>
      </c>
      <c r="G1357">
        <v>3</v>
      </c>
      <c r="H1357">
        <v>5</v>
      </c>
      <c r="I1357" s="7">
        <v>3.3649908803658102</v>
      </c>
      <c r="J1357" s="6">
        <v>1.74363718651829</v>
      </c>
      <c r="K1357" s="6">
        <v>3.0174010393631101</v>
      </c>
      <c r="L1357">
        <v>-1.4135533976910499</v>
      </c>
      <c r="M1357">
        <v>0.52198311186217194</v>
      </c>
    </row>
    <row r="1358" spans="1:13" x14ac:dyDescent="0.25">
      <c r="A1358">
        <v>2669</v>
      </c>
      <c r="B1358" t="str">
        <f>"TMX1"</f>
        <v>TMX1</v>
      </c>
      <c r="C1358" t="str">
        <f>""</f>
        <v/>
      </c>
      <c r="D1358">
        <v>31.791</v>
      </c>
      <c r="E1358">
        <v>11.8</v>
      </c>
      <c r="F1358">
        <v>6</v>
      </c>
      <c r="G1358">
        <v>4</v>
      </c>
      <c r="H1358">
        <v>4</v>
      </c>
      <c r="I1358" s="7">
        <v>3.3649908803658102</v>
      </c>
      <c r="J1358" s="6">
        <v>2.32484958202439</v>
      </c>
      <c r="K1358" s="6">
        <v>2.4139208314904899</v>
      </c>
      <c r="L1358">
        <v>-1.4201957836019801</v>
      </c>
      <c r="M1358">
        <v>0.52231572458367004</v>
      </c>
    </row>
    <row r="1359" spans="1:13" x14ac:dyDescent="0.25">
      <c r="A1359">
        <v>1296</v>
      </c>
      <c r="B1359" t="str">
        <f>"VBP1"</f>
        <v>VBP1</v>
      </c>
      <c r="C1359" t="str">
        <f>""</f>
        <v/>
      </c>
      <c r="D1359">
        <v>22.254000000000001</v>
      </c>
      <c r="E1359">
        <v>4.7</v>
      </c>
      <c r="F1359">
        <v>6</v>
      </c>
      <c r="G1359">
        <v>4</v>
      </c>
      <c r="H1359">
        <v>4</v>
      </c>
      <c r="I1359" s="7">
        <v>3.3649908803658102</v>
      </c>
      <c r="J1359" s="6">
        <v>2.32484958202439</v>
      </c>
      <c r="K1359" s="6">
        <v>2.4139208314904899</v>
      </c>
      <c r="L1359">
        <v>-1.4201957836019801</v>
      </c>
      <c r="M1359">
        <v>0.52231572458367004</v>
      </c>
    </row>
    <row r="1360" spans="1:13" x14ac:dyDescent="0.25">
      <c r="A1360">
        <v>1507</v>
      </c>
      <c r="B1360" t="str">
        <f>"GTF3C1"</f>
        <v>GTF3C1</v>
      </c>
      <c r="C1360" t="str">
        <f>""</f>
        <v/>
      </c>
      <c r="D1360">
        <v>236.28</v>
      </c>
      <c r="E1360">
        <v>2.2999999999999998</v>
      </c>
      <c r="F1360">
        <v>6</v>
      </c>
      <c r="G1360">
        <v>4</v>
      </c>
      <c r="H1360">
        <v>4</v>
      </c>
      <c r="I1360" s="7">
        <v>3.3649908803658102</v>
      </c>
      <c r="J1360" s="6">
        <v>2.32484958202439</v>
      </c>
      <c r="K1360" s="6">
        <v>2.4139208314904899</v>
      </c>
      <c r="L1360">
        <v>-1.4201957836019801</v>
      </c>
      <c r="M1360">
        <v>0.52231572458367004</v>
      </c>
    </row>
    <row r="1361" spans="1:13" x14ac:dyDescent="0.25">
      <c r="A1361">
        <v>1759</v>
      </c>
      <c r="B1361" t="str">
        <f>"PKN2"</f>
        <v>PKN2</v>
      </c>
      <c r="C1361" t="str">
        <f>"PKN2"</f>
        <v>PKN2</v>
      </c>
      <c r="D1361">
        <v>106.22</v>
      </c>
      <c r="E1361">
        <v>4.8</v>
      </c>
      <c r="F1361">
        <v>6</v>
      </c>
      <c r="G1361">
        <v>4</v>
      </c>
      <c r="H1361">
        <v>4</v>
      </c>
      <c r="I1361" s="7">
        <v>3.3649908803658102</v>
      </c>
      <c r="J1361" s="6">
        <v>2.32484958202439</v>
      </c>
      <c r="K1361" s="6">
        <v>2.4139208314904899</v>
      </c>
      <c r="L1361">
        <v>-1.4201957836019801</v>
      </c>
      <c r="M1361">
        <v>0.52231572458367004</v>
      </c>
    </row>
    <row r="1362" spans="1:13" x14ac:dyDescent="0.25">
      <c r="A1362">
        <v>3118</v>
      </c>
      <c r="B1362" t="str">
        <f>"AFG3L2"</f>
        <v>AFG3L2</v>
      </c>
      <c r="C1362" t="str">
        <f>""</f>
        <v/>
      </c>
      <c r="D1362">
        <v>88.582999999999998</v>
      </c>
      <c r="E1362">
        <v>3</v>
      </c>
      <c r="F1362">
        <v>6</v>
      </c>
      <c r="G1362">
        <v>4</v>
      </c>
      <c r="H1362">
        <v>4</v>
      </c>
      <c r="I1362" s="7">
        <v>3.3649908803658102</v>
      </c>
      <c r="J1362" s="6">
        <v>2.32484958202439</v>
      </c>
      <c r="K1362" s="6">
        <v>2.4139208314904899</v>
      </c>
      <c r="L1362">
        <v>-1.4201957836019801</v>
      </c>
      <c r="M1362">
        <v>0.52231572458367004</v>
      </c>
    </row>
    <row r="1363" spans="1:13" x14ac:dyDescent="0.25">
      <c r="A1363">
        <v>454</v>
      </c>
      <c r="B1363" t="str">
        <f>"CA2"</f>
        <v>CA2</v>
      </c>
      <c r="C1363" t="str">
        <f>""</f>
        <v/>
      </c>
      <c r="D1363">
        <v>29.245999999999999</v>
      </c>
      <c r="E1363">
        <v>28.1</v>
      </c>
      <c r="F1363">
        <v>10</v>
      </c>
      <c r="G1363">
        <v>12</v>
      </c>
      <c r="H1363">
        <v>12</v>
      </c>
      <c r="I1363" s="7">
        <v>5.6083181339430199</v>
      </c>
      <c r="J1363" s="6">
        <v>6.9745487460731601</v>
      </c>
      <c r="K1363" s="6">
        <v>7.2417624944714696</v>
      </c>
      <c r="L1363">
        <v>1.2674308857858601</v>
      </c>
      <c r="M1363">
        <v>0.52516317170767002</v>
      </c>
    </row>
    <row r="1364" spans="1:13" x14ac:dyDescent="0.25">
      <c r="A1364">
        <v>2499</v>
      </c>
      <c r="B1364" t="str">
        <f>"CCT7"</f>
        <v>CCT7</v>
      </c>
      <c r="C1364" t="str">
        <f>""</f>
        <v/>
      </c>
      <c r="D1364">
        <v>59.366</v>
      </c>
      <c r="E1364">
        <v>21.4</v>
      </c>
      <c r="F1364">
        <v>10</v>
      </c>
      <c r="G1364">
        <v>12</v>
      </c>
      <c r="H1364">
        <v>12</v>
      </c>
      <c r="I1364" s="7">
        <v>5.6083181339430199</v>
      </c>
      <c r="J1364" s="6">
        <v>6.9745487460731601</v>
      </c>
      <c r="K1364" s="6">
        <v>7.2417624944714696</v>
      </c>
      <c r="L1364">
        <v>1.2674308857858601</v>
      </c>
      <c r="M1364">
        <v>0.52516317170767002</v>
      </c>
    </row>
    <row r="1365" spans="1:13" x14ac:dyDescent="0.25">
      <c r="A1365">
        <v>514</v>
      </c>
      <c r="B1365" t="str">
        <f>"KRT1"</f>
        <v>KRT1</v>
      </c>
      <c r="C1365" t="str">
        <f>""</f>
        <v/>
      </c>
      <c r="D1365">
        <v>66.037999999999997</v>
      </c>
      <c r="E1365">
        <v>28.3</v>
      </c>
      <c r="F1365">
        <v>92</v>
      </c>
      <c r="G1365">
        <v>104</v>
      </c>
      <c r="H1365">
        <v>41</v>
      </c>
      <c r="I1365" s="7">
        <v>51.596526832275799</v>
      </c>
      <c r="J1365" s="6">
        <v>60.446089132634</v>
      </c>
      <c r="K1365" s="6">
        <v>24.742688522777499</v>
      </c>
      <c r="L1365">
        <v>-1.2113456314864299</v>
      </c>
      <c r="M1365">
        <v>0.52552802924403297</v>
      </c>
    </row>
    <row r="1366" spans="1:13" x14ac:dyDescent="0.25">
      <c r="A1366">
        <v>807</v>
      </c>
      <c r="B1366" t="str">
        <f>"AHCY"</f>
        <v>AHCY</v>
      </c>
      <c r="C1366" t="str">
        <f>""</f>
        <v/>
      </c>
      <c r="D1366">
        <v>47.716000000000001</v>
      </c>
      <c r="E1366">
        <v>11.3</v>
      </c>
      <c r="F1366">
        <v>22</v>
      </c>
      <c r="G1366">
        <v>20</v>
      </c>
      <c r="H1366">
        <v>15</v>
      </c>
      <c r="I1366" s="7">
        <v>12.3382998946746</v>
      </c>
      <c r="J1366" s="6">
        <v>11.6242479101219</v>
      </c>
      <c r="K1366" s="6">
        <v>9.0522031180893396</v>
      </c>
      <c r="L1366">
        <v>-1.19346399223349</v>
      </c>
      <c r="M1366">
        <v>0.52590704443349601</v>
      </c>
    </row>
    <row r="1367" spans="1:13" x14ac:dyDescent="0.25">
      <c r="A1367">
        <v>1099</v>
      </c>
      <c r="B1367" t="str">
        <f>"MRPL19"</f>
        <v>MRPL19</v>
      </c>
      <c r="C1367" t="str">
        <f>""</f>
        <v/>
      </c>
      <c r="D1367">
        <v>33.534999999999997</v>
      </c>
      <c r="E1367">
        <v>6.8</v>
      </c>
      <c r="F1367">
        <v>2</v>
      </c>
      <c r="G1367">
        <v>2</v>
      </c>
      <c r="H1367">
        <v>0</v>
      </c>
      <c r="I1367" s="7">
        <v>1.1216636267886</v>
      </c>
      <c r="J1367" s="6">
        <v>1.1624247910121901</v>
      </c>
      <c r="K1367" s="6">
        <v>0</v>
      </c>
      <c r="L1367">
        <v>-1.92986872864593</v>
      </c>
      <c r="M1367">
        <v>0.52618618517528404</v>
      </c>
    </row>
    <row r="1368" spans="1:13" x14ac:dyDescent="0.25">
      <c r="A1368">
        <v>2763</v>
      </c>
      <c r="B1368" t="str">
        <f>"RTN4"</f>
        <v>RTN4</v>
      </c>
      <c r="C1368" t="str">
        <f>""</f>
        <v/>
      </c>
      <c r="D1368">
        <v>22.395</v>
      </c>
      <c r="E1368">
        <v>7</v>
      </c>
      <c r="F1368">
        <v>2</v>
      </c>
      <c r="G1368">
        <v>2</v>
      </c>
      <c r="H1368">
        <v>0</v>
      </c>
      <c r="I1368" s="7">
        <v>1.1216636267886</v>
      </c>
      <c r="J1368" s="6">
        <v>1.1624247910121901</v>
      </c>
      <c r="K1368" s="6">
        <v>0</v>
      </c>
      <c r="L1368">
        <v>-1.92986872864593</v>
      </c>
      <c r="M1368">
        <v>0.52618618517528404</v>
      </c>
    </row>
    <row r="1369" spans="1:13" x14ac:dyDescent="0.25">
      <c r="A1369">
        <v>606</v>
      </c>
      <c r="B1369" t="str">
        <f>"QDPR"</f>
        <v>QDPR</v>
      </c>
      <c r="C1369" t="str">
        <f>""</f>
        <v/>
      </c>
      <c r="D1369">
        <v>22.408000000000001</v>
      </c>
      <c r="E1369">
        <v>7.5</v>
      </c>
      <c r="F1369">
        <v>2</v>
      </c>
      <c r="G1369">
        <v>2</v>
      </c>
      <c r="H1369">
        <v>0</v>
      </c>
      <c r="I1369" s="7">
        <v>1.1216636267886</v>
      </c>
      <c r="J1369" s="6">
        <v>1.1624247910121901</v>
      </c>
      <c r="K1369" s="6">
        <v>0</v>
      </c>
      <c r="L1369">
        <v>-1.92986872864593</v>
      </c>
      <c r="M1369">
        <v>0.52618618517528404</v>
      </c>
    </row>
    <row r="1370" spans="1:13" x14ac:dyDescent="0.25">
      <c r="A1370">
        <v>648</v>
      </c>
      <c r="B1370" t="str">
        <f>"TOP2A"</f>
        <v>TOP2A</v>
      </c>
      <c r="C1370" t="str">
        <f>""</f>
        <v/>
      </c>
      <c r="D1370">
        <v>174.38</v>
      </c>
      <c r="E1370">
        <v>2.7</v>
      </c>
      <c r="F1370">
        <v>2</v>
      </c>
      <c r="G1370">
        <v>2</v>
      </c>
      <c r="H1370">
        <v>0</v>
      </c>
      <c r="I1370" s="7">
        <v>1.1216636267886</v>
      </c>
      <c r="J1370" s="6">
        <v>1.1624247910121901</v>
      </c>
      <c r="K1370" s="6">
        <v>0</v>
      </c>
      <c r="L1370">
        <v>-1.92986872864593</v>
      </c>
      <c r="M1370">
        <v>0.52618618517528404</v>
      </c>
    </row>
    <row r="1371" spans="1:13" x14ac:dyDescent="0.25">
      <c r="A1371">
        <v>1709</v>
      </c>
      <c r="B1371" t="str">
        <f>"PTGES3"</f>
        <v>PTGES3</v>
      </c>
      <c r="C1371" t="str">
        <f>""</f>
        <v/>
      </c>
      <c r="D1371">
        <v>14.958</v>
      </c>
      <c r="E1371">
        <v>20.8</v>
      </c>
      <c r="F1371">
        <v>2</v>
      </c>
      <c r="G1371">
        <v>2</v>
      </c>
      <c r="H1371">
        <v>0</v>
      </c>
      <c r="I1371" s="7">
        <v>1.1216636267886</v>
      </c>
      <c r="J1371" s="6">
        <v>1.1624247910121901</v>
      </c>
      <c r="K1371" s="6">
        <v>0</v>
      </c>
      <c r="L1371">
        <v>-1.92986872864593</v>
      </c>
      <c r="M1371">
        <v>0.52618618517528404</v>
      </c>
    </row>
    <row r="1372" spans="1:13" x14ac:dyDescent="0.25">
      <c r="A1372">
        <v>1157</v>
      </c>
      <c r="B1372" t="str">
        <f>"SMARCA2"</f>
        <v>SMARCA2</v>
      </c>
      <c r="C1372" t="str">
        <f>""</f>
        <v/>
      </c>
      <c r="D1372">
        <v>179.28</v>
      </c>
      <c r="E1372">
        <v>1.2</v>
      </c>
      <c r="F1372">
        <v>2</v>
      </c>
      <c r="G1372">
        <v>0</v>
      </c>
      <c r="H1372">
        <v>2</v>
      </c>
      <c r="I1372" s="7">
        <v>1.1216636267886</v>
      </c>
      <c r="J1372" s="6">
        <v>0</v>
      </c>
      <c r="K1372" s="6">
        <v>1.20696041574525</v>
      </c>
      <c r="L1372">
        <v>-1.85865851465564</v>
      </c>
      <c r="M1372">
        <v>0.526186213945533</v>
      </c>
    </row>
    <row r="1373" spans="1:13" x14ac:dyDescent="0.25">
      <c r="A1373">
        <v>1029</v>
      </c>
      <c r="B1373" t="str">
        <f>"PRCP"</f>
        <v>PRCP</v>
      </c>
      <c r="C1373" t="str">
        <f>""</f>
        <v/>
      </c>
      <c r="D1373">
        <v>55.798999999999999</v>
      </c>
      <c r="E1373">
        <v>2.8</v>
      </c>
      <c r="F1373">
        <v>2</v>
      </c>
      <c r="G1373">
        <v>0</v>
      </c>
      <c r="H1373">
        <v>2</v>
      </c>
      <c r="I1373" s="7">
        <v>1.1216636267886</v>
      </c>
      <c r="J1373" s="6">
        <v>0</v>
      </c>
      <c r="K1373" s="6">
        <v>1.20696041574525</v>
      </c>
      <c r="L1373">
        <v>-1.85865851465564</v>
      </c>
      <c r="M1373">
        <v>0.526186213945533</v>
      </c>
    </row>
    <row r="1374" spans="1:13" x14ac:dyDescent="0.25">
      <c r="A1374">
        <v>2729</v>
      </c>
      <c r="B1374" t="str">
        <f>"SCPEP1"</f>
        <v>SCPEP1</v>
      </c>
      <c r="C1374" t="str">
        <f>""</f>
        <v/>
      </c>
      <c r="D1374">
        <v>32.956000000000003</v>
      </c>
      <c r="E1374">
        <v>8.4</v>
      </c>
      <c r="F1374">
        <v>2</v>
      </c>
      <c r="G1374">
        <v>0</v>
      </c>
      <c r="H1374">
        <v>2</v>
      </c>
      <c r="I1374" s="7">
        <v>1.1216636267886</v>
      </c>
      <c r="J1374" s="6">
        <v>0</v>
      </c>
      <c r="K1374" s="6">
        <v>1.20696041574525</v>
      </c>
      <c r="L1374">
        <v>-1.85865851465564</v>
      </c>
      <c r="M1374">
        <v>0.526186213945533</v>
      </c>
    </row>
    <row r="1375" spans="1:13" x14ac:dyDescent="0.25">
      <c r="A1375">
        <v>260</v>
      </c>
      <c r="B1375" t="str">
        <f>"AQR"</f>
        <v>AQR</v>
      </c>
      <c r="C1375" t="str">
        <f>""</f>
        <v/>
      </c>
      <c r="D1375">
        <v>171.29</v>
      </c>
      <c r="E1375">
        <v>3.2</v>
      </c>
      <c r="F1375">
        <v>2</v>
      </c>
      <c r="G1375">
        <v>0</v>
      </c>
      <c r="H1375">
        <v>2</v>
      </c>
      <c r="I1375" s="7">
        <v>1.1216636267886</v>
      </c>
      <c r="J1375" s="6">
        <v>0</v>
      </c>
      <c r="K1375" s="6">
        <v>1.20696041574525</v>
      </c>
      <c r="L1375">
        <v>-1.85865851465564</v>
      </c>
      <c r="M1375">
        <v>0.526186213945533</v>
      </c>
    </row>
    <row r="1376" spans="1:13" x14ac:dyDescent="0.25">
      <c r="A1376">
        <v>946</v>
      </c>
      <c r="B1376" t="str">
        <f>"RFC2"</f>
        <v>RFC2</v>
      </c>
      <c r="C1376" t="str">
        <f>""</f>
        <v/>
      </c>
      <c r="D1376">
        <v>35.243000000000002</v>
      </c>
      <c r="E1376">
        <v>10.9</v>
      </c>
      <c r="F1376">
        <v>2</v>
      </c>
      <c r="G1376">
        <v>0</v>
      </c>
      <c r="H1376">
        <v>2</v>
      </c>
      <c r="I1376" s="7">
        <v>1.1216636267886</v>
      </c>
      <c r="J1376" s="6">
        <v>0</v>
      </c>
      <c r="K1376" s="6">
        <v>1.20696041574525</v>
      </c>
      <c r="L1376">
        <v>-1.85865851465564</v>
      </c>
      <c r="M1376">
        <v>0.526186213945533</v>
      </c>
    </row>
    <row r="1377" spans="1:13" x14ac:dyDescent="0.25">
      <c r="A1377">
        <v>1567</v>
      </c>
      <c r="B1377" t="str">
        <f>"ILK"</f>
        <v>ILK</v>
      </c>
      <c r="C1377" t="str">
        <f>"ILK"</f>
        <v>ILK</v>
      </c>
      <c r="D1377">
        <v>36.466999999999999</v>
      </c>
      <c r="E1377">
        <v>4.4000000000000004</v>
      </c>
      <c r="F1377">
        <v>2</v>
      </c>
      <c r="G1377">
        <v>0</v>
      </c>
      <c r="H1377">
        <v>2</v>
      </c>
      <c r="I1377" s="7">
        <v>1.1216636267886</v>
      </c>
      <c r="J1377" s="6">
        <v>0</v>
      </c>
      <c r="K1377" s="6">
        <v>1.20696041574525</v>
      </c>
      <c r="L1377">
        <v>-1.85865851465564</v>
      </c>
      <c r="M1377">
        <v>0.526186213945533</v>
      </c>
    </row>
    <row r="1378" spans="1:13" x14ac:dyDescent="0.25">
      <c r="A1378">
        <v>1815</v>
      </c>
      <c r="B1378" t="str">
        <f>"LARP7"</f>
        <v>LARP7</v>
      </c>
      <c r="C1378" t="str">
        <f>""</f>
        <v/>
      </c>
      <c r="D1378">
        <v>67.653000000000006</v>
      </c>
      <c r="E1378">
        <v>3.2</v>
      </c>
      <c r="F1378">
        <v>2</v>
      </c>
      <c r="G1378">
        <v>0</v>
      </c>
      <c r="H1378">
        <v>2</v>
      </c>
      <c r="I1378" s="7">
        <v>1.1216636267886</v>
      </c>
      <c r="J1378" s="6">
        <v>0</v>
      </c>
      <c r="K1378" s="6">
        <v>1.20696041574525</v>
      </c>
      <c r="L1378">
        <v>-1.85865851465564</v>
      </c>
      <c r="M1378">
        <v>0.526186213945533</v>
      </c>
    </row>
    <row r="1379" spans="1:13" x14ac:dyDescent="0.25">
      <c r="A1379">
        <v>2041</v>
      </c>
      <c r="B1379" t="str">
        <f>"DPP9"</f>
        <v>DPP9</v>
      </c>
      <c r="C1379" t="str">
        <f>""</f>
        <v/>
      </c>
      <c r="D1379">
        <v>95.012</v>
      </c>
      <c r="E1379">
        <v>2.6</v>
      </c>
      <c r="F1379">
        <v>2</v>
      </c>
      <c r="G1379">
        <v>0</v>
      </c>
      <c r="H1379">
        <v>2</v>
      </c>
      <c r="I1379" s="7">
        <v>1.1216636267886</v>
      </c>
      <c r="J1379" s="6">
        <v>0</v>
      </c>
      <c r="K1379" s="6">
        <v>1.20696041574525</v>
      </c>
      <c r="L1379">
        <v>-1.85865851465564</v>
      </c>
      <c r="M1379">
        <v>0.526186213945533</v>
      </c>
    </row>
    <row r="1380" spans="1:13" x14ac:dyDescent="0.25">
      <c r="A1380">
        <v>2088</v>
      </c>
      <c r="B1380" t="str">
        <f>"MAPKAPK5"</f>
        <v>MAPKAPK5</v>
      </c>
      <c r="C1380" t="str">
        <f>"MAPKAPK5"</f>
        <v>MAPKAPK5</v>
      </c>
      <c r="D1380">
        <v>54.034999999999997</v>
      </c>
      <c r="E1380">
        <v>1.7</v>
      </c>
      <c r="F1380">
        <v>2</v>
      </c>
      <c r="G1380">
        <v>0</v>
      </c>
      <c r="H1380">
        <v>2</v>
      </c>
      <c r="I1380" s="7">
        <v>1.1216636267886</v>
      </c>
      <c r="J1380" s="6">
        <v>0</v>
      </c>
      <c r="K1380" s="6">
        <v>1.20696041574525</v>
      </c>
      <c r="L1380">
        <v>-1.85865851465564</v>
      </c>
      <c r="M1380">
        <v>0.526186213945533</v>
      </c>
    </row>
    <row r="1381" spans="1:13" x14ac:dyDescent="0.25">
      <c r="A1381">
        <v>2339</v>
      </c>
      <c r="B1381" t="str">
        <f>"AKT1S1"</f>
        <v>AKT1S1</v>
      </c>
      <c r="C1381" t="str">
        <f>""</f>
        <v/>
      </c>
      <c r="D1381">
        <v>27.382999999999999</v>
      </c>
      <c r="E1381">
        <v>7</v>
      </c>
      <c r="F1381">
        <v>2</v>
      </c>
      <c r="G1381">
        <v>0</v>
      </c>
      <c r="H1381">
        <v>2</v>
      </c>
      <c r="I1381" s="7">
        <v>1.1216636267886</v>
      </c>
      <c r="J1381" s="6">
        <v>0</v>
      </c>
      <c r="K1381" s="6">
        <v>1.20696041574525</v>
      </c>
      <c r="L1381">
        <v>-1.85865851465564</v>
      </c>
      <c r="M1381">
        <v>0.526186213945533</v>
      </c>
    </row>
    <row r="1382" spans="1:13" x14ac:dyDescent="0.25">
      <c r="A1382">
        <v>2426</v>
      </c>
      <c r="B1382" t="str">
        <f>"IFT74"</f>
        <v>IFT74</v>
      </c>
      <c r="C1382" t="str">
        <f>""</f>
        <v/>
      </c>
      <c r="D1382">
        <v>69.239000000000004</v>
      </c>
      <c r="E1382">
        <v>7.2</v>
      </c>
      <c r="F1382">
        <v>2</v>
      </c>
      <c r="G1382">
        <v>0</v>
      </c>
      <c r="H1382">
        <v>2</v>
      </c>
      <c r="I1382" s="7">
        <v>1.1216636267886</v>
      </c>
      <c r="J1382" s="6">
        <v>0</v>
      </c>
      <c r="K1382" s="6">
        <v>1.20696041574525</v>
      </c>
      <c r="L1382">
        <v>-1.85865851465564</v>
      </c>
      <c r="M1382">
        <v>0.526186213945533</v>
      </c>
    </row>
    <row r="1383" spans="1:13" x14ac:dyDescent="0.25">
      <c r="A1383">
        <v>2876</v>
      </c>
      <c r="B1383" t="str">
        <f>"ARHGEF12"</f>
        <v>ARHGEF12</v>
      </c>
      <c r="C1383" t="str">
        <f>""</f>
        <v/>
      </c>
      <c r="D1383">
        <v>171.11</v>
      </c>
      <c r="E1383">
        <v>1.6</v>
      </c>
      <c r="F1383">
        <v>2</v>
      </c>
      <c r="G1383">
        <v>0</v>
      </c>
      <c r="H1383">
        <v>2</v>
      </c>
      <c r="I1383" s="7">
        <v>1.1216636267886</v>
      </c>
      <c r="J1383" s="6">
        <v>0</v>
      </c>
      <c r="K1383" s="6">
        <v>1.20696041574525</v>
      </c>
      <c r="L1383">
        <v>-1.85865851465564</v>
      </c>
      <c r="M1383">
        <v>0.526186213945533</v>
      </c>
    </row>
    <row r="1384" spans="1:13" x14ac:dyDescent="0.25">
      <c r="A1384">
        <v>3070</v>
      </c>
      <c r="B1384" t="str">
        <f>"TDRKH"</f>
        <v>TDRKH</v>
      </c>
      <c r="C1384" t="str">
        <f>""</f>
        <v/>
      </c>
      <c r="D1384">
        <v>57.218000000000004</v>
      </c>
      <c r="E1384">
        <v>2.2999999999999998</v>
      </c>
      <c r="F1384">
        <v>2</v>
      </c>
      <c r="G1384">
        <v>0</v>
      </c>
      <c r="H1384">
        <v>2</v>
      </c>
      <c r="I1384" s="7">
        <v>1.1216636267886</v>
      </c>
      <c r="J1384" s="6">
        <v>0</v>
      </c>
      <c r="K1384" s="6">
        <v>1.20696041574525</v>
      </c>
      <c r="L1384">
        <v>-1.85865851465564</v>
      </c>
      <c r="M1384">
        <v>0.526186213945533</v>
      </c>
    </row>
    <row r="1385" spans="1:13" x14ac:dyDescent="0.25">
      <c r="A1385">
        <v>859</v>
      </c>
      <c r="B1385" t="str">
        <f>"PSMB6"</f>
        <v>PSMB6</v>
      </c>
      <c r="C1385" t="str">
        <f>""</f>
        <v/>
      </c>
      <c r="D1385">
        <v>25.356999999999999</v>
      </c>
      <c r="E1385">
        <v>4.2</v>
      </c>
      <c r="F1385">
        <v>2</v>
      </c>
      <c r="G1385">
        <v>1</v>
      </c>
      <c r="H1385">
        <v>1</v>
      </c>
      <c r="I1385" s="7">
        <v>1.1216636267886</v>
      </c>
      <c r="J1385" s="6">
        <v>0.58121239550609605</v>
      </c>
      <c r="K1385" s="6">
        <v>0.60348020787262302</v>
      </c>
      <c r="L1385">
        <v>-1.8935943781359701</v>
      </c>
      <c r="M1385">
        <v>0.52872497986356803</v>
      </c>
    </row>
    <row r="1386" spans="1:13" x14ac:dyDescent="0.25">
      <c r="A1386">
        <v>711</v>
      </c>
      <c r="B1386" t="str">
        <f>"CBR1"</f>
        <v>CBR1</v>
      </c>
      <c r="C1386" t="str">
        <f>""</f>
        <v/>
      </c>
      <c r="D1386">
        <v>30.375</v>
      </c>
      <c r="E1386">
        <v>22</v>
      </c>
      <c r="F1386">
        <v>2</v>
      </c>
      <c r="G1386">
        <v>1</v>
      </c>
      <c r="H1386">
        <v>1</v>
      </c>
      <c r="I1386" s="7">
        <v>1.1216636267886</v>
      </c>
      <c r="J1386" s="6">
        <v>0.58121239550609605</v>
      </c>
      <c r="K1386" s="6">
        <v>0.60348020787262302</v>
      </c>
      <c r="L1386">
        <v>-1.8935943781359701</v>
      </c>
      <c r="M1386">
        <v>0.52872497986356803</v>
      </c>
    </row>
    <row r="1387" spans="1:13" x14ac:dyDescent="0.25">
      <c r="A1387">
        <v>1401</v>
      </c>
      <c r="B1387" t="str">
        <f>"ATP2C1"</f>
        <v>ATP2C1</v>
      </c>
      <c r="C1387" t="str">
        <f>""</f>
        <v/>
      </c>
      <c r="D1387">
        <v>96.959000000000003</v>
      </c>
      <c r="E1387">
        <v>1.6</v>
      </c>
      <c r="F1387">
        <v>2</v>
      </c>
      <c r="G1387">
        <v>1</v>
      </c>
      <c r="H1387">
        <v>1</v>
      </c>
      <c r="I1387" s="7">
        <v>1.1216636267886</v>
      </c>
      <c r="J1387" s="6">
        <v>0.58121239550609605</v>
      </c>
      <c r="K1387" s="6">
        <v>0.60348020787262302</v>
      </c>
      <c r="L1387">
        <v>-1.8935943781359701</v>
      </c>
      <c r="M1387">
        <v>0.52872497986356803</v>
      </c>
    </row>
    <row r="1388" spans="1:13" x14ac:dyDescent="0.25">
      <c r="A1388">
        <v>1836</v>
      </c>
      <c r="B1388" t="str">
        <f>"RABL3"</f>
        <v>RABL3</v>
      </c>
      <c r="C1388" t="str">
        <f>""</f>
        <v/>
      </c>
      <c r="D1388">
        <v>26.422000000000001</v>
      </c>
      <c r="E1388">
        <v>4.7</v>
      </c>
      <c r="F1388">
        <v>2</v>
      </c>
      <c r="G1388">
        <v>1</v>
      </c>
      <c r="H1388">
        <v>1</v>
      </c>
      <c r="I1388" s="7">
        <v>1.1216636267886</v>
      </c>
      <c r="J1388" s="6">
        <v>0.58121239550609605</v>
      </c>
      <c r="K1388" s="6">
        <v>0.60348020787262302</v>
      </c>
      <c r="L1388">
        <v>-1.8935943781359701</v>
      </c>
      <c r="M1388">
        <v>0.52872497986356803</v>
      </c>
    </row>
    <row r="1389" spans="1:13" x14ac:dyDescent="0.25">
      <c r="A1389">
        <v>830</v>
      </c>
      <c r="B1389" t="str">
        <f>"MSN"</f>
        <v>MSN</v>
      </c>
      <c r="C1389" t="str">
        <f>""</f>
        <v/>
      </c>
      <c r="D1389">
        <v>67.819000000000003</v>
      </c>
      <c r="E1389">
        <v>8.8000000000000007</v>
      </c>
      <c r="F1389">
        <v>2</v>
      </c>
      <c r="G1389">
        <v>1</v>
      </c>
      <c r="H1389">
        <v>1</v>
      </c>
      <c r="I1389" s="7">
        <v>1.1216636267886</v>
      </c>
      <c r="J1389" s="6">
        <v>0.58121239550609605</v>
      </c>
      <c r="K1389" s="6">
        <v>0.60348020787262302</v>
      </c>
      <c r="L1389">
        <v>-1.8935943781359701</v>
      </c>
      <c r="M1389">
        <v>0.52872497986356803</v>
      </c>
    </row>
    <row r="1390" spans="1:13" x14ac:dyDescent="0.25">
      <c r="A1390">
        <v>1207</v>
      </c>
      <c r="B1390" t="str">
        <f>"SLC16A1"</f>
        <v>SLC16A1</v>
      </c>
      <c r="C1390" t="str">
        <f>""</f>
        <v/>
      </c>
      <c r="D1390">
        <v>46.232999999999997</v>
      </c>
      <c r="E1390">
        <v>3</v>
      </c>
      <c r="F1390">
        <v>2</v>
      </c>
      <c r="G1390">
        <v>1</v>
      </c>
      <c r="H1390">
        <v>1</v>
      </c>
      <c r="I1390" s="7">
        <v>1.1216636267886</v>
      </c>
      <c r="J1390" s="6">
        <v>0.58121239550609605</v>
      </c>
      <c r="K1390" s="6">
        <v>0.60348020787262302</v>
      </c>
      <c r="L1390">
        <v>-1.8935943781359701</v>
      </c>
      <c r="M1390">
        <v>0.52872497986356803</v>
      </c>
    </row>
    <row r="1391" spans="1:13" x14ac:dyDescent="0.25">
      <c r="A1391">
        <v>2526</v>
      </c>
      <c r="B1391" t="str">
        <f>"NUDT16L1"</f>
        <v>NUDT16L1</v>
      </c>
      <c r="C1391" t="str">
        <f>""</f>
        <v/>
      </c>
      <c r="D1391">
        <v>23.338000000000001</v>
      </c>
      <c r="E1391">
        <v>11.4</v>
      </c>
      <c r="F1391">
        <v>2</v>
      </c>
      <c r="G1391">
        <v>1</v>
      </c>
      <c r="H1391">
        <v>1</v>
      </c>
      <c r="I1391" s="7">
        <v>1.1216636267886</v>
      </c>
      <c r="J1391" s="6">
        <v>0.58121239550609605</v>
      </c>
      <c r="K1391" s="6">
        <v>0.60348020787262302</v>
      </c>
      <c r="L1391">
        <v>-1.8935943781359701</v>
      </c>
      <c r="M1391">
        <v>0.52872497986356803</v>
      </c>
    </row>
    <row r="1392" spans="1:13" x14ac:dyDescent="0.25">
      <c r="A1392">
        <v>2610</v>
      </c>
      <c r="B1392" t="str">
        <f>"MRPL37"</f>
        <v>MRPL37</v>
      </c>
      <c r="C1392" t="str">
        <f>""</f>
        <v/>
      </c>
      <c r="D1392">
        <v>48.116999999999997</v>
      </c>
      <c r="E1392">
        <v>5.4</v>
      </c>
      <c r="F1392">
        <v>2</v>
      </c>
      <c r="G1392">
        <v>1</v>
      </c>
      <c r="H1392">
        <v>1</v>
      </c>
      <c r="I1392" s="7">
        <v>1.1216636267886</v>
      </c>
      <c r="J1392" s="6">
        <v>0.58121239550609605</v>
      </c>
      <c r="K1392" s="6">
        <v>0.60348020787262302</v>
      </c>
      <c r="L1392">
        <v>-1.8935943781359701</v>
      </c>
      <c r="M1392">
        <v>0.52872497986356803</v>
      </c>
    </row>
    <row r="1393" spans="1:13" x14ac:dyDescent="0.25">
      <c r="A1393">
        <v>3063</v>
      </c>
      <c r="B1393" t="str">
        <f>"COA3"</f>
        <v>COA3</v>
      </c>
      <c r="C1393" t="str">
        <f>""</f>
        <v/>
      </c>
      <c r="D1393">
        <v>11.731</v>
      </c>
      <c r="E1393">
        <v>8.5</v>
      </c>
      <c r="F1393">
        <v>2</v>
      </c>
      <c r="G1393">
        <v>1</v>
      </c>
      <c r="H1393">
        <v>1</v>
      </c>
      <c r="I1393" s="7">
        <v>1.1216636267886</v>
      </c>
      <c r="J1393" s="6">
        <v>0.58121239550609605</v>
      </c>
      <c r="K1393" s="6">
        <v>0.60348020787262302</v>
      </c>
      <c r="L1393">
        <v>-1.8935943781359701</v>
      </c>
      <c r="M1393">
        <v>0.52872497986356803</v>
      </c>
    </row>
    <row r="1394" spans="1:13" x14ac:dyDescent="0.25">
      <c r="A1394">
        <v>13</v>
      </c>
      <c r="B1394" t="str">
        <f>"SBNO1"</f>
        <v>SBNO1</v>
      </c>
      <c r="C1394" t="str">
        <f>""</f>
        <v/>
      </c>
      <c r="D1394">
        <v>80.850999999999999</v>
      </c>
      <c r="E1394">
        <v>1.5</v>
      </c>
      <c r="F1394">
        <v>2</v>
      </c>
      <c r="G1394">
        <v>1</v>
      </c>
      <c r="H1394">
        <v>1</v>
      </c>
      <c r="I1394" s="7">
        <v>1.1216636267886</v>
      </c>
      <c r="J1394" s="6">
        <v>0.58121239550609605</v>
      </c>
      <c r="K1394" s="6">
        <v>0.60348020787262302</v>
      </c>
      <c r="L1394">
        <v>-1.8935943781359701</v>
      </c>
      <c r="M1394">
        <v>0.52872497986356803</v>
      </c>
    </row>
    <row r="1395" spans="1:13" x14ac:dyDescent="0.25">
      <c r="A1395">
        <v>55</v>
      </c>
      <c r="B1395" t="str">
        <f>""</f>
        <v/>
      </c>
      <c r="C1395" t="str">
        <f>""</f>
        <v/>
      </c>
      <c r="D1395">
        <v>30.276</v>
      </c>
      <c r="E1395">
        <v>15.8</v>
      </c>
      <c r="F1395">
        <v>2</v>
      </c>
      <c r="G1395">
        <v>1</v>
      </c>
      <c r="H1395">
        <v>1</v>
      </c>
      <c r="I1395" s="7">
        <v>1.1216636267886</v>
      </c>
      <c r="J1395" s="6">
        <v>0.58121239550609605</v>
      </c>
      <c r="K1395" s="6">
        <v>0.60348020787262302</v>
      </c>
      <c r="L1395">
        <v>-1.8935943781359701</v>
      </c>
      <c r="M1395">
        <v>0.52872497986356803</v>
      </c>
    </row>
    <row r="1396" spans="1:13" x14ac:dyDescent="0.25">
      <c r="A1396">
        <v>137</v>
      </c>
      <c r="B1396" t="str">
        <f>"TOR1A"</f>
        <v>TOR1A</v>
      </c>
      <c r="C1396" t="str">
        <f>""</f>
        <v/>
      </c>
      <c r="D1396">
        <v>22.135000000000002</v>
      </c>
      <c r="E1396">
        <v>6.1</v>
      </c>
      <c r="F1396">
        <v>2</v>
      </c>
      <c r="G1396">
        <v>1</v>
      </c>
      <c r="H1396">
        <v>1</v>
      </c>
      <c r="I1396" s="7">
        <v>1.1216636267886</v>
      </c>
      <c r="J1396" s="6">
        <v>0.58121239550609605</v>
      </c>
      <c r="K1396" s="6">
        <v>0.60348020787262302</v>
      </c>
      <c r="L1396">
        <v>-1.8935943781359701</v>
      </c>
      <c r="M1396">
        <v>0.52872497986356803</v>
      </c>
    </row>
    <row r="1397" spans="1:13" x14ac:dyDescent="0.25">
      <c r="A1397">
        <v>164</v>
      </c>
      <c r="B1397" t="str">
        <f>"U2SURP"</f>
        <v>U2SURP</v>
      </c>
      <c r="C1397" t="str">
        <f>""</f>
        <v/>
      </c>
      <c r="D1397">
        <v>72.522999999999996</v>
      </c>
      <c r="E1397">
        <v>4.4000000000000004</v>
      </c>
      <c r="F1397">
        <v>2</v>
      </c>
      <c r="G1397">
        <v>1</v>
      </c>
      <c r="H1397">
        <v>1</v>
      </c>
      <c r="I1397" s="7">
        <v>1.1216636267886</v>
      </c>
      <c r="J1397" s="6">
        <v>0.58121239550609605</v>
      </c>
      <c r="K1397" s="6">
        <v>0.60348020787262302</v>
      </c>
      <c r="L1397">
        <v>-1.8935943781359701</v>
      </c>
      <c r="M1397">
        <v>0.52872497986356803</v>
      </c>
    </row>
    <row r="1398" spans="1:13" x14ac:dyDescent="0.25">
      <c r="A1398">
        <v>322</v>
      </c>
      <c r="B1398" t="str">
        <f>"SPAG7"</f>
        <v>SPAG7</v>
      </c>
      <c r="C1398" t="str">
        <f>""</f>
        <v/>
      </c>
      <c r="D1398">
        <v>26.033999999999999</v>
      </c>
      <c r="E1398">
        <v>15.4</v>
      </c>
      <c r="F1398">
        <v>2</v>
      </c>
      <c r="G1398">
        <v>1</v>
      </c>
      <c r="H1398">
        <v>1</v>
      </c>
      <c r="I1398" s="7">
        <v>1.1216636267886</v>
      </c>
      <c r="J1398" s="6">
        <v>0.58121239550609605</v>
      </c>
      <c r="K1398" s="6">
        <v>0.60348020787262302</v>
      </c>
      <c r="L1398">
        <v>-1.8935943781359701</v>
      </c>
      <c r="M1398">
        <v>0.52872497986356803</v>
      </c>
    </row>
    <row r="1399" spans="1:13" x14ac:dyDescent="0.25">
      <c r="A1399">
        <v>359</v>
      </c>
      <c r="B1399" t="str">
        <f>"RSL1D1"</f>
        <v>RSL1D1</v>
      </c>
      <c r="C1399" t="str">
        <f>""</f>
        <v/>
      </c>
      <c r="D1399">
        <v>54.972000000000001</v>
      </c>
      <c r="E1399">
        <v>8.8000000000000007</v>
      </c>
      <c r="F1399">
        <v>2</v>
      </c>
      <c r="G1399">
        <v>1</v>
      </c>
      <c r="H1399">
        <v>1</v>
      </c>
      <c r="I1399" s="7">
        <v>1.1216636267886</v>
      </c>
      <c r="J1399" s="6">
        <v>0.58121239550609605</v>
      </c>
      <c r="K1399" s="6">
        <v>0.60348020787262302</v>
      </c>
      <c r="L1399">
        <v>-1.8935943781359701</v>
      </c>
      <c r="M1399">
        <v>0.52872497986356803</v>
      </c>
    </row>
    <row r="1400" spans="1:13" x14ac:dyDescent="0.25">
      <c r="A1400">
        <v>370</v>
      </c>
      <c r="B1400" t="str">
        <f>"LTN1"</f>
        <v>LTN1</v>
      </c>
      <c r="C1400" t="str">
        <f>""</f>
        <v/>
      </c>
      <c r="D1400">
        <v>200.55</v>
      </c>
      <c r="E1400">
        <v>2.9</v>
      </c>
      <c r="F1400">
        <v>2</v>
      </c>
      <c r="G1400">
        <v>1</v>
      </c>
      <c r="H1400">
        <v>1</v>
      </c>
      <c r="I1400" s="7">
        <v>1.1216636267886</v>
      </c>
      <c r="J1400" s="6">
        <v>0.58121239550609605</v>
      </c>
      <c r="K1400" s="6">
        <v>0.60348020787262302</v>
      </c>
      <c r="L1400">
        <v>-1.8935943781359701</v>
      </c>
      <c r="M1400">
        <v>0.52872497986356803</v>
      </c>
    </row>
    <row r="1401" spans="1:13" x14ac:dyDescent="0.25">
      <c r="A1401">
        <v>621</v>
      </c>
      <c r="B1401" t="str">
        <f>"UBA52;RPS27A;UBB;UBC"</f>
        <v>UBA52;RPS27A;UBB;UBC</v>
      </c>
      <c r="C1401" t="str">
        <f>""</f>
        <v/>
      </c>
      <c r="D1401">
        <v>14.728</v>
      </c>
      <c r="E1401">
        <v>12.5</v>
      </c>
      <c r="F1401">
        <v>2</v>
      </c>
      <c r="G1401">
        <v>1</v>
      </c>
      <c r="H1401">
        <v>1</v>
      </c>
      <c r="I1401" s="7">
        <v>1.1216636267886</v>
      </c>
      <c r="J1401" s="6">
        <v>0.58121239550609605</v>
      </c>
      <c r="K1401" s="6">
        <v>0.60348020787262302</v>
      </c>
      <c r="L1401">
        <v>-1.8935943781359701</v>
      </c>
      <c r="M1401">
        <v>0.52872497986356803</v>
      </c>
    </row>
    <row r="1402" spans="1:13" x14ac:dyDescent="0.25">
      <c r="A1402">
        <v>761</v>
      </c>
      <c r="B1402" t="str">
        <f>"BTF3"</f>
        <v>BTF3</v>
      </c>
      <c r="C1402" t="str">
        <f>""</f>
        <v/>
      </c>
      <c r="D1402">
        <v>22.167999999999999</v>
      </c>
      <c r="E1402">
        <v>7.8</v>
      </c>
      <c r="F1402">
        <v>2</v>
      </c>
      <c r="G1402">
        <v>1</v>
      </c>
      <c r="H1402">
        <v>1</v>
      </c>
      <c r="I1402" s="7">
        <v>1.1216636267886</v>
      </c>
      <c r="J1402" s="6">
        <v>0.58121239550609605</v>
      </c>
      <c r="K1402" s="6">
        <v>0.60348020787262302</v>
      </c>
      <c r="L1402">
        <v>-1.8935943781359701</v>
      </c>
      <c r="M1402">
        <v>0.52872497986356803</v>
      </c>
    </row>
    <row r="1403" spans="1:13" x14ac:dyDescent="0.25">
      <c r="A1403">
        <v>846</v>
      </c>
      <c r="B1403" t="str">
        <f>"MAPK3"</f>
        <v>MAPK3</v>
      </c>
      <c r="C1403" t="str">
        <f>"MAPK3"</f>
        <v>MAPK3</v>
      </c>
      <c r="D1403">
        <v>38.274000000000001</v>
      </c>
      <c r="E1403">
        <v>9.6</v>
      </c>
      <c r="F1403">
        <v>2</v>
      </c>
      <c r="G1403">
        <v>1</v>
      </c>
      <c r="H1403">
        <v>1</v>
      </c>
      <c r="I1403" s="7">
        <v>1.1216636267886</v>
      </c>
      <c r="J1403" s="6">
        <v>0.58121239550609605</v>
      </c>
      <c r="K1403" s="6">
        <v>0.60348020787262302</v>
      </c>
      <c r="L1403">
        <v>-1.8935943781359701</v>
      </c>
      <c r="M1403">
        <v>0.52872497986356803</v>
      </c>
    </row>
    <row r="1404" spans="1:13" x14ac:dyDescent="0.25">
      <c r="A1404">
        <v>960</v>
      </c>
      <c r="B1404" t="str">
        <f>"DEK"</f>
        <v>DEK</v>
      </c>
      <c r="C1404" t="str">
        <f>""</f>
        <v/>
      </c>
      <c r="D1404">
        <v>42.673999999999999</v>
      </c>
      <c r="E1404">
        <v>13.3</v>
      </c>
      <c r="F1404">
        <v>2</v>
      </c>
      <c r="G1404">
        <v>1</v>
      </c>
      <c r="H1404">
        <v>1</v>
      </c>
      <c r="I1404" s="7">
        <v>1.1216636267886</v>
      </c>
      <c r="J1404" s="6">
        <v>0.58121239550609605</v>
      </c>
      <c r="K1404" s="6">
        <v>0.60348020787262302</v>
      </c>
      <c r="L1404">
        <v>-1.8935943781359701</v>
      </c>
      <c r="M1404">
        <v>0.52872497986356803</v>
      </c>
    </row>
    <row r="1405" spans="1:13" x14ac:dyDescent="0.25">
      <c r="A1405">
        <v>1136</v>
      </c>
      <c r="B1405" t="str">
        <f>"SERPINH1"</f>
        <v>SERPINH1</v>
      </c>
      <c r="C1405" t="str">
        <f>""</f>
        <v/>
      </c>
      <c r="D1405">
        <v>46.44</v>
      </c>
      <c r="E1405">
        <v>13.4</v>
      </c>
      <c r="F1405">
        <v>2</v>
      </c>
      <c r="G1405">
        <v>1</v>
      </c>
      <c r="H1405">
        <v>1</v>
      </c>
      <c r="I1405" s="7">
        <v>1.1216636267886</v>
      </c>
      <c r="J1405" s="6">
        <v>0.58121239550609605</v>
      </c>
      <c r="K1405" s="6">
        <v>0.60348020787262302</v>
      </c>
      <c r="L1405">
        <v>-1.8935943781359701</v>
      </c>
      <c r="M1405">
        <v>0.52872497986356803</v>
      </c>
    </row>
    <row r="1406" spans="1:13" x14ac:dyDescent="0.25">
      <c r="A1406">
        <v>1245</v>
      </c>
      <c r="B1406" t="str">
        <f>"ATP5J2"</f>
        <v>ATP5J2</v>
      </c>
      <c r="C1406" t="str">
        <f>""</f>
        <v/>
      </c>
      <c r="D1406">
        <v>6.2953000000000001</v>
      </c>
      <c r="E1406">
        <v>43.6</v>
      </c>
      <c r="F1406">
        <v>2</v>
      </c>
      <c r="G1406">
        <v>1</v>
      </c>
      <c r="H1406">
        <v>1</v>
      </c>
      <c r="I1406" s="7">
        <v>1.1216636267886</v>
      </c>
      <c r="J1406" s="6">
        <v>0.58121239550609605</v>
      </c>
      <c r="K1406" s="6">
        <v>0.60348020787262302</v>
      </c>
      <c r="L1406">
        <v>-1.8935943781359701</v>
      </c>
      <c r="M1406">
        <v>0.52872497986356803</v>
      </c>
    </row>
    <row r="1407" spans="1:13" x14ac:dyDescent="0.25">
      <c r="A1407">
        <v>1488</v>
      </c>
      <c r="B1407" t="str">
        <f>"CD47"</f>
        <v>CD47</v>
      </c>
      <c r="C1407" t="str">
        <f>""</f>
        <v/>
      </c>
      <c r="D1407">
        <v>31.742000000000001</v>
      </c>
      <c r="E1407">
        <v>3.8</v>
      </c>
      <c r="F1407">
        <v>2</v>
      </c>
      <c r="G1407">
        <v>1</v>
      </c>
      <c r="H1407">
        <v>1</v>
      </c>
      <c r="I1407" s="7">
        <v>1.1216636267886</v>
      </c>
      <c r="J1407" s="6">
        <v>0.58121239550609605</v>
      </c>
      <c r="K1407" s="6">
        <v>0.60348020787262302</v>
      </c>
      <c r="L1407">
        <v>-1.8935943781359701</v>
      </c>
      <c r="M1407">
        <v>0.52872497986356803</v>
      </c>
    </row>
    <row r="1408" spans="1:13" x14ac:dyDescent="0.25">
      <c r="A1408">
        <v>1511</v>
      </c>
      <c r="B1408" t="str">
        <f>"SMARCB1"</f>
        <v>SMARCB1</v>
      </c>
      <c r="C1408" t="str">
        <f>""</f>
        <v/>
      </c>
      <c r="D1408">
        <v>43.158000000000001</v>
      </c>
      <c r="E1408">
        <v>3.7</v>
      </c>
      <c r="F1408">
        <v>2</v>
      </c>
      <c r="G1408">
        <v>1</v>
      </c>
      <c r="H1408">
        <v>1</v>
      </c>
      <c r="I1408" s="7">
        <v>1.1216636267886</v>
      </c>
      <c r="J1408" s="6">
        <v>0.58121239550609605</v>
      </c>
      <c r="K1408" s="6">
        <v>0.60348020787262302</v>
      </c>
      <c r="L1408">
        <v>-1.8935943781359701</v>
      </c>
      <c r="M1408">
        <v>0.52872497986356803</v>
      </c>
    </row>
    <row r="1409" spans="1:13" x14ac:dyDescent="0.25">
      <c r="A1409">
        <v>1638</v>
      </c>
      <c r="B1409" t="str">
        <f>"EIF4A2"</f>
        <v>EIF4A2</v>
      </c>
      <c r="C1409" t="str">
        <f>""</f>
        <v/>
      </c>
      <c r="D1409">
        <v>46.402000000000001</v>
      </c>
      <c r="E1409">
        <v>13</v>
      </c>
      <c r="F1409">
        <v>2</v>
      </c>
      <c r="G1409">
        <v>1</v>
      </c>
      <c r="H1409">
        <v>1</v>
      </c>
      <c r="I1409" s="7">
        <v>1.1216636267886</v>
      </c>
      <c r="J1409" s="6">
        <v>0.58121239550609605</v>
      </c>
      <c r="K1409" s="6">
        <v>0.60348020787262302</v>
      </c>
      <c r="L1409">
        <v>-1.8935943781359701</v>
      </c>
      <c r="M1409">
        <v>0.52872497986356803</v>
      </c>
    </row>
    <row r="1410" spans="1:13" x14ac:dyDescent="0.25">
      <c r="A1410">
        <v>1640</v>
      </c>
      <c r="B1410" t="str">
        <f>"CTTN"</f>
        <v>CTTN</v>
      </c>
      <c r="C1410" t="str">
        <f>""</f>
        <v/>
      </c>
      <c r="D1410">
        <v>61.585000000000001</v>
      </c>
      <c r="E1410">
        <v>2</v>
      </c>
      <c r="F1410">
        <v>2</v>
      </c>
      <c r="G1410">
        <v>1</v>
      </c>
      <c r="H1410">
        <v>1</v>
      </c>
      <c r="I1410" s="7">
        <v>1.1216636267886</v>
      </c>
      <c r="J1410" s="6">
        <v>0.58121239550609605</v>
      </c>
      <c r="K1410" s="6">
        <v>0.60348020787262302</v>
      </c>
      <c r="L1410">
        <v>-1.8935943781359701</v>
      </c>
      <c r="M1410">
        <v>0.52872497986356803</v>
      </c>
    </row>
    <row r="1411" spans="1:13" x14ac:dyDescent="0.25">
      <c r="A1411">
        <v>1674</v>
      </c>
      <c r="B1411" t="str">
        <f>"ZNF638"</f>
        <v>ZNF638</v>
      </c>
      <c r="C1411" t="str">
        <f>""</f>
        <v/>
      </c>
      <c r="D1411">
        <v>218.24</v>
      </c>
      <c r="E1411">
        <v>3.1</v>
      </c>
      <c r="F1411">
        <v>2</v>
      </c>
      <c r="G1411">
        <v>1</v>
      </c>
      <c r="H1411">
        <v>1</v>
      </c>
      <c r="I1411" s="7">
        <v>1.1216636267886</v>
      </c>
      <c r="J1411" s="6">
        <v>0.58121239550609605</v>
      </c>
      <c r="K1411" s="6">
        <v>0.60348020787262302</v>
      </c>
      <c r="L1411">
        <v>-1.8935943781359701</v>
      </c>
      <c r="M1411">
        <v>0.52872497986356803</v>
      </c>
    </row>
    <row r="1412" spans="1:13" x14ac:dyDescent="0.25">
      <c r="A1412">
        <v>1687</v>
      </c>
      <c r="B1412" t="str">
        <f>"MORF4L2"</f>
        <v>MORF4L2</v>
      </c>
      <c r="C1412" t="str">
        <f>""</f>
        <v/>
      </c>
      <c r="D1412">
        <v>32.307000000000002</v>
      </c>
      <c r="E1412">
        <v>9</v>
      </c>
      <c r="F1412">
        <v>2</v>
      </c>
      <c r="G1412">
        <v>1</v>
      </c>
      <c r="H1412">
        <v>1</v>
      </c>
      <c r="I1412" s="7">
        <v>1.1216636267886</v>
      </c>
      <c r="J1412" s="6">
        <v>0.58121239550609605</v>
      </c>
      <c r="K1412" s="6">
        <v>0.60348020787262302</v>
      </c>
      <c r="L1412">
        <v>-1.8935943781359701</v>
      </c>
      <c r="M1412">
        <v>0.52872497986356803</v>
      </c>
    </row>
    <row r="1413" spans="1:13" x14ac:dyDescent="0.25">
      <c r="A1413">
        <v>1695</v>
      </c>
      <c r="B1413" t="str">
        <f>"LARS2"</f>
        <v>LARS2</v>
      </c>
      <c r="C1413" t="str">
        <f>""</f>
        <v/>
      </c>
      <c r="D1413">
        <v>101.97</v>
      </c>
      <c r="E1413">
        <v>2.2000000000000002</v>
      </c>
      <c r="F1413">
        <v>2</v>
      </c>
      <c r="G1413">
        <v>1</v>
      </c>
      <c r="H1413">
        <v>1</v>
      </c>
      <c r="I1413" s="7">
        <v>1.1216636267886</v>
      </c>
      <c r="J1413" s="6">
        <v>0.58121239550609605</v>
      </c>
      <c r="K1413" s="6">
        <v>0.60348020787262302</v>
      </c>
      <c r="L1413">
        <v>-1.8935943781359701</v>
      </c>
      <c r="M1413">
        <v>0.52872497986356803</v>
      </c>
    </row>
    <row r="1414" spans="1:13" x14ac:dyDescent="0.25">
      <c r="A1414">
        <v>1725</v>
      </c>
      <c r="B1414" t="str">
        <f>"RSU1"</f>
        <v>RSU1</v>
      </c>
      <c r="C1414" t="str">
        <f>""</f>
        <v/>
      </c>
      <c r="D1414">
        <v>25.545000000000002</v>
      </c>
      <c r="E1414">
        <v>16.5</v>
      </c>
      <c r="F1414">
        <v>2</v>
      </c>
      <c r="G1414">
        <v>1</v>
      </c>
      <c r="H1414">
        <v>1</v>
      </c>
      <c r="I1414" s="7">
        <v>1.1216636267886</v>
      </c>
      <c r="J1414" s="6">
        <v>0.58121239550609605</v>
      </c>
      <c r="K1414" s="6">
        <v>0.60348020787262302</v>
      </c>
      <c r="L1414">
        <v>-1.8935943781359701</v>
      </c>
      <c r="M1414">
        <v>0.52872497986356803</v>
      </c>
    </row>
    <row r="1415" spans="1:13" x14ac:dyDescent="0.25">
      <c r="A1415">
        <v>1809</v>
      </c>
      <c r="B1415" t="str">
        <f>"CCDC88A"</f>
        <v>CCDC88A</v>
      </c>
      <c r="C1415" t="str">
        <f>""</f>
        <v/>
      </c>
      <c r="D1415">
        <v>207.79</v>
      </c>
      <c r="E1415">
        <v>4</v>
      </c>
      <c r="F1415">
        <v>2</v>
      </c>
      <c r="G1415">
        <v>1</v>
      </c>
      <c r="H1415">
        <v>1</v>
      </c>
      <c r="I1415" s="7">
        <v>1.1216636267886</v>
      </c>
      <c r="J1415" s="6">
        <v>0.58121239550609605</v>
      </c>
      <c r="K1415" s="6">
        <v>0.60348020787262302</v>
      </c>
      <c r="L1415">
        <v>-1.8935943781359701</v>
      </c>
      <c r="M1415">
        <v>0.52872497986356803</v>
      </c>
    </row>
    <row r="1416" spans="1:13" x14ac:dyDescent="0.25">
      <c r="A1416">
        <v>1831</v>
      </c>
      <c r="B1416" t="str">
        <f>"LACTB2"</f>
        <v>LACTB2</v>
      </c>
      <c r="C1416" t="str">
        <f>""</f>
        <v/>
      </c>
      <c r="D1416">
        <v>32.805</v>
      </c>
      <c r="E1416">
        <v>9</v>
      </c>
      <c r="F1416">
        <v>2</v>
      </c>
      <c r="G1416">
        <v>1</v>
      </c>
      <c r="H1416">
        <v>1</v>
      </c>
      <c r="I1416" s="7">
        <v>1.1216636267886</v>
      </c>
      <c r="J1416" s="6">
        <v>0.58121239550609605</v>
      </c>
      <c r="K1416" s="6">
        <v>0.60348020787262302</v>
      </c>
      <c r="L1416">
        <v>-1.8935943781359701</v>
      </c>
      <c r="M1416">
        <v>0.52872497986356803</v>
      </c>
    </row>
    <row r="1417" spans="1:13" x14ac:dyDescent="0.25">
      <c r="A1417">
        <v>1863</v>
      </c>
      <c r="B1417" t="str">
        <f>"STXBP5"</f>
        <v>STXBP5</v>
      </c>
      <c r="C1417" t="str">
        <f>""</f>
        <v/>
      </c>
      <c r="D1417">
        <v>121.6</v>
      </c>
      <c r="E1417">
        <v>1.4</v>
      </c>
      <c r="F1417">
        <v>2</v>
      </c>
      <c r="G1417">
        <v>1</v>
      </c>
      <c r="H1417">
        <v>1</v>
      </c>
      <c r="I1417" s="7">
        <v>1.1216636267886</v>
      </c>
      <c r="J1417" s="6">
        <v>0.58121239550609605</v>
      </c>
      <c r="K1417" s="6">
        <v>0.60348020787262302</v>
      </c>
      <c r="L1417">
        <v>-1.8935943781359701</v>
      </c>
      <c r="M1417">
        <v>0.52872497986356803</v>
      </c>
    </row>
    <row r="1418" spans="1:13" x14ac:dyDescent="0.25">
      <c r="A1418">
        <v>1894</v>
      </c>
      <c r="B1418" t="str">
        <f>"TBC1D9B"</f>
        <v>TBC1D9B</v>
      </c>
      <c r="C1418" t="str">
        <f>""</f>
        <v/>
      </c>
      <c r="D1418">
        <v>138.66999999999999</v>
      </c>
      <c r="E1418">
        <v>2</v>
      </c>
      <c r="F1418">
        <v>2</v>
      </c>
      <c r="G1418">
        <v>1</v>
      </c>
      <c r="H1418">
        <v>1</v>
      </c>
      <c r="I1418" s="7">
        <v>1.1216636267886</v>
      </c>
      <c r="J1418" s="6">
        <v>0.58121239550609605</v>
      </c>
      <c r="K1418" s="6">
        <v>0.60348020787262302</v>
      </c>
      <c r="L1418">
        <v>-1.8935943781359701</v>
      </c>
      <c r="M1418">
        <v>0.52872497986356803</v>
      </c>
    </row>
    <row r="1419" spans="1:13" x14ac:dyDescent="0.25">
      <c r="A1419">
        <v>1898</v>
      </c>
      <c r="B1419" t="str">
        <f>"HAUS3"</f>
        <v>HAUS3</v>
      </c>
      <c r="C1419" t="str">
        <f>""</f>
        <v/>
      </c>
      <c r="D1419">
        <v>56.384</v>
      </c>
      <c r="E1419">
        <v>4.5</v>
      </c>
      <c r="F1419">
        <v>2</v>
      </c>
      <c r="G1419">
        <v>1</v>
      </c>
      <c r="H1419">
        <v>1</v>
      </c>
      <c r="I1419" s="7">
        <v>1.1216636267886</v>
      </c>
      <c r="J1419" s="6">
        <v>0.58121239550609605</v>
      </c>
      <c r="K1419" s="6">
        <v>0.60348020787262302</v>
      </c>
      <c r="L1419">
        <v>-1.8935943781359701</v>
      </c>
      <c r="M1419">
        <v>0.52872497986356803</v>
      </c>
    </row>
    <row r="1420" spans="1:13" x14ac:dyDescent="0.25">
      <c r="A1420">
        <v>1990</v>
      </c>
      <c r="B1420" t="str">
        <f>"ACAD11"</f>
        <v>ACAD11</v>
      </c>
      <c r="C1420" t="str">
        <f>""</f>
        <v/>
      </c>
      <c r="D1420">
        <v>87.263000000000005</v>
      </c>
      <c r="E1420">
        <v>3.6</v>
      </c>
      <c r="F1420">
        <v>2</v>
      </c>
      <c r="G1420">
        <v>1</v>
      </c>
      <c r="H1420">
        <v>1</v>
      </c>
      <c r="I1420" s="7">
        <v>1.1216636267886</v>
      </c>
      <c r="J1420" s="6">
        <v>0.58121239550609605</v>
      </c>
      <c r="K1420" s="6">
        <v>0.60348020787262302</v>
      </c>
      <c r="L1420">
        <v>-1.8935943781359701</v>
      </c>
      <c r="M1420">
        <v>0.52872497986356803</v>
      </c>
    </row>
    <row r="1421" spans="1:13" x14ac:dyDescent="0.25">
      <c r="A1421">
        <v>2081</v>
      </c>
      <c r="B1421" t="str">
        <f>"GATAD2A"</f>
        <v>GATAD2A</v>
      </c>
      <c r="C1421" t="str">
        <f>""</f>
        <v/>
      </c>
      <c r="D1421">
        <v>65.224999999999994</v>
      </c>
      <c r="E1421">
        <v>4.3</v>
      </c>
      <c r="F1421">
        <v>2</v>
      </c>
      <c r="G1421">
        <v>1</v>
      </c>
      <c r="H1421">
        <v>1</v>
      </c>
      <c r="I1421" s="7">
        <v>1.1216636267886</v>
      </c>
      <c r="J1421" s="6">
        <v>0.58121239550609605</v>
      </c>
      <c r="K1421" s="6">
        <v>0.60348020787262302</v>
      </c>
      <c r="L1421">
        <v>-1.8935943781359701</v>
      </c>
      <c r="M1421">
        <v>0.52872497986356803</v>
      </c>
    </row>
    <row r="1422" spans="1:13" x14ac:dyDescent="0.25">
      <c r="A1422">
        <v>2145</v>
      </c>
      <c r="B1422" t="str">
        <f>""</f>
        <v/>
      </c>
      <c r="C1422" t="str">
        <f>""</f>
        <v/>
      </c>
      <c r="D1422">
        <v>15.396000000000001</v>
      </c>
      <c r="E1422">
        <v>12</v>
      </c>
      <c r="F1422">
        <v>2</v>
      </c>
      <c r="G1422">
        <v>1</v>
      </c>
      <c r="H1422">
        <v>1</v>
      </c>
      <c r="I1422" s="7">
        <v>1.1216636267886</v>
      </c>
      <c r="J1422" s="6">
        <v>0.58121239550609605</v>
      </c>
      <c r="K1422" s="6">
        <v>0.60348020787262302</v>
      </c>
      <c r="L1422">
        <v>-1.8935943781359701</v>
      </c>
      <c r="M1422">
        <v>0.52872497986356803</v>
      </c>
    </row>
    <row r="1423" spans="1:13" x14ac:dyDescent="0.25">
      <c r="A1423">
        <v>2271</v>
      </c>
      <c r="B1423" t="str">
        <f>"NCSTN"</f>
        <v>NCSTN</v>
      </c>
      <c r="C1423" t="str">
        <f>""</f>
        <v/>
      </c>
      <c r="D1423">
        <v>76.742999999999995</v>
      </c>
      <c r="E1423">
        <v>2.5</v>
      </c>
      <c r="F1423">
        <v>2</v>
      </c>
      <c r="G1423">
        <v>1</v>
      </c>
      <c r="H1423">
        <v>1</v>
      </c>
      <c r="I1423" s="7">
        <v>1.1216636267886</v>
      </c>
      <c r="J1423" s="6">
        <v>0.58121239550609605</v>
      </c>
      <c r="K1423" s="6">
        <v>0.60348020787262302</v>
      </c>
      <c r="L1423">
        <v>-1.8935943781359701</v>
      </c>
      <c r="M1423">
        <v>0.52872497986356803</v>
      </c>
    </row>
    <row r="1424" spans="1:13" x14ac:dyDescent="0.25">
      <c r="A1424">
        <v>2352</v>
      </c>
      <c r="B1424" t="str">
        <f>"CCDC124"</f>
        <v>CCDC124</v>
      </c>
      <c r="C1424" t="str">
        <f>""</f>
        <v/>
      </c>
      <c r="D1424">
        <v>25.835000000000001</v>
      </c>
      <c r="E1424">
        <v>14.3</v>
      </c>
      <c r="F1424">
        <v>2</v>
      </c>
      <c r="G1424">
        <v>1</v>
      </c>
      <c r="H1424">
        <v>1</v>
      </c>
      <c r="I1424" s="7">
        <v>1.1216636267886</v>
      </c>
      <c r="J1424" s="6">
        <v>0.58121239550609605</v>
      </c>
      <c r="K1424" s="6">
        <v>0.60348020787262302</v>
      </c>
      <c r="L1424">
        <v>-1.8935943781359701</v>
      </c>
      <c r="M1424">
        <v>0.52872497986356803</v>
      </c>
    </row>
    <row r="1425" spans="1:13" x14ac:dyDescent="0.25">
      <c r="A1425">
        <v>2460</v>
      </c>
      <c r="B1425" t="str">
        <f>"SIN3A"</f>
        <v>SIN3A</v>
      </c>
      <c r="C1425" t="str">
        <f>""</f>
        <v/>
      </c>
      <c r="D1425">
        <v>145.16999999999999</v>
      </c>
      <c r="E1425">
        <v>2.2999999999999998</v>
      </c>
      <c r="F1425">
        <v>2</v>
      </c>
      <c r="G1425">
        <v>1</v>
      </c>
      <c r="H1425">
        <v>1</v>
      </c>
      <c r="I1425" s="7">
        <v>1.1216636267886</v>
      </c>
      <c r="J1425" s="6">
        <v>0.58121239550609605</v>
      </c>
      <c r="K1425" s="6">
        <v>0.60348020787262302</v>
      </c>
      <c r="L1425">
        <v>-1.8935943781359701</v>
      </c>
      <c r="M1425">
        <v>0.52872497986356803</v>
      </c>
    </row>
    <row r="1426" spans="1:13" x14ac:dyDescent="0.25">
      <c r="A1426">
        <v>2486</v>
      </c>
      <c r="B1426" t="str">
        <f>"KIF2C"</f>
        <v>KIF2C</v>
      </c>
      <c r="C1426" t="str">
        <f>""</f>
        <v/>
      </c>
      <c r="D1426">
        <v>75.561000000000007</v>
      </c>
      <c r="E1426">
        <v>1.9</v>
      </c>
      <c r="F1426">
        <v>2</v>
      </c>
      <c r="G1426">
        <v>1</v>
      </c>
      <c r="H1426">
        <v>1</v>
      </c>
      <c r="I1426" s="7">
        <v>1.1216636267886</v>
      </c>
      <c r="J1426" s="6">
        <v>0.58121239550609605</v>
      </c>
      <c r="K1426" s="6">
        <v>0.60348020787262302</v>
      </c>
      <c r="L1426">
        <v>-1.8935943781359701</v>
      </c>
      <c r="M1426">
        <v>0.52872497986356803</v>
      </c>
    </row>
    <row r="1427" spans="1:13" x14ac:dyDescent="0.25">
      <c r="A1427">
        <v>2495</v>
      </c>
      <c r="B1427" t="str">
        <f>"TM9SF2"</f>
        <v>TM9SF2</v>
      </c>
      <c r="C1427" t="str">
        <f>""</f>
        <v/>
      </c>
      <c r="D1427">
        <v>75.775000000000006</v>
      </c>
      <c r="E1427">
        <v>1.8</v>
      </c>
      <c r="F1427">
        <v>2</v>
      </c>
      <c r="G1427">
        <v>1</v>
      </c>
      <c r="H1427">
        <v>1</v>
      </c>
      <c r="I1427" s="7">
        <v>1.1216636267886</v>
      </c>
      <c r="J1427" s="6">
        <v>0.58121239550609605</v>
      </c>
      <c r="K1427" s="6">
        <v>0.60348020787262302</v>
      </c>
      <c r="L1427">
        <v>-1.8935943781359701</v>
      </c>
      <c r="M1427">
        <v>0.52872497986356803</v>
      </c>
    </row>
    <row r="1428" spans="1:13" x14ac:dyDescent="0.25">
      <c r="A1428">
        <v>2673</v>
      </c>
      <c r="B1428" t="str">
        <f>"POFUT1"</f>
        <v>POFUT1</v>
      </c>
      <c r="C1428" t="str">
        <f>""</f>
        <v/>
      </c>
      <c r="D1428">
        <v>22.338000000000001</v>
      </c>
      <c r="E1428">
        <v>5.7</v>
      </c>
      <c r="F1428">
        <v>2</v>
      </c>
      <c r="G1428">
        <v>1</v>
      </c>
      <c r="H1428">
        <v>1</v>
      </c>
      <c r="I1428" s="7">
        <v>1.1216636267886</v>
      </c>
      <c r="J1428" s="6">
        <v>0.58121239550609605</v>
      </c>
      <c r="K1428" s="6">
        <v>0.60348020787262302</v>
      </c>
      <c r="L1428">
        <v>-1.8935943781359701</v>
      </c>
      <c r="M1428">
        <v>0.52872497986356803</v>
      </c>
    </row>
    <row r="1429" spans="1:13" x14ac:dyDescent="0.25">
      <c r="A1429">
        <v>2742</v>
      </c>
      <c r="B1429" t="str">
        <f>"GPN1"</f>
        <v>GPN1</v>
      </c>
      <c r="C1429" t="str">
        <f>""</f>
        <v/>
      </c>
      <c r="D1429">
        <v>31.832000000000001</v>
      </c>
      <c r="E1429">
        <v>5.7</v>
      </c>
      <c r="F1429">
        <v>2</v>
      </c>
      <c r="G1429">
        <v>1</v>
      </c>
      <c r="H1429">
        <v>1</v>
      </c>
      <c r="I1429" s="7">
        <v>1.1216636267886</v>
      </c>
      <c r="J1429" s="6">
        <v>0.58121239550609605</v>
      </c>
      <c r="K1429" s="6">
        <v>0.60348020787262302</v>
      </c>
      <c r="L1429">
        <v>-1.8935943781359701</v>
      </c>
      <c r="M1429">
        <v>0.52872497986356803</v>
      </c>
    </row>
    <row r="1430" spans="1:13" x14ac:dyDescent="0.25">
      <c r="A1430">
        <v>2812</v>
      </c>
      <c r="B1430" t="str">
        <f>"TXLNG"</f>
        <v>TXLNG</v>
      </c>
      <c r="C1430" t="str">
        <f>""</f>
        <v/>
      </c>
      <c r="D1430">
        <v>46.250999999999998</v>
      </c>
      <c r="E1430">
        <v>5.3</v>
      </c>
      <c r="F1430">
        <v>2</v>
      </c>
      <c r="G1430">
        <v>1</v>
      </c>
      <c r="H1430">
        <v>1</v>
      </c>
      <c r="I1430" s="7">
        <v>1.1216636267886</v>
      </c>
      <c r="J1430" s="6">
        <v>0.58121239550609605</v>
      </c>
      <c r="K1430" s="6">
        <v>0.60348020787262302</v>
      </c>
      <c r="L1430">
        <v>-1.8935943781359701</v>
      </c>
      <c r="M1430">
        <v>0.52872497986356803</v>
      </c>
    </row>
    <row r="1431" spans="1:13" x14ac:dyDescent="0.25">
      <c r="A1431">
        <v>2886</v>
      </c>
      <c r="B1431" t="str">
        <f>"RAI14"</f>
        <v>RAI14</v>
      </c>
      <c r="C1431" t="str">
        <f>""</f>
        <v/>
      </c>
      <c r="D1431">
        <v>106.9</v>
      </c>
      <c r="E1431">
        <v>1.1000000000000001</v>
      </c>
      <c r="F1431">
        <v>2</v>
      </c>
      <c r="G1431">
        <v>1</v>
      </c>
      <c r="H1431">
        <v>1</v>
      </c>
      <c r="I1431" s="7">
        <v>1.1216636267886</v>
      </c>
      <c r="J1431" s="6">
        <v>0.58121239550609605</v>
      </c>
      <c r="K1431" s="6">
        <v>0.60348020787262302</v>
      </c>
      <c r="L1431">
        <v>-1.8935943781359701</v>
      </c>
      <c r="M1431">
        <v>0.52872497986356803</v>
      </c>
    </row>
    <row r="1432" spans="1:13" x14ac:dyDescent="0.25">
      <c r="A1432">
        <v>2887</v>
      </c>
      <c r="B1432" t="str">
        <f>"VAPA"</f>
        <v>VAPA</v>
      </c>
      <c r="C1432" t="str">
        <f>""</f>
        <v/>
      </c>
      <c r="D1432">
        <v>27.893000000000001</v>
      </c>
      <c r="E1432">
        <v>17.3</v>
      </c>
      <c r="F1432">
        <v>2</v>
      </c>
      <c r="G1432">
        <v>1</v>
      </c>
      <c r="H1432">
        <v>1</v>
      </c>
      <c r="I1432" s="7">
        <v>1.1216636267886</v>
      </c>
      <c r="J1432" s="6">
        <v>0.58121239550609605</v>
      </c>
      <c r="K1432" s="6">
        <v>0.60348020787262302</v>
      </c>
      <c r="L1432">
        <v>-1.8935943781359701</v>
      </c>
      <c r="M1432">
        <v>0.52872497986356803</v>
      </c>
    </row>
    <row r="1433" spans="1:13" x14ac:dyDescent="0.25">
      <c r="A1433">
        <v>2983</v>
      </c>
      <c r="B1433" t="str">
        <f>"AGO2;AGO3;AGO1;AGO4"</f>
        <v>AGO2;AGO3;AGO1;AGO4</v>
      </c>
      <c r="C1433" t="str">
        <f>""</f>
        <v/>
      </c>
      <c r="D1433">
        <v>93.619</v>
      </c>
      <c r="E1433">
        <v>6.2</v>
      </c>
      <c r="F1433">
        <v>2</v>
      </c>
      <c r="G1433">
        <v>1</v>
      </c>
      <c r="H1433">
        <v>1</v>
      </c>
      <c r="I1433" s="7">
        <v>1.1216636267886</v>
      </c>
      <c r="J1433" s="6">
        <v>0.58121239550609605</v>
      </c>
      <c r="K1433" s="6">
        <v>0.60348020787262302</v>
      </c>
      <c r="L1433">
        <v>-1.8935943781359701</v>
      </c>
      <c r="M1433">
        <v>0.52872497986356803</v>
      </c>
    </row>
    <row r="1434" spans="1:13" x14ac:dyDescent="0.25">
      <c r="A1434">
        <v>2991</v>
      </c>
      <c r="B1434" t="str">
        <f>"DNPEP"</f>
        <v>DNPEP</v>
      </c>
      <c r="C1434" t="str">
        <f>""</f>
        <v/>
      </c>
      <c r="D1434">
        <v>52.427999999999997</v>
      </c>
      <c r="E1434">
        <v>3.2</v>
      </c>
      <c r="F1434">
        <v>2</v>
      </c>
      <c r="G1434">
        <v>1</v>
      </c>
      <c r="H1434">
        <v>1</v>
      </c>
      <c r="I1434" s="7">
        <v>1.1216636267886</v>
      </c>
      <c r="J1434" s="6">
        <v>0.58121239550609605</v>
      </c>
      <c r="K1434" s="6">
        <v>0.60348020787262302</v>
      </c>
      <c r="L1434">
        <v>-1.8935943781359701</v>
      </c>
      <c r="M1434">
        <v>0.52872497986356803</v>
      </c>
    </row>
    <row r="1435" spans="1:13" x14ac:dyDescent="0.25">
      <c r="A1435">
        <v>1681</v>
      </c>
      <c r="B1435" t="str">
        <f>"GAPVD1"</f>
        <v>GAPVD1</v>
      </c>
      <c r="C1435" t="str">
        <f>""</f>
        <v/>
      </c>
      <c r="D1435">
        <v>159.75</v>
      </c>
      <c r="E1435">
        <v>6.4</v>
      </c>
      <c r="F1435">
        <v>3</v>
      </c>
      <c r="G1435">
        <v>2</v>
      </c>
      <c r="H1435">
        <v>9</v>
      </c>
      <c r="I1435" s="7">
        <v>1.68249544018291</v>
      </c>
      <c r="J1435" s="6">
        <v>1.1624247910121901</v>
      </c>
      <c r="K1435" s="6">
        <v>5.4313218708536004</v>
      </c>
      <c r="L1435">
        <v>1.95951397679538</v>
      </c>
      <c r="M1435">
        <v>0.53079829005280299</v>
      </c>
    </row>
    <row r="1436" spans="1:13" x14ac:dyDescent="0.25">
      <c r="A1436">
        <v>954</v>
      </c>
      <c r="B1436" t="str">
        <f>"MYH10"</f>
        <v>MYH10</v>
      </c>
      <c r="C1436" t="str">
        <f>""</f>
        <v/>
      </c>
      <c r="D1436">
        <v>229</v>
      </c>
      <c r="E1436">
        <v>10.7</v>
      </c>
      <c r="F1436">
        <v>11</v>
      </c>
      <c r="G1436">
        <v>15</v>
      </c>
      <c r="H1436">
        <v>11</v>
      </c>
      <c r="I1436" s="7">
        <v>6.1691499473373197</v>
      </c>
      <c r="J1436" s="6">
        <v>8.7181859325914495</v>
      </c>
      <c r="K1436" s="6">
        <v>6.6382822865988498</v>
      </c>
      <c r="L1436">
        <v>1.24461784445832</v>
      </c>
      <c r="M1436">
        <v>0.53464396063039998</v>
      </c>
    </row>
    <row r="1437" spans="1:13" x14ac:dyDescent="0.25">
      <c r="A1437">
        <v>937</v>
      </c>
      <c r="B1437" t="str">
        <f>"HSPA4"</f>
        <v>HSPA4</v>
      </c>
      <c r="C1437" t="str">
        <f>""</f>
        <v/>
      </c>
      <c r="D1437">
        <v>94.33</v>
      </c>
      <c r="E1437">
        <v>18.100000000000001</v>
      </c>
      <c r="F1437">
        <v>9</v>
      </c>
      <c r="G1437">
        <v>7</v>
      </c>
      <c r="H1437">
        <v>6</v>
      </c>
      <c r="I1437" s="7">
        <v>5.0474863205487202</v>
      </c>
      <c r="J1437" s="6">
        <v>4.0684867685426802</v>
      </c>
      <c r="K1437" s="6">
        <v>3.6208812472357401</v>
      </c>
      <c r="L1437">
        <v>-1.3128481587020899</v>
      </c>
      <c r="M1437">
        <v>0.53786225214210004</v>
      </c>
    </row>
    <row r="1438" spans="1:13" x14ac:dyDescent="0.25">
      <c r="A1438">
        <v>1643</v>
      </c>
      <c r="B1438" t="str">
        <f>"FLNC"</f>
        <v>FLNC</v>
      </c>
      <c r="C1438" t="str">
        <f>""</f>
        <v/>
      </c>
      <c r="D1438">
        <v>287.27999999999997</v>
      </c>
      <c r="E1438">
        <v>6.3</v>
      </c>
      <c r="F1438">
        <v>9</v>
      </c>
      <c r="G1438">
        <v>7</v>
      </c>
      <c r="H1438">
        <v>6</v>
      </c>
      <c r="I1438" s="7">
        <v>5.0474863205487202</v>
      </c>
      <c r="J1438" s="6">
        <v>4.0684867685426802</v>
      </c>
      <c r="K1438" s="6">
        <v>3.6208812472357401</v>
      </c>
      <c r="L1438">
        <v>-1.3128481587020899</v>
      </c>
      <c r="M1438">
        <v>0.53786225214210004</v>
      </c>
    </row>
    <row r="1439" spans="1:13" x14ac:dyDescent="0.25">
      <c r="A1439">
        <v>1283</v>
      </c>
      <c r="B1439" t="str">
        <f>"ABCE1"</f>
        <v>ABCE1</v>
      </c>
      <c r="C1439" t="str">
        <f>""</f>
        <v/>
      </c>
      <c r="D1439">
        <v>67.313999999999993</v>
      </c>
      <c r="E1439">
        <v>7.5</v>
      </c>
      <c r="F1439">
        <v>5</v>
      </c>
      <c r="G1439">
        <v>6</v>
      </c>
      <c r="H1439">
        <v>7</v>
      </c>
      <c r="I1439" s="7">
        <v>2.80415906697151</v>
      </c>
      <c r="J1439" s="6">
        <v>3.4872743730365801</v>
      </c>
      <c r="K1439" s="6">
        <v>4.2243614551083599</v>
      </c>
      <c r="L1439">
        <v>1.37503537494995</v>
      </c>
      <c r="M1439">
        <v>0.54051871580329103</v>
      </c>
    </row>
    <row r="1440" spans="1:13" x14ac:dyDescent="0.25">
      <c r="A1440">
        <v>114</v>
      </c>
      <c r="B1440" t="str">
        <f>"DNM1L"</f>
        <v>DNM1L</v>
      </c>
      <c r="C1440" t="str">
        <f>""</f>
        <v/>
      </c>
      <c r="D1440">
        <v>78.099000000000004</v>
      </c>
      <c r="E1440">
        <v>13</v>
      </c>
      <c r="F1440">
        <v>5</v>
      </c>
      <c r="G1440">
        <v>7</v>
      </c>
      <c r="H1440">
        <v>6</v>
      </c>
      <c r="I1440" s="7">
        <v>2.80415906697151</v>
      </c>
      <c r="J1440" s="6">
        <v>4.0684867685426802</v>
      </c>
      <c r="K1440" s="6">
        <v>3.6208812472357401</v>
      </c>
      <c r="L1440">
        <v>1.3710648775860901</v>
      </c>
      <c r="M1440">
        <v>0.54051874399280198</v>
      </c>
    </row>
    <row r="1441" spans="1:13" x14ac:dyDescent="0.25">
      <c r="A1441">
        <v>991</v>
      </c>
      <c r="B1441" t="str">
        <f>"FEN1"</f>
        <v>FEN1</v>
      </c>
      <c r="C1441" t="str">
        <f>""</f>
        <v/>
      </c>
      <c r="D1441">
        <v>35.673000000000002</v>
      </c>
      <c r="E1441">
        <v>6.3</v>
      </c>
      <c r="F1441">
        <v>5</v>
      </c>
      <c r="G1441">
        <v>7</v>
      </c>
      <c r="H1441">
        <v>6</v>
      </c>
      <c r="I1441" s="7">
        <v>2.80415906697151</v>
      </c>
      <c r="J1441" s="6">
        <v>4.0684867685426802</v>
      </c>
      <c r="K1441" s="6">
        <v>3.6208812472357401</v>
      </c>
      <c r="L1441">
        <v>1.3710648775860901</v>
      </c>
      <c r="M1441">
        <v>0.54051874399280198</v>
      </c>
    </row>
    <row r="1442" spans="1:13" x14ac:dyDescent="0.25">
      <c r="A1442">
        <v>53</v>
      </c>
      <c r="B1442" t="str">
        <f>""</f>
        <v/>
      </c>
      <c r="C1442" t="str">
        <f>""</f>
        <v/>
      </c>
      <c r="D1442">
        <v>49.585999999999999</v>
      </c>
      <c r="E1442">
        <v>16.2</v>
      </c>
      <c r="F1442">
        <v>4</v>
      </c>
      <c r="G1442">
        <v>4</v>
      </c>
      <c r="H1442">
        <v>1</v>
      </c>
      <c r="I1442" s="7">
        <v>2.2433272535772102</v>
      </c>
      <c r="J1442" s="6">
        <v>2.32484958202439</v>
      </c>
      <c r="K1442" s="6">
        <v>0.60348020787262302</v>
      </c>
      <c r="L1442">
        <v>-1.5321547875631201</v>
      </c>
      <c r="M1442">
        <v>0.54069197517828604</v>
      </c>
    </row>
    <row r="1443" spans="1:13" x14ac:dyDescent="0.25">
      <c r="A1443">
        <v>388</v>
      </c>
      <c r="B1443" t="str">
        <f>"RTN3"</f>
        <v>RTN3</v>
      </c>
      <c r="C1443" t="str">
        <f>""</f>
        <v/>
      </c>
      <c r="D1443">
        <v>25.609000000000002</v>
      </c>
      <c r="E1443">
        <v>5.5</v>
      </c>
      <c r="F1443">
        <v>4</v>
      </c>
      <c r="G1443">
        <v>1</v>
      </c>
      <c r="H1443">
        <v>4</v>
      </c>
      <c r="I1443" s="7">
        <v>2.2433272535772102</v>
      </c>
      <c r="J1443" s="6">
        <v>0.58121239550609605</v>
      </c>
      <c r="K1443" s="6">
        <v>2.4139208314904899</v>
      </c>
      <c r="L1443">
        <v>-1.49798161454523</v>
      </c>
      <c r="M1443">
        <v>0.54069203964936796</v>
      </c>
    </row>
    <row r="1444" spans="1:13" x14ac:dyDescent="0.25">
      <c r="A1444">
        <v>250</v>
      </c>
      <c r="B1444" t="str">
        <f>"AHCYL1;AHCYL2"</f>
        <v>AHCYL1;AHCYL2</v>
      </c>
      <c r="C1444" t="str">
        <f>""</f>
        <v/>
      </c>
      <c r="D1444">
        <v>53.753</v>
      </c>
      <c r="E1444">
        <v>7</v>
      </c>
      <c r="F1444">
        <v>4</v>
      </c>
      <c r="G1444">
        <v>1</v>
      </c>
      <c r="H1444">
        <v>4</v>
      </c>
      <c r="I1444" s="7">
        <v>2.2433272535772102</v>
      </c>
      <c r="J1444" s="6">
        <v>0.58121239550609605</v>
      </c>
      <c r="K1444" s="6">
        <v>2.4139208314904899</v>
      </c>
      <c r="L1444">
        <v>-1.49798161454523</v>
      </c>
      <c r="M1444">
        <v>0.54069203964936796</v>
      </c>
    </row>
    <row r="1445" spans="1:13" x14ac:dyDescent="0.25">
      <c r="A1445">
        <v>441</v>
      </c>
      <c r="B1445" t="str">
        <f>"GSR"</f>
        <v>GSR</v>
      </c>
      <c r="C1445" t="str">
        <f>""</f>
        <v/>
      </c>
      <c r="D1445">
        <v>51.7</v>
      </c>
      <c r="E1445">
        <v>6.3</v>
      </c>
      <c r="F1445">
        <v>5</v>
      </c>
      <c r="G1445">
        <v>8</v>
      </c>
      <c r="H1445">
        <v>5</v>
      </c>
      <c r="I1445" s="7">
        <v>2.80415906697151</v>
      </c>
      <c r="J1445" s="6">
        <v>4.6496991640487702</v>
      </c>
      <c r="K1445" s="6">
        <v>3.0174010393631101</v>
      </c>
      <c r="L1445">
        <v>1.36709438022222</v>
      </c>
      <c r="M1445">
        <v>0.54087389618677795</v>
      </c>
    </row>
    <row r="1446" spans="1:13" x14ac:dyDescent="0.25">
      <c r="A1446">
        <v>1930</v>
      </c>
      <c r="B1446" t="str">
        <f>"CDC73"</f>
        <v>CDC73</v>
      </c>
      <c r="C1446" t="str">
        <f>""</f>
        <v/>
      </c>
      <c r="D1446">
        <v>60.576000000000001</v>
      </c>
      <c r="E1446">
        <v>8.9</v>
      </c>
      <c r="F1446">
        <v>5</v>
      </c>
      <c r="G1446">
        <v>8</v>
      </c>
      <c r="H1446">
        <v>5</v>
      </c>
      <c r="I1446" s="7">
        <v>2.80415906697151</v>
      </c>
      <c r="J1446" s="6">
        <v>4.6496991640487702</v>
      </c>
      <c r="K1446" s="6">
        <v>3.0174010393631101</v>
      </c>
      <c r="L1446">
        <v>1.36709438022222</v>
      </c>
      <c r="M1446">
        <v>0.54087389618677795</v>
      </c>
    </row>
    <row r="1447" spans="1:13" x14ac:dyDescent="0.25">
      <c r="A1447">
        <v>2128</v>
      </c>
      <c r="B1447" t="str">
        <f>"NUP93"</f>
        <v>NUP93</v>
      </c>
      <c r="C1447" t="str">
        <f>""</f>
        <v/>
      </c>
      <c r="D1447">
        <v>93.486999999999995</v>
      </c>
      <c r="E1447">
        <v>10.1</v>
      </c>
      <c r="F1447">
        <v>4</v>
      </c>
      <c r="G1447">
        <v>3</v>
      </c>
      <c r="H1447">
        <v>2</v>
      </c>
      <c r="I1447" s="7">
        <v>2.2433272535772102</v>
      </c>
      <c r="J1447" s="6">
        <v>1.74363718651829</v>
      </c>
      <c r="K1447" s="6">
        <v>1.20696041574525</v>
      </c>
      <c r="L1447">
        <v>-1.5205917959509301</v>
      </c>
      <c r="M1447">
        <v>0.54204992811713704</v>
      </c>
    </row>
    <row r="1448" spans="1:13" x14ac:dyDescent="0.25">
      <c r="A1448">
        <v>421</v>
      </c>
      <c r="B1448" t="str">
        <f>"HSPA4L"</f>
        <v>HSPA4L</v>
      </c>
      <c r="C1448" t="str">
        <f>""</f>
        <v/>
      </c>
      <c r="D1448">
        <v>94.510999999999996</v>
      </c>
      <c r="E1448">
        <v>13.2</v>
      </c>
      <c r="F1448">
        <v>4</v>
      </c>
      <c r="G1448">
        <v>3</v>
      </c>
      <c r="H1448">
        <v>2</v>
      </c>
      <c r="I1448" s="7">
        <v>2.2433272535772102</v>
      </c>
      <c r="J1448" s="6">
        <v>1.74363718651829</v>
      </c>
      <c r="K1448" s="6">
        <v>1.20696041574525</v>
      </c>
      <c r="L1448">
        <v>-1.5205917959509301</v>
      </c>
      <c r="M1448">
        <v>0.54204992811713704</v>
      </c>
    </row>
    <row r="1449" spans="1:13" x14ac:dyDescent="0.25">
      <c r="A1449">
        <v>1794</v>
      </c>
      <c r="B1449" t="str">
        <f>"ERCC6L"</f>
        <v>ERCC6L</v>
      </c>
      <c r="C1449" t="str">
        <f>""</f>
        <v/>
      </c>
      <c r="D1449">
        <v>141.1</v>
      </c>
      <c r="E1449">
        <v>1.6</v>
      </c>
      <c r="F1449">
        <v>4</v>
      </c>
      <c r="G1449">
        <v>3</v>
      </c>
      <c r="H1449">
        <v>2</v>
      </c>
      <c r="I1449" s="7">
        <v>2.2433272535772102</v>
      </c>
      <c r="J1449" s="6">
        <v>1.74363718651829</v>
      </c>
      <c r="K1449" s="6">
        <v>1.20696041574525</v>
      </c>
      <c r="L1449">
        <v>-1.5205917959509301</v>
      </c>
      <c r="M1449">
        <v>0.54204992811713704</v>
      </c>
    </row>
    <row r="1450" spans="1:13" x14ac:dyDescent="0.25">
      <c r="A1450">
        <v>2547</v>
      </c>
      <c r="B1450" t="str">
        <f>"DIDO1"</f>
        <v>DIDO1</v>
      </c>
      <c r="C1450" t="str">
        <f>""</f>
        <v/>
      </c>
      <c r="D1450">
        <v>243.87</v>
      </c>
      <c r="E1450">
        <v>3.6</v>
      </c>
      <c r="F1450">
        <v>4</v>
      </c>
      <c r="G1450">
        <v>3</v>
      </c>
      <c r="H1450">
        <v>2</v>
      </c>
      <c r="I1450" s="7">
        <v>2.2433272535772102</v>
      </c>
      <c r="J1450" s="6">
        <v>1.74363718651829</v>
      </c>
      <c r="K1450" s="6">
        <v>1.20696041574525</v>
      </c>
      <c r="L1450">
        <v>-1.5205917959509301</v>
      </c>
      <c r="M1450">
        <v>0.54204992811713704</v>
      </c>
    </row>
    <row r="1451" spans="1:13" x14ac:dyDescent="0.25">
      <c r="A1451">
        <v>2764</v>
      </c>
      <c r="B1451" t="str">
        <f>"RPRD1B"</f>
        <v>RPRD1B</v>
      </c>
      <c r="C1451" t="str">
        <f>""</f>
        <v/>
      </c>
      <c r="D1451">
        <v>36.899000000000001</v>
      </c>
      <c r="E1451">
        <v>9.8000000000000007</v>
      </c>
      <c r="F1451">
        <v>4</v>
      </c>
      <c r="G1451">
        <v>3</v>
      </c>
      <c r="H1451">
        <v>2</v>
      </c>
      <c r="I1451" s="7">
        <v>2.2433272535772102</v>
      </c>
      <c r="J1451" s="6">
        <v>1.74363718651829</v>
      </c>
      <c r="K1451" s="6">
        <v>1.20696041574525</v>
      </c>
      <c r="L1451">
        <v>-1.5205917959509301</v>
      </c>
      <c r="M1451">
        <v>0.54204992811713704</v>
      </c>
    </row>
    <row r="1452" spans="1:13" x14ac:dyDescent="0.25">
      <c r="A1452">
        <v>2811</v>
      </c>
      <c r="B1452" t="str">
        <f>"ABHD10"</f>
        <v>ABHD10</v>
      </c>
      <c r="C1452" t="str">
        <f>""</f>
        <v/>
      </c>
      <c r="D1452">
        <v>16.91</v>
      </c>
      <c r="E1452">
        <v>19.5</v>
      </c>
      <c r="F1452">
        <v>4</v>
      </c>
      <c r="G1452">
        <v>3</v>
      </c>
      <c r="H1452">
        <v>2</v>
      </c>
      <c r="I1452" s="7">
        <v>2.2433272535772102</v>
      </c>
      <c r="J1452" s="6">
        <v>1.74363718651829</v>
      </c>
      <c r="K1452" s="6">
        <v>1.20696041574525</v>
      </c>
      <c r="L1452">
        <v>-1.5205917959509301</v>
      </c>
      <c r="M1452">
        <v>0.54204992811713704</v>
      </c>
    </row>
    <row r="1453" spans="1:13" x14ac:dyDescent="0.25">
      <c r="A1453">
        <v>2926</v>
      </c>
      <c r="B1453" t="str">
        <f>"NXF1"</f>
        <v>NXF1</v>
      </c>
      <c r="C1453" t="str">
        <f>""</f>
        <v/>
      </c>
      <c r="D1453">
        <v>70.182000000000002</v>
      </c>
      <c r="E1453">
        <v>7.6</v>
      </c>
      <c r="F1453">
        <v>4</v>
      </c>
      <c r="G1453">
        <v>3</v>
      </c>
      <c r="H1453">
        <v>2</v>
      </c>
      <c r="I1453" s="7">
        <v>2.2433272535772102</v>
      </c>
      <c r="J1453" s="6">
        <v>1.74363718651829</v>
      </c>
      <c r="K1453" s="6">
        <v>1.20696041574525</v>
      </c>
      <c r="L1453">
        <v>-1.5205917959509301</v>
      </c>
      <c r="M1453">
        <v>0.54204992811713704</v>
      </c>
    </row>
    <row r="1454" spans="1:13" x14ac:dyDescent="0.25">
      <c r="A1454">
        <v>736</v>
      </c>
      <c r="B1454" t="str">
        <f>"PTPN1"</f>
        <v>PTPN1</v>
      </c>
      <c r="C1454" t="str">
        <f>""</f>
        <v/>
      </c>
      <c r="D1454">
        <v>49.966000000000001</v>
      </c>
      <c r="E1454">
        <v>8</v>
      </c>
      <c r="F1454">
        <v>4</v>
      </c>
      <c r="G1454">
        <v>2</v>
      </c>
      <c r="H1454">
        <v>3</v>
      </c>
      <c r="I1454" s="7">
        <v>2.2433272535772102</v>
      </c>
      <c r="J1454" s="6">
        <v>1.1624247910121901</v>
      </c>
      <c r="K1454" s="6">
        <v>1.8104406236178701</v>
      </c>
      <c r="L1454">
        <v>-1.50920202612426</v>
      </c>
      <c r="M1454">
        <v>0.54204994228535897</v>
      </c>
    </row>
    <row r="1455" spans="1:13" x14ac:dyDescent="0.25">
      <c r="A1455">
        <v>1321</v>
      </c>
      <c r="B1455" t="str">
        <f>"PSMC6"</f>
        <v>PSMC6</v>
      </c>
      <c r="C1455" t="str">
        <f>""</f>
        <v/>
      </c>
      <c r="D1455">
        <v>44.171999999999997</v>
      </c>
      <c r="E1455">
        <v>16.7</v>
      </c>
      <c r="F1455">
        <v>4</v>
      </c>
      <c r="G1455">
        <v>2</v>
      </c>
      <c r="H1455">
        <v>3</v>
      </c>
      <c r="I1455" s="7">
        <v>2.2433272535772102</v>
      </c>
      <c r="J1455" s="6">
        <v>1.1624247910121901</v>
      </c>
      <c r="K1455" s="6">
        <v>1.8104406236178701</v>
      </c>
      <c r="L1455">
        <v>-1.50920202612426</v>
      </c>
      <c r="M1455">
        <v>0.54204994228535897</v>
      </c>
    </row>
    <row r="1456" spans="1:13" x14ac:dyDescent="0.25">
      <c r="A1456">
        <v>133</v>
      </c>
      <c r="B1456" t="str">
        <f>"COPE"</f>
        <v>COPE</v>
      </c>
      <c r="C1456" t="str">
        <f>""</f>
        <v/>
      </c>
      <c r="D1456">
        <v>28.771999999999998</v>
      </c>
      <c r="E1456">
        <v>8.1999999999999993</v>
      </c>
      <c r="F1456">
        <v>4</v>
      </c>
      <c r="G1456">
        <v>2</v>
      </c>
      <c r="H1456">
        <v>3</v>
      </c>
      <c r="I1456" s="7">
        <v>2.2433272535772102</v>
      </c>
      <c r="J1456" s="6">
        <v>1.1624247910121901</v>
      </c>
      <c r="K1456" s="6">
        <v>1.8104406236178701</v>
      </c>
      <c r="L1456">
        <v>-1.50920202612426</v>
      </c>
      <c r="M1456">
        <v>0.54204994228535897</v>
      </c>
    </row>
    <row r="1457" spans="1:13" x14ac:dyDescent="0.25">
      <c r="A1457">
        <v>852</v>
      </c>
      <c r="B1457" t="str">
        <f>"APEX1"</f>
        <v>APEX1</v>
      </c>
      <c r="C1457" t="str">
        <f>""</f>
        <v/>
      </c>
      <c r="D1457">
        <v>35.554000000000002</v>
      </c>
      <c r="E1457">
        <v>9.1</v>
      </c>
      <c r="F1457">
        <v>4</v>
      </c>
      <c r="G1457">
        <v>2</v>
      </c>
      <c r="H1457">
        <v>3</v>
      </c>
      <c r="I1457" s="7">
        <v>2.2433272535772102</v>
      </c>
      <c r="J1457" s="6">
        <v>1.1624247910121901</v>
      </c>
      <c r="K1457" s="6">
        <v>1.8104406236178701</v>
      </c>
      <c r="L1457">
        <v>-1.50920202612426</v>
      </c>
      <c r="M1457">
        <v>0.54204994228535897</v>
      </c>
    </row>
    <row r="1458" spans="1:13" x14ac:dyDescent="0.25">
      <c r="A1458">
        <v>1682</v>
      </c>
      <c r="B1458" t="str">
        <f>"NAA25"</f>
        <v>NAA25</v>
      </c>
      <c r="C1458" t="str">
        <f>""</f>
        <v/>
      </c>
      <c r="D1458">
        <v>99.268000000000001</v>
      </c>
      <c r="E1458">
        <v>4.3</v>
      </c>
      <c r="F1458">
        <v>4</v>
      </c>
      <c r="G1458">
        <v>2</v>
      </c>
      <c r="H1458">
        <v>3</v>
      </c>
      <c r="I1458" s="7">
        <v>2.2433272535772102</v>
      </c>
      <c r="J1458" s="6">
        <v>1.1624247910121901</v>
      </c>
      <c r="K1458" s="6">
        <v>1.8104406236178701</v>
      </c>
      <c r="L1458">
        <v>-1.50920202612426</v>
      </c>
      <c r="M1458">
        <v>0.54204994228535897</v>
      </c>
    </row>
    <row r="1459" spans="1:13" x14ac:dyDescent="0.25">
      <c r="A1459">
        <v>1873</v>
      </c>
      <c r="B1459" t="str">
        <f>"NT5DC1"</f>
        <v>NT5DC1</v>
      </c>
      <c r="C1459" t="str">
        <f>""</f>
        <v/>
      </c>
      <c r="D1459">
        <v>51.844000000000001</v>
      </c>
      <c r="E1459">
        <v>6.6</v>
      </c>
      <c r="F1459">
        <v>4</v>
      </c>
      <c r="G1459">
        <v>2</v>
      </c>
      <c r="H1459">
        <v>3</v>
      </c>
      <c r="I1459" s="7">
        <v>2.2433272535772102</v>
      </c>
      <c r="J1459" s="6">
        <v>1.1624247910121901</v>
      </c>
      <c r="K1459" s="6">
        <v>1.8104406236178701</v>
      </c>
      <c r="L1459">
        <v>-1.50920202612426</v>
      </c>
      <c r="M1459">
        <v>0.54204994228535897</v>
      </c>
    </row>
    <row r="1460" spans="1:13" x14ac:dyDescent="0.25">
      <c r="A1460">
        <v>2502</v>
      </c>
      <c r="B1460" t="str">
        <f>"VRK1"</f>
        <v>VRK1</v>
      </c>
      <c r="C1460" t="str">
        <f>"VRK1"</f>
        <v>VRK1</v>
      </c>
      <c r="D1460">
        <v>45.475999999999999</v>
      </c>
      <c r="E1460">
        <v>9.8000000000000007</v>
      </c>
      <c r="F1460">
        <v>4</v>
      </c>
      <c r="G1460">
        <v>2</v>
      </c>
      <c r="H1460">
        <v>3</v>
      </c>
      <c r="I1460" s="7">
        <v>2.2433272535772102</v>
      </c>
      <c r="J1460" s="6">
        <v>1.1624247910121901</v>
      </c>
      <c r="K1460" s="6">
        <v>1.8104406236178701</v>
      </c>
      <c r="L1460">
        <v>-1.50920202612426</v>
      </c>
      <c r="M1460">
        <v>0.54204994228535897</v>
      </c>
    </row>
    <row r="1461" spans="1:13" x14ac:dyDescent="0.25">
      <c r="A1461">
        <v>2529</v>
      </c>
      <c r="B1461" t="str">
        <f>"PAAF1"</f>
        <v>PAAF1</v>
      </c>
      <c r="C1461" t="str">
        <f>""</f>
        <v/>
      </c>
      <c r="D1461">
        <v>40.439</v>
      </c>
      <c r="E1461">
        <v>2.7</v>
      </c>
      <c r="F1461">
        <v>4</v>
      </c>
      <c r="G1461">
        <v>2</v>
      </c>
      <c r="H1461">
        <v>3</v>
      </c>
      <c r="I1461" s="7">
        <v>2.2433272535772102</v>
      </c>
      <c r="J1461" s="6">
        <v>1.1624247910121901</v>
      </c>
      <c r="K1461" s="6">
        <v>1.8104406236178701</v>
      </c>
      <c r="L1461">
        <v>-1.50920202612426</v>
      </c>
      <c r="M1461">
        <v>0.54204994228535897</v>
      </c>
    </row>
    <row r="1462" spans="1:13" x14ac:dyDescent="0.25">
      <c r="A1462">
        <v>2901</v>
      </c>
      <c r="B1462" t="str">
        <f>"RRBP1"</f>
        <v>RRBP1</v>
      </c>
      <c r="C1462" t="str">
        <f>""</f>
        <v/>
      </c>
      <c r="D1462">
        <v>108.63</v>
      </c>
      <c r="E1462">
        <v>4.0999999999999996</v>
      </c>
      <c r="F1462">
        <v>4</v>
      </c>
      <c r="G1462">
        <v>2</v>
      </c>
      <c r="H1462">
        <v>3</v>
      </c>
      <c r="I1462" s="7">
        <v>2.2433272535772102</v>
      </c>
      <c r="J1462" s="6">
        <v>1.1624247910121901</v>
      </c>
      <c r="K1462" s="6">
        <v>1.8104406236178701</v>
      </c>
      <c r="L1462">
        <v>-1.50920202612426</v>
      </c>
      <c r="M1462">
        <v>0.54204994228535897</v>
      </c>
    </row>
    <row r="1463" spans="1:13" x14ac:dyDescent="0.25">
      <c r="A1463">
        <v>3044</v>
      </c>
      <c r="B1463" t="str">
        <f>"RUVBL1"</f>
        <v>RUVBL1</v>
      </c>
      <c r="C1463" t="str">
        <f>""</f>
        <v/>
      </c>
      <c r="D1463">
        <v>50.226999999999997</v>
      </c>
      <c r="E1463">
        <v>12.9</v>
      </c>
      <c r="F1463">
        <v>4</v>
      </c>
      <c r="G1463">
        <v>2</v>
      </c>
      <c r="H1463">
        <v>3</v>
      </c>
      <c r="I1463" s="7">
        <v>2.2433272535772102</v>
      </c>
      <c r="J1463" s="6">
        <v>1.1624247910121901</v>
      </c>
      <c r="K1463" s="6">
        <v>1.8104406236178701</v>
      </c>
      <c r="L1463">
        <v>-1.50920202612426</v>
      </c>
      <c r="M1463">
        <v>0.54204994228535897</v>
      </c>
    </row>
    <row r="1464" spans="1:13" x14ac:dyDescent="0.25">
      <c r="A1464">
        <v>834</v>
      </c>
      <c r="B1464" t="str">
        <f>"RPL13"</f>
        <v>RPL13</v>
      </c>
      <c r="C1464" t="str">
        <f>""</f>
        <v/>
      </c>
      <c r="D1464">
        <v>24.260999999999999</v>
      </c>
      <c r="E1464">
        <v>16.600000000000001</v>
      </c>
      <c r="F1464">
        <v>12</v>
      </c>
      <c r="G1464">
        <v>13</v>
      </c>
      <c r="H1464">
        <v>15</v>
      </c>
      <c r="I1464" s="7">
        <v>6.7299817607316301</v>
      </c>
      <c r="J1464" s="6">
        <v>7.5557611415792598</v>
      </c>
      <c r="K1464" s="6">
        <v>9.0522031180893396</v>
      </c>
      <c r="L1464">
        <v>1.23387884619342</v>
      </c>
      <c r="M1464">
        <v>0.54233972172710199</v>
      </c>
    </row>
    <row r="1465" spans="1:13" x14ac:dyDescent="0.25">
      <c r="A1465">
        <v>354</v>
      </c>
      <c r="B1465" t="str">
        <f>"ARL6IP5"</f>
        <v>ARL6IP5</v>
      </c>
      <c r="C1465" t="str">
        <f>""</f>
        <v/>
      </c>
      <c r="D1465">
        <v>21.614000000000001</v>
      </c>
      <c r="E1465">
        <v>5.9</v>
      </c>
      <c r="F1465">
        <v>12</v>
      </c>
      <c r="G1465">
        <v>15</v>
      </c>
      <c r="H1465">
        <v>13</v>
      </c>
      <c r="I1465" s="7">
        <v>6.7299817607316301</v>
      </c>
      <c r="J1465" s="6">
        <v>8.7181859325914495</v>
      </c>
      <c r="K1465" s="6">
        <v>7.8452427023441</v>
      </c>
      <c r="L1465">
        <v>1.2305700983901999</v>
      </c>
      <c r="M1465">
        <v>0.542339800742065</v>
      </c>
    </row>
    <row r="1466" spans="1:13" x14ac:dyDescent="0.25">
      <c r="A1466">
        <v>1086</v>
      </c>
      <c r="B1466" t="str">
        <f>"IDH2"</f>
        <v>IDH2</v>
      </c>
      <c r="C1466" t="str">
        <f>""</f>
        <v/>
      </c>
      <c r="D1466">
        <v>50.908999999999999</v>
      </c>
      <c r="E1466">
        <v>14.6</v>
      </c>
      <c r="F1466">
        <v>12</v>
      </c>
      <c r="G1466">
        <v>16</v>
      </c>
      <c r="H1466">
        <v>12</v>
      </c>
      <c r="I1466" s="7">
        <v>6.7299817607316301</v>
      </c>
      <c r="J1466" s="6">
        <v>9.2993983280975403</v>
      </c>
      <c r="K1466" s="6">
        <v>7.2417624944714696</v>
      </c>
      <c r="L1466">
        <v>1.22891572448859</v>
      </c>
      <c r="M1466">
        <v>0.54250698106777095</v>
      </c>
    </row>
    <row r="1467" spans="1:13" x14ac:dyDescent="0.25">
      <c r="A1467">
        <v>1341</v>
      </c>
      <c r="B1467" t="str">
        <f>"RPL30"</f>
        <v>RPL30</v>
      </c>
      <c r="C1467" t="str">
        <f>""</f>
        <v/>
      </c>
      <c r="D1467">
        <v>12.784000000000001</v>
      </c>
      <c r="E1467">
        <v>41.7</v>
      </c>
      <c r="F1467">
        <v>12</v>
      </c>
      <c r="G1467">
        <v>10</v>
      </c>
      <c r="H1467">
        <v>18</v>
      </c>
      <c r="I1467" s="7">
        <v>6.7299817607316301</v>
      </c>
      <c r="J1467" s="6">
        <v>5.8121239550609696</v>
      </c>
      <c r="K1467" s="6">
        <v>10.862643741707201</v>
      </c>
      <c r="L1467">
        <v>1.2388419678982501</v>
      </c>
      <c r="M1467">
        <v>0.54337011586870598</v>
      </c>
    </row>
    <row r="1468" spans="1:13" x14ac:dyDescent="0.25">
      <c r="A1468">
        <v>589</v>
      </c>
      <c r="B1468" t="str">
        <f>"HSP90AB1;HSP90AB3P"</f>
        <v>HSP90AB1;HSP90AB3P</v>
      </c>
      <c r="C1468" t="str">
        <f>""</f>
        <v/>
      </c>
      <c r="D1468">
        <v>83.263000000000005</v>
      </c>
      <c r="E1468">
        <v>22</v>
      </c>
      <c r="F1468">
        <v>86</v>
      </c>
      <c r="G1468">
        <v>69</v>
      </c>
      <c r="H1468">
        <v>81</v>
      </c>
      <c r="I1468" s="7">
        <v>48.231535951909997</v>
      </c>
      <c r="J1468" s="6">
        <v>40.103655289920702</v>
      </c>
      <c r="K1468" s="6">
        <v>48.881896837682397</v>
      </c>
      <c r="L1468">
        <v>-1.08403071731796</v>
      </c>
      <c r="M1468">
        <v>0.54380987508582102</v>
      </c>
    </row>
    <row r="1469" spans="1:13" x14ac:dyDescent="0.25">
      <c r="A1469">
        <v>233</v>
      </c>
      <c r="B1469" t="str">
        <f>"ACTN4"</f>
        <v>ACTN4</v>
      </c>
      <c r="C1469" t="str">
        <f>""</f>
        <v/>
      </c>
      <c r="D1469">
        <v>104.85</v>
      </c>
      <c r="E1469">
        <v>19.899999999999999</v>
      </c>
      <c r="F1469">
        <v>14</v>
      </c>
      <c r="G1469">
        <v>18</v>
      </c>
      <c r="H1469">
        <v>14</v>
      </c>
      <c r="I1469" s="7">
        <v>7.8516453875202297</v>
      </c>
      <c r="J1469" s="6">
        <v>10.461823119109701</v>
      </c>
      <c r="K1469" s="6">
        <v>8.4487229102167198</v>
      </c>
      <c r="L1469">
        <v>1.20424096453616</v>
      </c>
      <c r="M1469">
        <v>0.555113251504464</v>
      </c>
    </row>
    <row r="1470" spans="1:13" x14ac:dyDescent="0.25">
      <c r="A1470">
        <v>1204</v>
      </c>
      <c r="B1470" t="str">
        <f>"COPA"</f>
        <v>COPA</v>
      </c>
      <c r="C1470" t="str">
        <f>""</f>
        <v/>
      </c>
      <c r="D1470">
        <v>138.34</v>
      </c>
      <c r="E1470">
        <v>11.4</v>
      </c>
      <c r="F1470">
        <v>20</v>
      </c>
      <c r="G1470">
        <v>17</v>
      </c>
      <c r="H1470">
        <v>15</v>
      </c>
      <c r="I1470" s="7">
        <v>11.216636267886001</v>
      </c>
      <c r="J1470" s="6">
        <v>9.88061072360364</v>
      </c>
      <c r="K1470" s="6">
        <v>9.0522031180893396</v>
      </c>
      <c r="L1470">
        <v>-1.1848884546876299</v>
      </c>
      <c r="M1470">
        <v>0.55825153471121503</v>
      </c>
    </row>
    <row r="1471" spans="1:13" x14ac:dyDescent="0.25">
      <c r="A1471">
        <v>407</v>
      </c>
      <c r="B1471" t="str">
        <f>"AHSA1"</f>
        <v>AHSA1</v>
      </c>
      <c r="C1471" t="str">
        <f>""</f>
        <v/>
      </c>
      <c r="D1471">
        <v>38.274000000000001</v>
      </c>
      <c r="E1471">
        <v>13.9</v>
      </c>
      <c r="F1471">
        <v>6</v>
      </c>
      <c r="G1471">
        <v>7</v>
      </c>
      <c r="H1471">
        <v>8</v>
      </c>
      <c r="I1471" s="7">
        <v>3.3649908803658102</v>
      </c>
      <c r="J1471" s="6">
        <v>4.0684867685426802</v>
      </c>
      <c r="K1471" s="6">
        <v>4.8278416629809797</v>
      </c>
      <c r="L1471">
        <v>1.3218948799285499</v>
      </c>
      <c r="M1471">
        <v>0.56038919613334104</v>
      </c>
    </row>
    <row r="1472" spans="1:13" x14ac:dyDescent="0.25">
      <c r="A1472">
        <v>2229</v>
      </c>
      <c r="B1472" t="str">
        <f>"IPO4"</f>
        <v>IPO4</v>
      </c>
      <c r="C1472" t="str">
        <f>""</f>
        <v/>
      </c>
      <c r="D1472">
        <v>118.71</v>
      </c>
      <c r="E1472">
        <v>3</v>
      </c>
      <c r="F1472">
        <v>6</v>
      </c>
      <c r="G1472">
        <v>7</v>
      </c>
      <c r="H1472">
        <v>8</v>
      </c>
      <c r="I1472" s="7">
        <v>3.3649908803658102</v>
      </c>
      <c r="J1472" s="6">
        <v>4.0684867685426802</v>
      </c>
      <c r="K1472" s="6">
        <v>4.8278416629809797</v>
      </c>
      <c r="L1472">
        <v>1.3218948799285499</v>
      </c>
      <c r="M1472">
        <v>0.56038919613334104</v>
      </c>
    </row>
    <row r="1473" spans="1:13" x14ac:dyDescent="0.25">
      <c r="A1473">
        <v>360</v>
      </c>
      <c r="B1473" t="str">
        <f>"CLPX"</f>
        <v>CLPX</v>
      </c>
      <c r="C1473" t="str">
        <f>""</f>
        <v/>
      </c>
      <c r="D1473">
        <v>69.222999999999999</v>
      </c>
      <c r="E1473">
        <v>3.3</v>
      </c>
      <c r="F1473">
        <v>6</v>
      </c>
      <c r="G1473">
        <v>8</v>
      </c>
      <c r="H1473">
        <v>7</v>
      </c>
      <c r="I1473" s="7">
        <v>3.3649908803658102</v>
      </c>
      <c r="J1473" s="6">
        <v>4.6496991640487702</v>
      </c>
      <c r="K1473" s="6">
        <v>4.2243614551083599</v>
      </c>
      <c r="L1473">
        <v>1.31858613212533</v>
      </c>
      <c r="M1473">
        <v>0.560389226295267</v>
      </c>
    </row>
    <row r="1474" spans="1:13" x14ac:dyDescent="0.25">
      <c r="A1474">
        <v>1275</v>
      </c>
      <c r="B1474" t="str">
        <f>"UBE2K"</f>
        <v>UBE2K</v>
      </c>
      <c r="C1474" t="str">
        <f>""</f>
        <v/>
      </c>
      <c r="D1474">
        <v>22.405999999999999</v>
      </c>
      <c r="E1474">
        <v>20.5</v>
      </c>
      <c r="F1474">
        <v>6</v>
      </c>
      <c r="G1474">
        <v>6</v>
      </c>
      <c r="H1474">
        <v>9</v>
      </c>
      <c r="I1474" s="7">
        <v>3.3649908803658102</v>
      </c>
      <c r="J1474" s="6">
        <v>3.4872743730365801</v>
      </c>
      <c r="K1474" s="6">
        <v>5.4313218708536004</v>
      </c>
      <c r="L1474">
        <v>1.32520362773177</v>
      </c>
      <c r="M1474">
        <v>0.56067984489253897</v>
      </c>
    </row>
    <row r="1475" spans="1:13" x14ac:dyDescent="0.25">
      <c r="A1475">
        <v>45</v>
      </c>
      <c r="B1475" t="str">
        <f>""</f>
        <v/>
      </c>
      <c r="C1475" t="str">
        <f>""</f>
        <v/>
      </c>
      <c r="D1475">
        <v>18.280999999999999</v>
      </c>
      <c r="E1475">
        <v>11.1</v>
      </c>
      <c r="F1475">
        <v>2</v>
      </c>
      <c r="G1475">
        <v>3</v>
      </c>
      <c r="H1475">
        <v>3</v>
      </c>
      <c r="I1475" s="7">
        <v>1.1216636267886</v>
      </c>
      <c r="J1475" s="6">
        <v>1.74363718651829</v>
      </c>
      <c r="K1475" s="6">
        <v>1.8104406236178701</v>
      </c>
      <c r="L1475">
        <v>1.5842886072323299</v>
      </c>
      <c r="M1475">
        <v>0.56158805425763203</v>
      </c>
    </row>
    <row r="1476" spans="1:13" x14ac:dyDescent="0.25">
      <c r="A1476">
        <v>106</v>
      </c>
      <c r="B1476" t="str">
        <f>"CLIC1"</f>
        <v>CLIC1</v>
      </c>
      <c r="C1476" t="str">
        <f>""</f>
        <v/>
      </c>
      <c r="D1476">
        <v>26.922000000000001</v>
      </c>
      <c r="E1476">
        <v>8.6999999999999993</v>
      </c>
      <c r="F1476">
        <v>2</v>
      </c>
      <c r="G1476">
        <v>3</v>
      </c>
      <c r="H1476">
        <v>3</v>
      </c>
      <c r="I1476" s="7">
        <v>1.1216636267886</v>
      </c>
      <c r="J1476" s="6">
        <v>1.74363718651829</v>
      </c>
      <c r="K1476" s="6">
        <v>1.8104406236178701</v>
      </c>
      <c r="L1476">
        <v>1.5842886072323299</v>
      </c>
      <c r="M1476">
        <v>0.56158805425763203</v>
      </c>
    </row>
    <row r="1477" spans="1:13" x14ac:dyDescent="0.25">
      <c r="A1477">
        <v>796</v>
      </c>
      <c r="B1477" t="str">
        <f>"UQCRC2"</f>
        <v>UQCRC2</v>
      </c>
      <c r="C1477" t="str">
        <f>""</f>
        <v/>
      </c>
      <c r="D1477">
        <v>48.442</v>
      </c>
      <c r="E1477">
        <v>17.399999999999999</v>
      </c>
      <c r="F1477">
        <v>2</v>
      </c>
      <c r="G1477">
        <v>3</v>
      </c>
      <c r="H1477">
        <v>3</v>
      </c>
      <c r="I1477" s="7">
        <v>1.1216636267886</v>
      </c>
      <c r="J1477" s="6">
        <v>1.74363718651829</v>
      </c>
      <c r="K1477" s="6">
        <v>1.8104406236178701</v>
      </c>
      <c r="L1477">
        <v>1.5842886072323299</v>
      </c>
      <c r="M1477">
        <v>0.56158805425763203</v>
      </c>
    </row>
    <row r="1478" spans="1:13" x14ac:dyDescent="0.25">
      <c r="A1478">
        <v>1143</v>
      </c>
      <c r="B1478" t="str">
        <f>"LRBA"</f>
        <v>LRBA</v>
      </c>
      <c r="C1478" t="str">
        <f>""</f>
        <v/>
      </c>
      <c r="D1478">
        <v>317.7</v>
      </c>
      <c r="E1478">
        <v>2.4</v>
      </c>
      <c r="F1478">
        <v>2</v>
      </c>
      <c r="G1478">
        <v>3</v>
      </c>
      <c r="H1478">
        <v>3</v>
      </c>
      <c r="I1478" s="7">
        <v>1.1216636267886</v>
      </c>
      <c r="J1478" s="6">
        <v>1.74363718651829</v>
      </c>
      <c r="K1478" s="6">
        <v>1.8104406236178701</v>
      </c>
      <c r="L1478">
        <v>1.5842886072323299</v>
      </c>
      <c r="M1478">
        <v>0.56158805425763203</v>
      </c>
    </row>
    <row r="1479" spans="1:13" x14ac:dyDescent="0.25">
      <c r="A1479">
        <v>2865</v>
      </c>
      <c r="B1479" t="str">
        <f>"FAM120A"</f>
        <v>FAM120A</v>
      </c>
      <c r="C1479" t="str">
        <f>""</f>
        <v/>
      </c>
      <c r="D1479">
        <v>117.4</v>
      </c>
      <c r="E1479">
        <v>3</v>
      </c>
      <c r="F1479">
        <v>2</v>
      </c>
      <c r="G1479">
        <v>3</v>
      </c>
      <c r="H1479">
        <v>3</v>
      </c>
      <c r="I1479" s="7">
        <v>1.1216636267886</v>
      </c>
      <c r="J1479" s="6">
        <v>1.74363718651829</v>
      </c>
      <c r="K1479" s="6">
        <v>1.8104406236178701</v>
      </c>
      <c r="L1479">
        <v>1.5842886072323299</v>
      </c>
      <c r="M1479">
        <v>0.56158805425763203</v>
      </c>
    </row>
    <row r="1480" spans="1:13" x14ac:dyDescent="0.25">
      <c r="A1480">
        <v>3019</v>
      </c>
      <c r="B1480" t="str">
        <f>"TTF2"</f>
        <v>TTF2</v>
      </c>
      <c r="C1480" t="str">
        <f>""</f>
        <v/>
      </c>
      <c r="D1480">
        <v>129.59</v>
      </c>
      <c r="E1480">
        <v>3</v>
      </c>
      <c r="F1480">
        <v>2</v>
      </c>
      <c r="G1480">
        <v>3</v>
      </c>
      <c r="H1480">
        <v>3</v>
      </c>
      <c r="I1480" s="7">
        <v>1.1216636267886</v>
      </c>
      <c r="J1480" s="6">
        <v>1.74363718651829</v>
      </c>
      <c r="K1480" s="6">
        <v>1.8104406236178701</v>
      </c>
      <c r="L1480">
        <v>1.5842886072323299</v>
      </c>
      <c r="M1480">
        <v>0.56158805425763203</v>
      </c>
    </row>
    <row r="1481" spans="1:13" x14ac:dyDescent="0.25">
      <c r="A1481">
        <v>1230</v>
      </c>
      <c r="B1481" t="str">
        <f>"HADHB"</f>
        <v>HADHB</v>
      </c>
      <c r="C1481" t="str">
        <f>""</f>
        <v/>
      </c>
      <c r="D1481">
        <v>48.878999999999998</v>
      </c>
      <c r="E1481">
        <v>4.4000000000000004</v>
      </c>
      <c r="F1481">
        <v>2</v>
      </c>
      <c r="G1481">
        <v>3</v>
      </c>
      <c r="H1481">
        <v>3</v>
      </c>
      <c r="I1481" s="7">
        <v>1.1216636267886</v>
      </c>
      <c r="J1481" s="6">
        <v>1.74363718651829</v>
      </c>
      <c r="K1481" s="6">
        <v>1.8104406236178701</v>
      </c>
      <c r="L1481">
        <v>1.5842886072323299</v>
      </c>
      <c r="M1481">
        <v>0.56158805425763203</v>
      </c>
    </row>
    <row r="1482" spans="1:13" x14ac:dyDescent="0.25">
      <c r="A1482">
        <v>393</v>
      </c>
      <c r="B1482" t="str">
        <f>"KIF4A;KIF4B"</f>
        <v>KIF4A;KIF4B</v>
      </c>
      <c r="C1482" t="str">
        <f>""</f>
        <v/>
      </c>
      <c r="D1482">
        <v>128.46</v>
      </c>
      <c r="E1482">
        <v>4.3</v>
      </c>
      <c r="F1482">
        <v>2</v>
      </c>
      <c r="G1482">
        <v>3</v>
      </c>
      <c r="H1482">
        <v>3</v>
      </c>
      <c r="I1482" s="7">
        <v>1.1216636267886</v>
      </c>
      <c r="J1482" s="6">
        <v>1.74363718651829</v>
      </c>
      <c r="K1482" s="6">
        <v>1.8104406236178701</v>
      </c>
      <c r="L1482">
        <v>1.5842886072323299</v>
      </c>
      <c r="M1482">
        <v>0.56158805425763203</v>
      </c>
    </row>
    <row r="1483" spans="1:13" x14ac:dyDescent="0.25">
      <c r="A1483">
        <v>723</v>
      </c>
      <c r="B1483" t="str">
        <f>"YBX3"</f>
        <v>YBX3</v>
      </c>
      <c r="C1483" t="str">
        <f>""</f>
        <v/>
      </c>
      <c r="D1483">
        <v>40.088999999999999</v>
      </c>
      <c r="E1483">
        <v>13.7</v>
      </c>
      <c r="F1483">
        <v>2</v>
      </c>
      <c r="G1483">
        <v>3</v>
      </c>
      <c r="H1483">
        <v>3</v>
      </c>
      <c r="I1483" s="7">
        <v>1.1216636267886</v>
      </c>
      <c r="J1483" s="6">
        <v>1.74363718651829</v>
      </c>
      <c r="K1483" s="6">
        <v>1.8104406236178701</v>
      </c>
      <c r="L1483">
        <v>1.5842886072323299</v>
      </c>
      <c r="M1483">
        <v>0.56158805425763203</v>
      </c>
    </row>
    <row r="1484" spans="1:13" x14ac:dyDescent="0.25">
      <c r="A1484">
        <v>1432</v>
      </c>
      <c r="B1484" t="str">
        <f>"PLCB3"</f>
        <v>PLCB3</v>
      </c>
      <c r="C1484" t="str">
        <f>""</f>
        <v/>
      </c>
      <c r="D1484">
        <v>131.19999999999999</v>
      </c>
      <c r="E1484">
        <v>2.2000000000000002</v>
      </c>
      <c r="F1484">
        <v>2</v>
      </c>
      <c r="G1484">
        <v>3</v>
      </c>
      <c r="H1484">
        <v>3</v>
      </c>
      <c r="I1484" s="7">
        <v>1.1216636267886</v>
      </c>
      <c r="J1484" s="6">
        <v>1.74363718651829</v>
      </c>
      <c r="K1484" s="6">
        <v>1.8104406236178701</v>
      </c>
      <c r="L1484">
        <v>1.5842886072323299</v>
      </c>
      <c r="M1484">
        <v>0.56158805425763203</v>
      </c>
    </row>
    <row r="1485" spans="1:13" x14ac:dyDescent="0.25">
      <c r="A1485">
        <v>1644</v>
      </c>
      <c r="B1485" t="str">
        <f>"FAM50A"</f>
        <v>FAM50A</v>
      </c>
      <c r="C1485" t="str">
        <f>""</f>
        <v/>
      </c>
      <c r="D1485">
        <v>40.241</v>
      </c>
      <c r="E1485">
        <v>10</v>
      </c>
      <c r="F1485">
        <v>2</v>
      </c>
      <c r="G1485">
        <v>3</v>
      </c>
      <c r="H1485">
        <v>3</v>
      </c>
      <c r="I1485" s="7">
        <v>1.1216636267886</v>
      </c>
      <c r="J1485" s="6">
        <v>1.74363718651829</v>
      </c>
      <c r="K1485" s="6">
        <v>1.8104406236178701</v>
      </c>
      <c r="L1485">
        <v>1.5842886072323299</v>
      </c>
      <c r="M1485">
        <v>0.56158805425763203</v>
      </c>
    </row>
    <row r="1486" spans="1:13" x14ac:dyDescent="0.25">
      <c r="A1486">
        <v>1808</v>
      </c>
      <c r="B1486" t="str">
        <f>"ALDH1L2"</f>
        <v>ALDH1L2</v>
      </c>
      <c r="C1486" t="str">
        <f>""</f>
        <v/>
      </c>
      <c r="D1486">
        <v>101.74</v>
      </c>
      <c r="E1486">
        <v>6.8</v>
      </c>
      <c r="F1486">
        <v>2</v>
      </c>
      <c r="G1486">
        <v>3</v>
      </c>
      <c r="H1486">
        <v>3</v>
      </c>
      <c r="I1486" s="7">
        <v>1.1216636267886</v>
      </c>
      <c r="J1486" s="6">
        <v>1.74363718651829</v>
      </c>
      <c r="K1486" s="6">
        <v>1.8104406236178701</v>
      </c>
      <c r="L1486">
        <v>1.5842886072323299</v>
      </c>
      <c r="M1486">
        <v>0.56158805425763203</v>
      </c>
    </row>
    <row r="1487" spans="1:13" x14ac:dyDescent="0.25">
      <c r="A1487">
        <v>2177</v>
      </c>
      <c r="B1487" t="str">
        <f>"DYNC2H1"</f>
        <v>DYNC2H1</v>
      </c>
      <c r="C1487" t="str">
        <f>""</f>
        <v/>
      </c>
      <c r="D1487">
        <v>493.41</v>
      </c>
      <c r="E1487">
        <v>1.5</v>
      </c>
      <c r="F1487">
        <v>2</v>
      </c>
      <c r="G1487">
        <v>3</v>
      </c>
      <c r="H1487">
        <v>3</v>
      </c>
      <c r="I1487" s="7">
        <v>1.1216636267886</v>
      </c>
      <c r="J1487" s="6">
        <v>1.74363718651829</v>
      </c>
      <c r="K1487" s="6">
        <v>1.8104406236178701</v>
      </c>
      <c r="L1487">
        <v>1.5842886072323299</v>
      </c>
      <c r="M1487">
        <v>0.56158805425763203</v>
      </c>
    </row>
    <row r="1488" spans="1:13" x14ac:dyDescent="0.25">
      <c r="A1488">
        <v>2463</v>
      </c>
      <c r="B1488" t="str">
        <f>"MAP7D2"</f>
        <v>MAP7D2</v>
      </c>
      <c r="C1488" t="str">
        <f>""</f>
        <v/>
      </c>
      <c r="D1488">
        <v>76.647000000000006</v>
      </c>
      <c r="E1488">
        <v>5.4</v>
      </c>
      <c r="F1488">
        <v>2</v>
      </c>
      <c r="G1488">
        <v>3</v>
      </c>
      <c r="H1488">
        <v>3</v>
      </c>
      <c r="I1488" s="7">
        <v>1.1216636267886</v>
      </c>
      <c r="J1488" s="6">
        <v>1.74363718651829</v>
      </c>
      <c r="K1488" s="6">
        <v>1.8104406236178701</v>
      </c>
      <c r="L1488">
        <v>1.5842886072323299</v>
      </c>
      <c r="M1488">
        <v>0.56158805425763203</v>
      </c>
    </row>
    <row r="1489" spans="1:13" x14ac:dyDescent="0.25">
      <c r="A1489">
        <v>2715</v>
      </c>
      <c r="B1489" t="str">
        <f>"ARMT1"</f>
        <v>ARMT1</v>
      </c>
      <c r="C1489" t="str">
        <f>""</f>
        <v/>
      </c>
      <c r="D1489">
        <v>51.171999999999997</v>
      </c>
      <c r="E1489">
        <v>11.3</v>
      </c>
      <c r="F1489">
        <v>2</v>
      </c>
      <c r="G1489">
        <v>3</v>
      </c>
      <c r="H1489">
        <v>3</v>
      </c>
      <c r="I1489" s="7">
        <v>1.1216636267886</v>
      </c>
      <c r="J1489" s="6">
        <v>1.74363718651829</v>
      </c>
      <c r="K1489" s="6">
        <v>1.8104406236178701</v>
      </c>
      <c r="L1489">
        <v>1.5842886072323299</v>
      </c>
      <c r="M1489">
        <v>0.56158805425763203</v>
      </c>
    </row>
    <row r="1490" spans="1:13" x14ac:dyDescent="0.25">
      <c r="A1490">
        <v>3032</v>
      </c>
      <c r="B1490" t="str">
        <f>"SRRM2"</f>
        <v>SRRM2</v>
      </c>
      <c r="C1490" t="str">
        <f>""</f>
        <v/>
      </c>
      <c r="D1490">
        <v>299.61</v>
      </c>
      <c r="E1490">
        <v>1</v>
      </c>
      <c r="F1490">
        <v>2</v>
      </c>
      <c r="G1490">
        <v>3</v>
      </c>
      <c r="H1490">
        <v>3</v>
      </c>
      <c r="I1490" s="7">
        <v>1.1216636267886</v>
      </c>
      <c r="J1490" s="6">
        <v>1.74363718651829</v>
      </c>
      <c r="K1490" s="6">
        <v>1.8104406236178701</v>
      </c>
      <c r="L1490">
        <v>1.5842886072323299</v>
      </c>
      <c r="M1490">
        <v>0.56158805425763203</v>
      </c>
    </row>
    <row r="1491" spans="1:13" x14ac:dyDescent="0.25">
      <c r="A1491">
        <v>3149</v>
      </c>
      <c r="B1491" t="str">
        <f>"SAR1B"</f>
        <v>SAR1B</v>
      </c>
      <c r="C1491" t="str">
        <f>""</f>
        <v/>
      </c>
      <c r="D1491">
        <v>22.41</v>
      </c>
      <c r="E1491">
        <v>6.1</v>
      </c>
      <c r="F1491">
        <v>2</v>
      </c>
      <c r="G1491">
        <v>3</v>
      </c>
      <c r="H1491">
        <v>3</v>
      </c>
      <c r="I1491" s="7">
        <v>1.1216636267886</v>
      </c>
      <c r="J1491" s="6">
        <v>1.74363718651829</v>
      </c>
      <c r="K1491" s="6">
        <v>1.8104406236178701</v>
      </c>
      <c r="L1491">
        <v>1.5842886072323299</v>
      </c>
      <c r="M1491">
        <v>0.56158805425763203</v>
      </c>
    </row>
    <row r="1492" spans="1:13" x14ac:dyDescent="0.25">
      <c r="A1492">
        <v>2935</v>
      </c>
      <c r="B1492" t="str">
        <f>"CGGBP1"</f>
        <v>CGGBP1</v>
      </c>
      <c r="C1492" t="str">
        <f>""</f>
        <v/>
      </c>
      <c r="D1492">
        <v>18.82</v>
      </c>
      <c r="E1492">
        <v>28.1</v>
      </c>
      <c r="F1492">
        <v>2</v>
      </c>
      <c r="G1492">
        <v>2</v>
      </c>
      <c r="H1492">
        <v>4</v>
      </c>
      <c r="I1492" s="7">
        <v>1.1216636267886</v>
      </c>
      <c r="J1492" s="6">
        <v>1.1624247910121901</v>
      </c>
      <c r="K1492" s="6">
        <v>2.4139208314904899</v>
      </c>
      <c r="L1492">
        <v>1.59421485064199</v>
      </c>
      <c r="M1492">
        <v>0.56217123185281304</v>
      </c>
    </row>
    <row r="1493" spans="1:13" x14ac:dyDescent="0.25">
      <c r="A1493">
        <v>1307</v>
      </c>
      <c r="B1493" t="str">
        <f>"PSMC5"</f>
        <v>PSMC5</v>
      </c>
      <c r="C1493" t="str">
        <f>""</f>
        <v/>
      </c>
      <c r="D1493">
        <v>45.625999999999998</v>
      </c>
      <c r="E1493">
        <v>16.5</v>
      </c>
      <c r="F1493">
        <v>2</v>
      </c>
      <c r="G1493">
        <v>2</v>
      </c>
      <c r="H1493">
        <v>4</v>
      </c>
      <c r="I1493" s="7">
        <v>1.1216636267886</v>
      </c>
      <c r="J1493" s="6">
        <v>1.1624247910121901</v>
      </c>
      <c r="K1493" s="6">
        <v>2.4139208314904899</v>
      </c>
      <c r="L1493">
        <v>1.59421485064199</v>
      </c>
      <c r="M1493">
        <v>0.56217123185281304</v>
      </c>
    </row>
    <row r="1494" spans="1:13" x14ac:dyDescent="0.25">
      <c r="A1494">
        <v>1989</v>
      </c>
      <c r="B1494" t="str">
        <f>"VPS13C"</f>
        <v>VPS13C</v>
      </c>
      <c r="C1494" t="str">
        <f>""</f>
        <v/>
      </c>
      <c r="D1494">
        <v>403.08</v>
      </c>
      <c r="E1494">
        <v>1.6</v>
      </c>
      <c r="F1494">
        <v>2</v>
      </c>
      <c r="G1494">
        <v>2</v>
      </c>
      <c r="H1494">
        <v>4</v>
      </c>
      <c r="I1494" s="7">
        <v>1.1216636267886</v>
      </c>
      <c r="J1494" s="6">
        <v>1.1624247910121901</v>
      </c>
      <c r="K1494" s="6">
        <v>2.4139208314904899</v>
      </c>
      <c r="L1494">
        <v>1.59421485064199</v>
      </c>
      <c r="M1494">
        <v>0.56217123185281304</v>
      </c>
    </row>
    <row r="1495" spans="1:13" x14ac:dyDescent="0.25">
      <c r="A1495">
        <v>799</v>
      </c>
      <c r="B1495" t="str">
        <f>"FECH"</f>
        <v>FECH</v>
      </c>
      <c r="C1495" t="str">
        <f>""</f>
        <v/>
      </c>
      <c r="D1495">
        <v>47.862000000000002</v>
      </c>
      <c r="E1495">
        <v>9.1999999999999993</v>
      </c>
      <c r="F1495">
        <v>2</v>
      </c>
      <c r="G1495">
        <v>4</v>
      </c>
      <c r="H1495">
        <v>2</v>
      </c>
      <c r="I1495" s="7">
        <v>1.1216636267886</v>
      </c>
      <c r="J1495" s="6">
        <v>2.32484958202439</v>
      </c>
      <c r="K1495" s="6">
        <v>1.20696041574525</v>
      </c>
      <c r="L1495">
        <v>1.57436236382267</v>
      </c>
      <c r="M1495">
        <v>0.56217126653405802</v>
      </c>
    </row>
    <row r="1496" spans="1:13" x14ac:dyDescent="0.25">
      <c r="A1496">
        <v>1280</v>
      </c>
      <c r="B1496" t="str">
        <f>"ACTR1A;ACTR1B"</f>
        <v>ACTR1A;ACTR1B</v>
      </c>
      <c r="C1496" t="str">
        <f>""</f>
        <v/>
      </c>
      <c r="D1496">
        <v>42.613</v>
      </c>
      <c r="E1496">
        <v>8.1999999999999993</v>
      </c>
      <c r="F1496">
        <v>2</v>
      </c>
      <c r="G1496">
        <v>4</v>
      </c>
      <c r="H1496">
        <v>2</v>
      </c>
      <c r="I1496" s="7">
        <v>1.1216636267886</v>
      </c>
      <c r="J1496" s="6">
        <v>2.32484958202439</v>
      </c>
      <c r="K1496" s="6">
        <v>1.20696041574525</v>
      </c>
      <c r="L1496">
        <v>1.57436236382267</v>
      </c>
      <c r="M1496">
        <v>0.56217126653405802</v>
      </c>
    </row>
    <row r="1497" spans="1:13" x14ac:dyDescent="0.25">
      <c r="A1497">
        <v>1849</v>
      </c>
      <c r="B1497" t="str">
        <f>"EXOSC6"</f>
        <v>EXOSC6</v>
      </c>
      <c r="C1497" t="str">
        <f>""</f>
        <v/>
      </c>
      <c r="D1497">
        <v>28.234999999999999</v>
      </c>
      <c r="E1497">
        <v>8.8000000000000007</v>
      </c>
      <c r="F1497">
        <v>2</v>
      </c>
      <c r="G1497">
        <v>4</v>
      </c>
      <c r="H1497">
        <v>2</v>
      </c>
      <c r="I1497" s="7">
        <v>1.1216636267886</v>
      </c>
      <c r="J1497" s="6">
        <v>2.32484958202439</v>
      </c>
      <c r="K1497" s="6">
        <v>1.20696041574525</v>
      </c>
      <c r="L1497">
        <v>1.57436236382267</v>
      </c>
      <c r="M1497">
        <v>0.56217126653405802</v>
      </c>
    </row>
    <row r="1498" spans="1:13" x14ac:dyDescent="0.25">
      <c r="A1498">
        <v>2965</v>
      </c>
      <c r="B1498" t="str">
        <f>"HOOK1"</f>
        <v>HOOK1</v>
      </c>
      <c r="C1498" t="str">
        <f>""</f>
        <v/>
      </c>
      <c r="D1498">
        <v>80.021000000000001</v>
      </c>
      <c r="E1498">
        <v>5.5</v>
      </c>
      <c r="F1498">
        <v>2</v>
      </c>
      <c r="G1498">
        <v>4</v>
      </c>
      <c r="H1498">
        <v>2</v>
      </c>
      <c r="I1498" s="7">
        <v>1.1216636267886</v>
      </c>
      <c r="J1498" s="6">
        <v>2.32484958202439</v>
      </c>
      <c r="K1498" s="6">
        <v>1.20696041574525</v>
      </c>
      <c r="L1498">
        <v>1.57436236382267</v>
      </c>
      <c r="M1498">
        <v>0.56217126653405802</v>
      </c>
    </row>
    <row r="1499" spans="1:13" x14ac:dyDescent="0.25">
      <c r="A1499">
        <v>840</v>
      </c>
      <c r="B1499" t="str">
        <f>"TARS"</f>
        <v>TARS</v>
      </c>
      <c r="C1499" t="str">
        <f>""</f>
        <v/>
      </c>
      <c r="D1499">
        <v>83.433999999999997</v>
      </c>
      <c r="E1499">
        <v>12.2</v>
      </c>
      <c r="F1499">
        <v>13</v>
      </c>
      <c r="G1499">
        <v>11</v>
      </c>
      <c r="H1499">
        <v>9</v>
      </c>
      <c r="I1499" s="7">
        <v>7.2908135741259299</v>
      </c>
      <c r="J1499" s="6">
        <v>6.3933363505670604</v>
      </c>
      <c r="K1499" s="6">
        <v>5.4313218708536004</v>
      </c>
      <c r="L1499">
        <v>-1.2331542168243701</v>
      </c>
      <c r="M1499">
        <v>0.56431142162205195</v>
      </c>
    </row>
    <row r="1500" spans="1:13" x14ac:dyDescent="0.25">
      <c r="A1500">
        <v>718</v>
      </c>
      <c r="B1500" t="str">
        <f>"ATP2A2"</f>
        <v>ATP2A2</v>
      </c>
      <c r="C1500" t="str">
        <f>""</f>
        <v/>
      </c>
      <c r="D1500">
        <v>109.73</v>
      </c>
      <c r="E1500">
        <v>9</v>
      </c>
      <c r="F1500">
        <v>13</v>
      </c>
      <c r="G1500">
        <v>10</v>
      </c>
      <c r="H1500">
        <v>10</v>
      </c>
      <c r="I1500" s="7">
        <v>7.2908135741259299</v>
      </c>
      <c r="J1500" s="6">
        <v>5.8121239550609696</v>
      </c>
      <c r="K1500" s="6">
        <v>6.03480207872623</v>
      </c>
      <c r="L1500">
        <v>-1.23083634578838</v>
      </c>
      <c r="M1500">
        <v>0.56440094115806605</v>
      </c>
    </row>
    <row r="1501" spans="1:13" x14ac:dyDescent="0.25">
      <c r="A1501">
        <v>743</v>
      </c>
      <c r="B1501" t="str">
        <f>"PGAM1"</f>
        <v>PGAM1</v>
      </c>
      <c r="C1501" t="str">
        <f>""</f>
        <v/>
      </c>
      <c r="D1501">
        <v>28.803999999999998</v>
      </c>
      <c r="E1501">
        <v>28</v>
      </c>
      <c r="F1501">
        <v>17</v>
      </c>
      <c r="G1501">
        <v>18</v>
      </c>
      <c r="H1501">
        <v>20</v>
      </c>
      <c r="I1501" s="7">
        <v>9.5341408277031405</v>
      </c>
      <c r="J1501" s="6">
        <v>10.461823119109701</v>
      </c>
      <c r="K1501" s="6">
        <v>12.069604157452501</v>
      </c>
      <c r="L1501">
        <v>1.1816181281428699</v>
      </c>
      <c r="M1501">
        <v>0.568353525777756</v>
      </c>
    </row>
    <row r="1502" spans="1:13" x14ac:dyDescent="0.25">
      <c r="A1502">
        <v>1264</v>
      </c>
      <c r="B1502" t="str">
        <f>"ACTB;ACTG1"</f>
        <v>ACTB;ACTG1</v>
      </c>
      <c r="C1502" t="str">
        <f>""</f>
        <v/>
      </c>
      <c r="D1502">
        <v>41.735999999999997</v>
      </c>
      <c r="E1502">
        <v>50.1</v>
      </c>
      <c r="F1502">
        <v>164</v>
      </c>
      <c r="G1502">
        <v>180</v>
      </c>
      <c r="H1502">
        <v>148</v>
      </c>
      <c r="I1502" s="7">
        <v>91.976417396665596</v>
      </c>
      <c r="J1502" s="6">
        <v>104.618231191097</v>
      </c>
      <c r="K1502" s="6">
        <v>89.315070765148207</v>
      </c>
      <c r="L1502">
        <v>1.0542555768391799</v>
      </c>
      <c r="M1502">
        <v>0.56839302255341395</v>
      </c>
    </row>
    <row r="1503" spans="1:13" x14ac:dyDescent="0.25">
      <c r="A1503">
        <v>673</v>
      </c>
      <c r="B1503" t="str">
        <f>"EEF2"</f>
        <v>EEF2</v>
      </c>
      <c r="C1503" t="str">
        <f>""</f>
        <v/>
      </c>
      <c r="D1503">
        <v>95.337000000000003</v>
      </c>
      <c r="E1503">
        <v>13.5</v>
      </c>
      <c r="F1503">
        <v>58</v>
      </c>
      <c r="G1503">
        <v>48</v>
      </c>
      <c r="H1503">
        <v>52</v>
      </c>
      <c r="I1503" s="7">
        <v>32.528245176869497</v>
      </c>
      <c r="J1503" s="6">
        <v>27.898194984292601</v>
      </c>
      <c r="K1503" s="6">
        <v>31.3809708093764</v>
      </c>
      <c r="L1503">
        <v>-1.09745961304818</v>
      </c>
      <c r="M1503">
        <v>0.57137727090790402</v>
      </c>
    </row>
    <row r="1504" spans="1:13" x14ac:dyDescent="0.25">
      <c r="A1504">
        <v>474</v>
      </c>
      <c r="B1504" t="str">
        <f>"IGHA1"</f>
        <v>IGHA1</v>
      </c>
      <c r="C1504" t="str">
        <f>""</f>
        <v/>
      </c>
      <c r="D1504">
        <v>37.654000000000003</v>
      </c>
      <c r="E1504">
        <v>38</v>
      </c>
      <c r="F1504">
        <v>7</v>
      </c>
      <c r="G1504">
        <v>6</v>
      </c>
      <c r="H1504">
        <v>4</v>
      </c>
      <c r="I1504" s="7">
        <v>3.9258226937601099</v>
      </c>
      <c r="J1504" s="6">
        <v>3.4872743730365801</v>
      </c>
      <c r="K1504" s="6">
        <v>2.4139208314904899</v>
      </c>
      <c r="L1504">
        <v>-1.3305178214570601</v>
      </c>
      <c r="M1504">
        <v>0.57253809694104196</v>
      </c>
    </row>
    <row r="1505" spans="1:13" x14ac:dyDescent="0.25">
      <c r="A1505">
        <v>1947</v>
      </c>
      <c r="B1505" t="str">
        <f>"ZC3H14"</f>
        <v>ZC3H14</v>
      </c>
      <c r="C1505" t="str">
        <f>""</f>
        <v/>
      </c>
      <c r="D1505">
        <v>61.353999999999999</v>
      </c>
      <c r="E1505">
        <v>8.8000000000000007</v>
      </c>
      <c r="F1505">
        <v>10</v>
      </c>
      <c r="G1505">
        <v>6</v>
      </c>
      <c r="H1505">
        <v>9</v>
      </c>
      <c r="I1505" s="7">
        <v>5.6083181339430199</v>
      </c>
      <c r="J1505" s="6">
        <v>3.4872743730365801</v>
      </c>
      <c r="K1505" s="6">
        <v>5.4313218708536004</v>
      </c>
      <c r="L1505">
        <v>-1.2576683551035499</v>
      </c>
      <c r="M1505">
        <v>0.57265181684650601</v>
      </c>
    </row>
    <row r="1506" spans="1:13" x14ac:dyDescent="0.25">
      <c r="A1506">
        <v>3050</v>
      </c>
      <c r="B1506" t="str">
        <f>"NCKAP1"</f>
        <v>NCKAP1</v>
      </c>
      <c r="C1506" t="str">
        <f>""</f>
        <v/>
      </c>
      <c r="D1506">
        <v>128.79</v>
      </c>
      <c r="E1506">
        <v>4.8</v>
      </c>
      <c r="F1506">
        <v>7</v>
      </c>
      <c r="G1506">
        <v>5</v>
      </c>
      <c r="H1506">
        <v>5</v>
      </c>
      <c r="I1506" s="7">
        <v>3.9258226937601099</v>
      </c>
      <c r="J1506" s="6">
        <v>2.9060619775304799</v>
      </c>
      <c r="K1506" s="6">
        <v>3.0174010393631101</v>
      </c>
      <c r="L1506">
        <v>-1.32551606469518</v>
      </c>
      <c r="M1506">
        <v>0.57279012687684205</v>
      </c>
    </row>
    <row r="1507" spans="1:13" x14ac:dyDescent="0.25">
      <c r="A1507">
        <v>342</v>
      </c>
      <c r="B1507" t="str">
        <f>"TIPRL"</f>
        <v>TIPRL</v>
      </c>
      <c r="C1507" t="str">
        <f>""</f>
        <v/>
      </c>
      <c r="D1507">
        <v>20.213999999999999</v>
      </c>
      <c r="E1507">
        <v>18.5</v>
      </c>
      <c r="F1507">
        <v>7</v>
      </c>
      <c r="G1507">
        <v>5</v>
      </c>
      <c r="H1507">
        <v>5</v>
      </c>
      <c r="I1507" s="7">
        <v>3.9258226937601099</v>
      </c>
      <c r="J1507" s="6">
        <v>2.9060619775304799</v>
      </c>
      <c r="K1507" s="6">
        <v>3.0174010393631101</v>
      </c>
      <c r="L1507">
        <v>-1.32551606469518</v>
      </c>
      <c r="M1507">
        <v>0.57279012687684205</v>
      </c>
    </row>
    <row r="1508" spans="1:13" x14ac:dyDescent="0.25">
      <c r="A1508">
        <v>279</v>
      </c>
      <c r="B1508" t="str">
        <f>"SNX2"</f>
        <v>SNX2</v>
      </c>
      <c r="C1508" t="str">
        <f>""</f>
        <v/>
      </c>
      <c r="D1508">
        <v>58.47</v>
      </c>
      <c r="E1508">
        <v>15</v>
      </c>
      <c r="F1508">
        <v>10</v>
      </c>
      <c r="G1508">
        <v>8</v>
      </c>
      <c r="H1508">
        <v>7</v>
      </c>
      <c r="I1508" s="7">
        <v>5.6083181339430199</v>
      </c>
      <c r="J1508" s="6">
        <v>4.6496991640487702</v>
      </c>
      <c r="K1508" s="6">
        <v>4.2243614551083599</v>
      </c>
      <c r="L1508">
        <v>-1.2639801269411901</v>
      </c>
      <c r="M1508">
        <v>0.57292825749694798</v>
      </c>
    </row>
    <row r="1509" spans="1:13" x14ac:dyDescent="0.25">
      <c r="A1509">
        <v>446</v>
      </c>
      <c r="B1509" t="str">
        <f>"GOT2"</f>
        <v>GOT2</v>
      </c>
      <c r="C1509" t="str">
        <f>""</f>
        <v/>
      </c>
      <c r="D1509">
        <v>47.517000000000003</v>
      </c>
      <c r="E1509">
        <v>16.3</v>
      </c>
      <c r="F1509">
        <v>17</v>
      </c>
      <c r="G1509">
        <v>16</v>
      </c>
      <c r="H1509">
        <v>11</v>
      </c>
      <c r="I1509" s="7">
        <v>9.5341408277031405</v>
      </c>
      <c r="J1509" s="6">
        <v>9.2993983280975403</v>
      </c>
      <c r="K1509" s="6">
        <v>6.6382822865988498</v>
      </c>
      <c r="L1509">
        <v>-1.1964276431680501</v>
      </c>
      <c r="M1509">
        <v>0.57356536925750201</v>
      </c>
    </row>
    <row r="1510" spans="1:13" x14ac:dyDescent="0.25">
      <c r="A1510">
        <v>3002</v>
      </c>
      <c r="B1510" t="str">
        <f>"PRPF19"</f>
        <v>PRPF19</v>
      </c>
      <c r="C1510" t="str">
        <f>""</f>
        <v/>
      </c>
      <c r="D1510">
        <v>55.18</v>
      </c>
      <c r="E1510">
        <v>6.3</v>
      </c>
      <c r="F1510">
        <v>7</v>
      </c>
      <c r="G1510">
        <v>8</v>
      </c>
      <c r="H1510">
        <v>9</v>
      </c>
      <c r="I1510" s="7">
        <v>3.9258226937601099</v>
      </c>
      <c r="J1510" s="6">
        <v>4.6496991640487702</v>
      </c>
      <c r="K1510" s="6">
        <v>5.4313218708536004</v>
      </c>
      <c r="L1510">
        <v>1.2839373834846901</v>
      </c>
      <c r="M1510">
        <v>0.57577311330991598</v>
      </c>
    </row>
    <row r="1511" spans="1:13" x14ac:dyDescent="0.25">
      <c r="A1511">
        <v>110</v>
      </c>
      <c r="B1511" t="str">
        <f>"IPO5"</f>
        <v>IPO5</v>
      </c>
      <c r="C1511" t="str">
        <f>""</f>
        <v/>
      </c>
      <c r="D1511">
        <v>125.54</v>
      </c>
      <c r="E1511">
        <v>7.6</v>
      </c>
      <c r="F1511">
        <v>7</v>
      </c>
      <c r="G1511">
        <v>9</v>
      </c>
      <c r="H1511">
        <v>8</v>
      </c>
      <c r="I1511" s="7">
        <v>3.9258226937601099</v>
      </c>
      <c r="J1511" s="6">
        <v>5.2309115595548699</v>
      </c>
      <c r="K1511" s="6">
        <v>4.8278416629809797</v>
      </c>
      <c r="L1511">
        <v>1.2811013139390801</v>
      </c>
      <c r="M1511">
        <v>0.57577313602024704</v>
      </c>
    </row>
    <row r="1512" spans="1:13" x14ac:dyDescent="0.25">
      <c r="A1512">
        <v>1330</v>
      </c>
      <c r="B1512" t="str">
        <f>"RPL23A"</f>
        <v>RPL23A</v>
      </c>
      <c r="C1512" t="str">
        <f>""</f>
        <v/>
      </c>
      <c r="D1512">
        <v>17.695</v>
      </c>
      <c r="E1512">
        <v>19.899999999999999</v>
      </c>
      <c r="F1512">
        <v>7</v>
      </c>
      <c r="G1512">
        <v>7</v>
      </c>
      <c r="H1512">
        <v>10</v>
      </c>
      <c r="I1512" s="7">
        <v>3.9258226937601099</v>
      </c>
      <c r="J1512" s="6">
        <v>4.0684867685426802</v>
      </c>
      <c r="K1512" s="6">
        <v>6.03480207872623</v>
      </c>
      <c r="L1512">
        <v>1.2867734530303101</v>
      </c>
      <c r="M1512">
        <v>0.57601651320355096</v>
      </c>
    </row>
    <row r="1513" spans="1:13" x14ac:dyDescent="0.25">
      <c r="A1513">
        <v>920</v>
      </c>
      <c r="B1513" t="str">
        <f>"PRDX2"</f>
        <v>PRDX2</v>
      </c>
      <c r="C1513" t="str">
        <f>""</f>
        <v/>
      </c>
      <c r="D1513">
        <v>21.891999999999999</v>
      </c>
      <c r="E1513">
        <v>15.7</v>
      </c>
      <c r="F1513">
        <v>7</v>
      </c>
      <c r="G1513">
        <v>10</v>
      </c>
      <c r="H1513">
        <v>7</v>
      </c>
      <c r="I1513" s="7">
        <v>3.9258226937601099</v>
      </c>
      <c r="J1513" s="6">
        <v>5.8121239550609696</v>
      </c>
      <c r="K1513" s="6">
        <v>4.2243614551083599</v>
      </c>
      <c r="L1513">
        <v>1.2782652443934599</v>
      </c>
      <c r="M1513">
        <v>0.57601659957509999</v>
      </c>
    </row>
    <row r="1514" spans="1:13" x14ac:dyDescent="0.25">
      <c r="A1514">
        <v>1066</v>
      </c>
      <c r="B1514" t="str">
        <f>"IQGAP1"</f>
        <v>IQGAP1</v>
      </c>
      <c r="C1514" t="str">
        <f>""</f>
        <v/>
      </c>
      <c r="D1514">
        <v>189.25</v>
      </c>
      <c r="E1514">
        <v>6.5</v>
      </c>
      <c r="F1514">
        <v>7</v>
      </c>
      <c r="G1514">
        <v>6</v>
      </c>
      <c r="H1514">
        <v>11</v>
      </c>
      <c r="I1514" s="7">
        <v>3.9258226937601099</v>
      </c>
      <c r="J1514" s="6">
        <v>3.4872743730365801</v>
      </c>
      <c r="K1514" s="6">
        <v>6.6382822865988498</v>
      </c>
      <c r="L1514">
        <v>1.2896095225759301</v>
      </c>
      <c r="M1514">
        <v>0.57650374540591298</v>
      </c>
    </row>
    <row r="1515" spans="1:13" x14ac:dyDescent="0.25">
      <c r="A1515">
        <v>617</v>
      </c>
      <c r="B1515" t="str">
        <f>"LTA4H"</f>
        <v>LTA4H</v>
      </c>
      <c r="C1515" t="str">
        <f>""</f>
        <v/>
      </c>
      <c r="D1515">
        <v>66.850999999999999</v>
      </c>
      <c r="E1515">
        <v>9.9</v>
      </c>
      <c r="F1515">
        <v>8</v>
      </c>
      <c r="G1515">
        <v>9</v>
      </c>
      <c r="H1515">
        <v>10</v>
      </c>
      <c r="I1515" s="7">
        <v>4.4866545071544204</v>
      </c>
      <c r="J1515" s="6">
        <v>5.2309115595548699</v>
      </c>
      <c r="K1515" s="6">
        <v>6.03480207872623</v>
      </c>
      <c r="L1515">
        <v>1.2554692611517999</v>
      </c>
      <c r="M1515">
        <v>0.58795637720065996</v>
      </c>
    </row>
    <row r="1516" spans="1:13" x14ac:dyDescent="0.25">
      <c r="A1516">
        <v>604</v>
      </c>
      <c r="B1516" t="str">
        <f>"GSTP1"</f>
        <v>GSTP1</v>
      </c>
      <c r="C1516" t="str">
        <f>""</f>
        <v/>
      </c>
      <c r="D1516">
        <v>23.356000000000002</v>
      </c>
      <c r="E1516">
        <v>20</v>
      </c>
      <c r="F1516">
        <v>8</v>
      </c>
      <c r="G1516">
        <v>10</v>
      </c>
      <c r="H1516">
        <v>9</v>
      </c>
      <c r="I1516" s="7">
        <v>4.4866545071544204</v>
      </c>
      <c r="J1516" s="6">
        <v>5.8121239550609696</v>
      </c>
      <c r="K1516" s="6">
        <v>5.4313218708536004</v>
      </c>
      <c r="L1516">
        <v>1.2529877002993901</v>
      </c>
      <c r="M1516">
        <v>0.58795640562364004</v>
      </c>
    </row>
    <row r="1517" spans="1:13" x14ac:dyDescent="0.25">
      <c r="A1517">
        <v>528</v>
      </c>
      <c r="B1517" t="str">
        <f>"ALDH2"</f>
        <v>ALDH2</v>
      </c>
      <c r="C1517" t="str">
        <f>""</f>
        <v/>
      </c>
      <c r="D1517">
        <v>56.381</v>
      </c>
      <c r="E1517">
        <v>14.3</v>
      </c>
      <c r="F1517">
        <v>8</v>
      </c>
      <c r="G1517">
        <v>10</v>
      </c>
      <c r="H1517">
        <v>9</v>
      </c>
      <c r="I1517" s="7">
        <v>4.4866545071544204</v>
      </c>
      <c r="J1517" s="6">
        <v>5.8121239550609696</v>
      </c>
      <c r="K1517" s="6">
        <v>5.4313218708536004</v>
      </c>
      <c r="L1517">
        <v>1.2529877002993901</v>
      </c>
      <c r="M1517">
        <v>0.58795640562364004</v>
      </c>
    </row>
    <row r="1518" spans="1:13" x14ac:dyDescent="0.25">
      <c r="A1518">
        <v>777</v>
      </c>
      <c r="B1518" t="str">
        <f>"FLNA"</f>
        <v>FLNA</v>
      </c>
      <c r="C1518" t="str">
        <f>""</f>
        <v/>
      </c>
      <c r="D1518">
        <v>280.01</v>
      </c>
      <c r="E1518">
        <v>7</v>
      </c>
      <c r="F1518">
        <v>8</v>
      </c>
      <c r="G1518">
        <v>11</v>
      </c>
      <c r="H1518">
        <v>8</v>
      </c>
      <c r="I1518" s="7">
        <v>4.4866545071544204</v>
      </c>
      <c r="J1518" s="6">
        <v>6.3933363505670604</v>
      </c>
      <c r="K1518" s="6">
        <v>4.8278416629809797</v>
      </c>
      <c r="L1518">
        <v>1.2505061394469701</v>
      </c>
      <c r="M1518">
        <v>0.58816406046202996</v>
      </c>
    </row>
    <row r="1519" spans="1:13" x14ac:dyDescent="0.25">
      <c r="A1519">
        <v>1732</v>
      </c>
      <c r="B1519" t="str">
        <f>"SF3A1"</f>
        <v>SF3A1</v>
      </c>
      <c r="C1519" t="str">
        <f>""</f>
        <v/>
      </c>
      <c r="D1519">
        <v>88.885000000000005</v>
      </c>
      <c r="E1519">
        <v>12.2</v>
      </c>
      <c r="F1519">
        <v>14</v>
      </c>
      <c r="G1519">
        <v>11</v>
      </c>
      <c r="H1519">
        <v>11</v>
      </c>
      <c r="I1519" s="7">
        <v>7.8516453875202297</v>
      </c>
      <c r="J1519" s="6">
        <v>6.3933363505670604</v>
      </c>
      <c r="K1519" s="6">
        <v>6.6382822865988498</v>
      </c>
      <c r="L1519">
        <v>-1.2050146042683401</v>
      </c>
      <c r="M1519">
        <v>0.58939835310934197</v>
      </c>
    </row>
    <row r="1520" spans="1:13" x14ac:dyDescent="0.25">
      <c r="A1520">
        <v>2306</v>
      </c>
      <c r="B1520" t="str">
        <f>"KHSRP"</f>
        <v>KHSRP</v>
      </c>
      <c r="C1520" t="str">
        <f>""</f>
        <v/>
      </c>
      <c r="D1520">
        <v>73.114000000000004</v>
      </c>
      <c r="E1520">
        <v>18.100000000000001</v>
      </c>
      <c r="F1520">
        <v>29</v>
      </c>
      <c r="G1520">
        <v>31</v>
      </c>
      <c r="H1520">
        <v>31</v>
      </c>
      <c r="I1520" s="7">
        <v>16.264122588434802</v>
      </c>
      <c r="J1520" s="6">
        <v>18.017584260688999</v>
      </c>
      <c r="K1520" s="6">
        <v>18.707886444051301</v>
      </c>
      <c r="L1520">
        <v>1.1290332603264901</v>
      </c>
      <c r="M1520">
        <v>0.58949553480550398</v>
      </c>
    </row>
    <row r="1521" spans="1:13" x14ac:dyDescent="0.25">
      <c r="A1521">
        <v>1114</v>
      </c>
      <c r="B1521" t="str">
        <f>"MCM2"</f>
        <v>MCM2</v>
      </c>
      <c r="C1521" t="str">
        <f>""</f>
        <v/>
      </c>
      <c r="D1521">
        <v>101.89</v>
      </c>
      <c r="E1521">
        <v>15.8</v>
      </c>
      <c r="F1521">
        <v>22</v>
      </c>
      <c r="G1521">
        <v>17</v>
      </c>
      <c r="H1521">
        <v>19</v>
      </c>
      <c r="I1521" s="7">
        <v>12.3382998946746</v>
      </c>
      <c r="J1521" s="6">
        <v>9.88061072360364</v>
      </c>
      <c r="K1521" s="6">
        <v>11.466123949579799</v>
      </c>
      <c r="L1521">
        <v>-1.1559894366583801</v>
      </c>
      <c r="M1521">
        <v>0.59263769828685198</v>
      </c>
    </row>
    <row r="1522" spans="1:13" x14ac:dyDescent="0.25">
      <c r="A1522">
        <v>1259</v>
      </c>
      <c r="B1522" t="str">
        <f>"ARPC4"</f>
        <v>ARPC4</v>
      </c>
      <c r="C1522" t="str">
        <f>""</f>
        <v/>
      </c>
      <c r="D1522">
        <v>9.5521999999999991</v>
      </c>
      <c r="E1522">
        <v>10.3</v>
      </c>
      <c r="F1522">
        <v>9</v>
      </c>
      <c r="G1522">
        <v>11</v>
      </c>
      <c r="H1522">
        <v>10</v>
      </c>
      <c r="I1522" s="7">
        <v>5.0474863205487202</v>
      </c>
      <c r="J1522" s="6">
        <v>6.3933363505670604</v>
      </c>
      <c r="K1522" s="6">
        <v>6.03480207872623</v>
      </c>
      <c r="L1522">
        <v>1.2311215563574001</v>
      </c>
      <c r="M1522">
        <v>0.59776935615399396</v>
      </c>
    </row>
    <row r="1523" spans="1:13" x14ac:dyDescent="0.25">
      <c r="A1523">
        <v>3045</v>
      </c>
      <c r="B1523" t="str">
        <f>"NUDC"</f>
        <v>NUDC</v>
      </c>
      <c r="C1523" t="str">
        <f>""</f>
        <v/>
      </c>
      <c r="D1523">
        <v>38.241999999999997</v>
      </c>
      <c r="E1523">
        <v>17.8</v>
      </c>
      <c r="F1523">
        <v>9</v>
      </c>
      <c r="G1523">
        <v>12</v>
      </c>
      <c r="H1523">
        <v>9</v>
      </c>
      <c r="I1523" s="7">
        <v>5.0474863205487202</v>
      </c>
      <c r="J1523" s="6">
        <v>6.9745487460731601</v>
      </c>
      <c r="K1523" s="6">
        <v>5.4313218708536004</v>
      </c>
      <c r="L1523">
        <v>1.22891572448859</v>
      </c>
      <c r="M1523">
        <v>0.59794910537711499</v>
      </c>
    </row>
    <row r="1524" spans="1:13" x14ac:dyDescent="0.25">
      <c r="A1524">
        <v>742</v>
      </c>
      <c r="B1524" t="str">
        <f>"RPL17"</f>
        <v>RPL17</v>
      </c>
      <c r="C1524" t="str">
        <f>""</f>
        <v/>
      </c>
      <c r="D1524">
        <v>17.094000000000001</v>
      </c>
      <c r="E1524">
        <v>17.100000000000001</v>
      </c>
      <c r="F1524">
        <v>7</v>
      </c>
      <c r="G1524">
        <v>1</v>
      </c>
      <c r="H1524">
        <v>10</v>
      </c>
      <c r="I1524" s="7">
        <v>3.9258226937601099</v>
      </c>
      <c r="J1524" s="6">
        <v>0.58121239550609605</v>
      </c>
      <c r="K1524" s="6">
        <v>6.03480207872623</v>
      </c>
      <c r="L1524">
        <v>-1.1867636351311499</v>
      </c>
      <c r="M1524">
        <v>0.60022446539125396</v>
      </c>
    </row>
    <row r="1525" spans="1:13" x14ac:dyDescent="0.25">
      <c r="A1525">
        <v>54</v>
      </c>
      <c r="B1525" t="str">
        <f>"KRT5"</f>
        <v>KRT5</v>
      </c>
      <c r="C1525" t="str">
        <f>""</f>
        <v/>
      </c>
      <c r="D1525">
        <v>62.378</v>
      </c>
      <c r="E1525">
        <v>20</v>
      </c>
      <c r="F1525">
        <v>5</v>
      </c>
      <c r="G1525">
        <v>6</v>
      </c>
      <c r="H1525">
        <v>1</v>
      </c>
      <c r="I1525" s="7">
        <v>2.80415906697151</v>
      </c>
      <c r="J1525" s="6">
        <v>3.4872743730365801</v>
      </c>
      <c r="K1525" s="6">
        <v>0.60348020787262302</v>
      </c>
      <c r="L1525">
        <v>-1.37097399098836</v>
      </c>
      <c r="M1525">
        <v>0.60151661975330195</v>
      </c>
    </row>
    <row r="1526" spans="1:13" x14ac:dyDescent="0.25">
      <c r="A1526">
        <v>1161</v>
      </c>
      <c r="B1526" t="str">
        <f>"BCAP31"</f>
        <v>BCAP31</v>
      </c>
      <c r="C1526" t="str">
        <f>""</f>
        <v/>
      </c>
      <c r="D1526">
        <v>27.991</v>
      </c>
      <c r="E1526">
        <v>13.4</v>
      </c>
      <c r="F1526">
        <v>5</v>
      </c>
      <c r="G1526">
        <v>6</v>
      </c>
      <c r="H1526">
        <v>1</v>
      </c>
      <c r="I1526" s="7">
        <v>2.80415906697151</v>
      </c>
      <c r="J1526" s="6">
        <v>3.4872743730365801</v>
      </c>
      <c r="K1526" s="6">
        <v>0.60348020787262302</v>
      </c>
      <c r="L1526">
        <v>-1.37097399098836</v>
      </c>
      <c r="M1526">
        <v>0.60151661975330195</v>
      </c>
    </row>
    <row r="1527" spans="1:13" x14ac:dyDescent="0.25">
      <c r="A1527">
        <v>1363</v>
      </c>
      <c r="B1527" t="str">
        <f>"UBE2L3"</f>
        <v>UBE2L3</v>
      </c>
      <c r="C1527" t="str">
        <f>""</f>
        <v/>
      </c>
      <c r="D1527">
        <v>14.121</v>
      </c>
      <c r="E1527">
        <v>27</v>
      </c>
      <c r="F1527">
        <v>18</v>
      </c>
      <c r="G1527">
        <v>26</v>
      </c>
      <c r="H1527">
        <v>14</v>
      </c>
      <c r="I1527" s="7">
        <v>10.094972641097399</v>
      </c>
      <c r="J1527" s="6">
        <v>15.1115222831585</v>
      </c>
      <c r="K1527" s="6">
        <v>8.4487229102167198</v>
      </c>
      <c r="L1527">
        <v>1.16692962086195</v>
      </c>
      <c r="M1527">
        <v>0.60328009246727698</v>
      </c>
    </row>
    <row r="1528" spans="1:13" x14ac:dyDescent="0.25">
      <c r="A1528">
        <v>1277</v>
      </c>
      <c r="B1528" t="str">
        <f>"RAB14"</f>
        <v>RAB14</v>
      </c>
      <c r="C1528" t="str">
        <f>""</f>
        <v/>
      </c>
      <c r="D1528">
        <v>23.896999999999998</v>
      </c>
      <c r="E1528">
        <v>27.4</v>
      </c>
      <c r="F1528">
        <v>11</v>
      </c>
      <c r="G1528">
        <v>9</v>
      </c>
      <c r="H1528">
        <v>8</v>
      </c>
      <c r="I1528" s="7">
        <v>6.1691499473373197</v>
      </c>
      <c r="J1528" s="6">
        <v>5.2309115595548699</v>
      </c>
      <c r="K1528" s="6">
        <v>4.8278416629809797</v>
      </c>
      <c r="L1528">
        <v>-1.22662318298372</v>
      </c>
      <c r="M1528">
        <v>0.60368606709564598</v>
      </c>
    </row>
    <row r="1529" spans="1:13" x14ac:dyDescent="0.25">
      <c r="A1529">
        <v>2332</v>
      </c>
      <c r="B1529" t="str">
        <f>"FUBP1"</f>
        <v>FUBP1</v>
      </c>
      <c r="C1529" t="str">
        <f>""</f>
        <v/>
      </c>
      <c r="D1529">
        <v>67.56</v>
      </c>
      <c r="E1529">
        <v>10.199999999999999</v>
      </c>
      <c r="F1529">
        <v>11</v>
      </c>
      <c r="G1529">
        <v>8</v>
      </c>
      <c r="H1529">
        <v>9</v>
      </c>
      <c r="I1529" s="7">
        <v>6.1691499473373197</v>
      </c>
      <c r="J1529" s="6">
        <v>4.6496991640487702</v>
      </c>
      <c r="K1529" s="6">
        <v>5.4313218708536004</v>
      </c>
      <c r="L1529">
        <v>-1.2239137138943701</v>
      </c>
      <c r="M1529">
        <v>0.60368609962245601</v>
      </c>
    </row>
    <row r="1530" spans="1:13" x14ac:dyDescent="0.25">
      <c r="A1530">
        <v>943</v>
      </c>
      <c r="B1530" t="str">
        <f>"SERPINB6"</f>
        <v>SERPINB6</v>
      </c>
      <c r="C1530" t="str">
        <f>""</f>
        <v/>
      </c>
      <c r="D1530">
        <v>42.621000000000002</v>
      </c>
      <c r="E1530">
        <v>19.100000000000001</v>
      </c>
      <c r="F1530">
        <v>10</v>
      </c>
      <c r="G1530">
        <v>12</v>
      </c>
      <c r="H1530">
        <v>11</v>
      </c>
      <c r="I1530" s="7">
        <v>5.6083181339430199</v>
      </c>
      <c r="J1530" s="6">
        <v>6.9745487460731601</v>
      </c>
      <c r="K1530" s="6">
        <v>6.6382822865988498</v>
      </c>
      <c r="L1530">
        <v>1.21362864120382</v>
      </c>
      <c r="M1530">
        <v>0.60577430692606404</v>
      </c>
    </row>
    <row r="1531" spans="1:13" x14ac:dyDescent="0.25">
      <c r="A1531">
        <v>166</v>
      </c>
      <c r="B1531" t="str">
        <f>"PFAS"</f>
        <v>PFAS</v>
      </c>
      <c r="C1531" t="str">
        <f>""</f>
        <v/>
      </c>
      <c r="D1531">
        <v>144.72999999999999</v>
      </c>
      <c r="E1531">
        <v>4.8</v>
      </c>
      <c r="F1531">
        <v>10</v>
      </c>
      <c r="G1531">
        <v>10</v>
      </c>
      <c r="H1531">
        <v>13</v>
      </c>
      <c r="I1531" s="7">
        <v>5.6083181339430199</v>
      </c>
      <c r="J1531" s="6">
        <v>5.8121239550609696</v>
      </c>
      <c r="K1531" s="6">
        <v>7.8452427023441</v>
      </c>
      <c r="L1531">
        <v>1.2175991385676801</v>
      </c>
      <c r="M1531">
        <v>0.60593177398291997</v>
      </c>
    </row>
    <row r="1532" spans="1:13" x14ac:dyDescent="0.25">
      <c r="A1532">
        <v>1274</v>
      </c>
      <c r="B1532" t="str">
        <f>"UBE2M"</f>
        <v>UBE2M</v>
      </c>
      <c r="C1532" t="str">
        <f>""</f>
        <v/>
      </c>
      <c r="D1532">
        <v>20.9</v>
      </c>
      <c r="E1532">
        <v>17.5</v>
      </c>
      <c r="F1532">
        <v>10</v>
      </c>
      <c r="G1532">
        <v>14</v>
      </c>
      <c r="H1532">
        <v>9</v>
      </c>
      <c r="I1532" s="7">
        <v>5.6083181339430199</v>
      </c>
      <c r="J1532" s="6">
        <v>8.1369735370853498</v>
      </c>
      <c r="K1532" s="6">
        <v>5.4313218708536004</v>
      </c>
      <c r="L1532">
        <v>1.2096581438399601</v>
      </c>
      <c r="M1532">
        <v>0.60624711616385296</v>
      </c>
    </row>
    <row r="1533" spans="1:13" x14ac:dyDescent="0.25">
      <c r="A1533">
        <v>149</v>
      </c>
      <c r="B1533" t="str">
        <f>"PSMA7;PSMA8"</f>
        <v>PSMA7;PSMA8</v>
      </c>
      <c r="C1533" t="str">
        <f>""</f>
        <v/>
      </c>
      <c r="D1533">
        <v>27.887</v>
      </c>
      <c r="E1533">
        <v>23.4</v>
      </c>
      <c r="F1533">
        <v>3</v>
      </c>
      <c r="G1533">
        <v>4</v>
      </c>
      <c r="H1533">
        <v>4</v>
      </c>
      <c r="I1533" s="7">
        <v>1.68249544018291</v>
      </c>
      <c r="J1533" s="6">
        <v>2.32484958202439</v>
      </c>
      <c r="K1533" s="6">
        <v>2.4139208314904899</v>
      </c>
      <c r="L1533">
        <v>1.4082565397620701</v>
      </c>
      <c r="M1533">
        <v>0.60660985329960204</v>
      </c>
    </row>
    <row r="1534" spans="1:13" x14ac:dyDescent="0.25">
      <c r="A1534">
        <v>1784</v>
      </c>
      <c r="B1534" t="str">
        <f>"UGP2"</f>
        <v>UGP2</v>
      </c>
      <c r="C1534" t="str">
        <f>""</f>
        <v/>
      </c>
      <c r="D1534">
        <v>55.676000000000002</v>
      </c>
      <c r="E1534">
        <v>8</v>
      </c>
      <c r="F1534">
        <v>3</v>
      </c>
      <c r="G1534">
        <v>4</v>
      </c>
      <c r="H1534">
        <v>4</v>
      </c>
      <c r="I1534" s="7">
        <v>1.68249544018291</v>
      </c>
      <c r="J1534" s="6">
        <v>2.32484958202439</v>
      </c>
      <c r="K1534" s="6">
        <v>2.4139208314904899</v>
      </c>
      <c r="L1534">
        <v>1.4082565397620701</v>
      </c>
      <c r="M1534">
        <v>0.60660985329960204</v>
      </c>
    </row>
    <row r="1535" spans="1:13" x14ac:dyDescent="0.25">
      <c r="A1535">
        <v>2459</v>
      </c>
      <c r="B1535" t="str">
        <f>"IWS1"</f>
        <v>IWS1</v>
      </c>
      <c r="C1535" t="str">
        <f>""</f>
        <v/>
      </c>
      <c r="D1535">
        <v>56.109000000000002</v>
      </c>
      <c r="E1535">
        <v>6.9</v>
      </c>
      <c r="F1535">
        <v>3</v>
      </c>
      <c r="G1535">
        <v>4</v>
      </c>
      <c r="H1535">
        <v>4</v>
      </c>
      <c r="I1535" s="7">
        <v>1.68249544018291</v>
      </c>
      <c r="J1535" s="6">
        <v>2.32484958202439</v>
      </c>
      <c r="K1535" s="6">
        <v>2.4139208314904899</v>
      </c>
      <c r="L1535">
        <v>1.4082565397620701</v>
      </c>
      <c r="M1535">
        <v>0.60660985329960204</v>
      </c>
    </row>
    <row r="1536" spans="1:13" x14ac:dyDescent="0.25">
      <c r="A1536">
        <v>1119</v>
      </c>
      <c r="B1536" t="str">
        <f>"NUMB"</f>
        <v>NUMB</v>
      </c>
      <c r="C1536" t="str">
        <f>""</f>
        <v/>
      </c>
      <c r="D1536">
        <v>37.395000000000003</v>
      </c>
      <c r="E1536">
        <v>4.3</v>
      </c>
      <c r="F1536">
        <v>3</v>
      </c>
      <c r="G1536">
        <v>4</v>
      </c>
      <c r="H1536">
        <v>4</v>
      </c>
      <c r="I1536" s="7">
        <v>1.68249544018291</v>
      </c>
      <c r="J1536" s="6">
        <v>2.32484958202439</v>
      </c>
      <c r="K1536" s="6">
        <v>2.4139208314904899</v>
      </c>
      <c r="L1536">
        <v>1.4082565397620701</v>
      </c>
      <c r="M1536">
        <v>0.60660985329960204</v>
      </c>
    </row>
    <row r="1537" spans="1:13" x14ac:dyDescent="0.25">
      <c r="A1537">
        <v>1763</v>
      </c>
      <c r="B1537" t="str">
        <f>"MAPK14"</f>
        <v>MAPK14</v>
      </c>
      <c r="C1537" t="str">
        <f>"MAPK14"</f>
        <v>MAPK14</v>
      </c>
      <c r="D1537">
        <v>41.292999999999999</v>
      </c>
      <c r="E1537">
        <v>5.3</v>
      </c>
      <c r="F1537">
        <v>3</v>
      </c>
      <c r="G1537">
        <v>4</v>
      </c>
      <c r="H1537">
        <v>4</v>
      </c>
      <c r="I1537" s="7">
        <v>1.68249544018291</v>
      </c>
      <c r="J1537" s="6">
        <v>2.32484958202439</v>
      </c>
      <c r="K1537" s="6">
        <v>2.4139208314904899</v>
      </c>
      <c r="L1537">
        <v>1.4082565397620701</v>
      </c>
      <c r="M1537">
        <v>0.60660985329960204</v>
      </c>
    </row>
    <row r="1538" spans="1:13" x14ac:dyDescent="0.25">
      <c r="A1538">
        <v>2110</v>
      </c>
      <c r="B1538" t="str">
        <f>"EXOC8"</f>
        <v>EXOC8</v>
      </c>
      <c r="C1538" t="str">
        <f>""</f>
        <v/>
      </c>
      <c r="D1538">
        <v>81.798000000000002</v>
      </c>
      <c r="E1538">
        <v>3.3</v>
      </c>
      <c r="F1538">
        <v>3</v>
      </c>
      <c r="G1538">
        <v>4</v>
      </c>
      <c r="H1538">
        <v>4</v>
      </c>
      <c r="I1538" s="7">
        <v>1.68249544018291</v>
      </c>
      <c r="J1538" s="6">
        <v>2.32484958202439</v>
      </c>
      <c r="K1538" s="6">
        <v>2.4139208314904899</v>
      </c>
      <c r="L1538">
        <v>1.4082565397620701</v>
      </c>
      <c r="M1538">
        <v>0.60660985329960204</v>
      </c>
    </row>
    <row r="1539" spans="1:13" x14ac:dyDescent="0.25">
      <c r="A1539">
        <v>2551</v>
      </c>
      <c r="B1539" t="str">
        <f>"TBCD"</f>
        <v>TBCD</v>
      </c>
      <c r="C1539" t="str">
        <f>""</f>
        <v/>
      </c>
      <c r="D1539">
        <v>138.66999999999999</v>
      </c>
      <c r="E1539">
        <v>3.9</v>
      </c>
      <c r="F1539">
        <v>3</v>
      </c>
      <c r="G1539">
        <v>4</v>
      </c>
      <c r="H1539">
        <v>4</v>
      </c>
      <c r="I1539" s="7">
        <v>1.68249544018291</v>
      </c>
      <c r="J1539" s="6">
        <v>2.32484958202439</v>
      </c>
      <c r="K1539" s="6">
        <v>2.4139208314904899</v>
      </c>
      <c r="L1539">
        <v>1.4082565397620701</v>
      </c>
      <c r="M1539">
        <v>0.60660985329960204</v>
      </c>
    </row>
    <row r="1540" spans="1:13" x14ac:dyDescent="0.25">
      <c r="A1540">
        <v>2852</v>
      </c>
      <c r="B1540" t="str">
        <f>"BRE"</f>
        <v>BRE</v>
      </c>
      <c r="C1540" t="str">
        <f>""</f>
        <v/>
      </c>
      <c r="D1540">
        <v>42.697000000000003</v>
      </c>
      <c r="E1540">
        <v>3.7</v>
      </c>
      <c r="F1540">
        <v>3</v>
      </c>
      <c r="G1540">
        <v>4</v>
      </c>
      <c r="H1540">
        <v>4</v>
      </c>
      <c r="I1540" s="7">
        <v>1.68249544018291</v>
      </c>
      <c r="J1540" s="6">
        <v>2.32484958202439</v>
      </c>
      <c r="K1540" s="6">
        <v>2.4139208314904899</v>
      </c>
      <c r="L1540">
        <v>1.4082565397620701</v>
      </c>
      <c r="M1540">
        <v>0.60660985329960204</v>
      </c>
    </row>
    <row r="1541" spans="1:13" x14ac:dyDescent="0.25">
      <c r="A1541">
        <v>196</v>
      </c>
      <c r="B1541" t="str">
        <f>"P4HA2"</f>
        <v>P4HA2</v>
      </c>
      <c r="C1541" t="str">
        <f>""</f>
        <v/>
      </c>
      <c r="D1541">
        <v>60.631999999999998</v>
      </c>
      <c r="E1541">
        <v>9.6</v>
      </c>
      <c r="F1541">
        <v>3</v>
      </c>
      <c r="G1541">
        <v>3</v>
      </c>
      <c r="H1541">
        <v>5</v>
      </c>
      <c r="I1541" s="7">
        <v>1.68249544018291</v>
      </c>
      <c r="J1541" s="6">
        <v>1.74363718651829</v>
      </c>
      <c r="K1541" s="6">
        <v>3.0174010393631101</v>
      </c>
      <c r="L1541">
        <v>1.4148740353685101</v>
      </c>
      <c r="M1541">
        <v>0.60699912529945699</v>
      </c>
    </row>
    <row r="1542" spans="1:13" x14ac:dyDescent="0.25">
      <c r="A1542">
        <v>774</v>
      </c>
      <c r="B1542" t="str">
        <f>"GSTM3"</f>
        <v>GSTM3</v>
      </c>
      <c r="C1542" t="str">
        <f>""</f>
        <v/>
      </c>
      <c r="D1542">
        <v>26.559000000000001</v>
      </c>
      <c r="E1542">
        <v>28</v>
      </c>
      <c r="F1542">
        <v>3</v>
      </c>
      <c r="G1542">
        <v>3</v>
      </c>
      <c r="H1542">
        <v>5</v>
      </c>
      <c r="I1542" s="7">
        <v>1.68249544018291</v>
      </c>
      <c r="J1542" s="6">
        <v>1.74363718651829</v>
      </c>
      <c r="K1542" s="6">
        <v>3.0174010393631101</v>
      </c>
      <c r="L1542">
        <v>1.4148740353685101</v>
      </c>
      <c r="M1542">
        <v>0.60699912529945699</v>
      </c>
    </row>
    <row r="1543" spans="1:13" x14ac:dyDescent="0.25">
      <c r="A1543">
        <v>1125</v>
      </c>
      <c r="B1543" t="str">
        <f>"MTHFS"</f>
        <v>MTHFS</v>
      </c>
      <c r="C1543" t="str">
        <f>""</f>
        <v/>
      </c>
      <c r="D1543">
        <v>20.518999999999998</v>
      </c>
      <c r="E1543">
        <v>6.7</v>
      </c>
      <c r="F1543">
        <v>3</v>
      </c>
      <c r="G1543">
        <v>3</v>
      </c>
      <c r="H1543">
        <v>5</v>
      </c>
      <c r="I1543" s="7">
        <v>1.68249544018291</v>
      </c>
      <c r="J1543" s="6">
        <v>1.74363718651829</v>
      </c>
      <c r="K1543" s="6">
        <v>3.0174010393631101</v>
      </c>
      <c r="L1543">
        <v>1.4148740353685101</v>
      </c>
      <c r="M1543">
        <v>0.60699912529945699</v>
      </c>
    </row>
    <row r="1544" spans="1:13" x14ac:dyDescent="0.25">
      <c r="A1544">
        <v>297</v>
      </c>
      <c r="B1544" t="str">
        <f>"WDR1"</f>
        <v>WDR1</v>
      </c>
      <c r="C1544" t="str">
        <f>""</f>
        <v/>
      </c>
      <c r="D1544">
        <v>66.192999999999998</v>
      </c>
      <c r="E1544">
        <v>5.9</v>
      </c>
      <c r="F1544">
        <v>3</v>
      </c>
      <c r="G1544">
        <v>5</v>
      </c>
      <c r="H1544">
        <v>3</v>
      </c>
      <c r="I1544" s="7">
        <v>1.68249544018291</v>
      </c>
      <c r="J1544" s="6">
        <v>2.9060619775304799</v>
      </c>
      <c r="K1544" s="6">
        <v>1.8104406236178701</v>
      </c>
      <c r="L1544">
        <v>1.4016390441556299</v>
      </c>
      <c r="M1544">
        <v>0.60699918352040005</v>
      </c>
    </row>
    <row r="1545" spans="1:13" x14ac:dyDescent="0.25">
      <c r="A1545">
        <v>909</v>
      </c>
      <c r="B1545" t="str">
        <f>"CPS1"</f>
        <v>CPS1</v>
      </c>
      <c r="C1545" t="str">
        <f>""</f>
        <v/>
      </c>
      <c r="D1545">
        <v>116.04</v>
      </c>
      <c r="E1545">
        <v>3</v>
      </c>
      <c r="F1545">
        <v>3</v>
      </c>
      <c r="G1545">
        <v>5</v>
      </c>
      <c r="H1545">
        <v>3</v>
      </c>
      <c r="I1545" s="7">
        <v>1.68249544018291</v>
      </c>
      <c r="J1545" s="6">
        <v>2.9060619775304799</v>
      </c>
      <c r="K1545" s="6">
        <v>1.8104406236178701</v>
      </c>
      <c r="L1545">
        <v>1.4016390441556299</v>
      </c>
      <c r="M1545">
        <v>0.60699918352040005</v>
      </c>
    </row>
    <row r="1546" spans="1:13" x14ac:dyDescent="0.25">
      <c r="A1546">
        <v>1010</v>
      </c>
      <c r="B1546" t="str">
        <f>"CSK;MATK"</f>
        <v>CSK;MATK</v>
      </c>
      <c r="C1546" t="str">
        <f>"CSK;MATK"</f>
        <v>CSK;MATK</v>
      </c>
      <c r="D1546">
        <v>50.704000000000001</v>
      </c>
      <c r="E1546">
        <v>5.3</v>
      </c>
      <c r="F1546">
        <v>3</v>
      </c>
      <c r="G1546">
        <v>5</v>
      </c>
      <c r="H1546">
        <v>3</v>
      </c>
      <c r="I1546" s="7">
        <v>1.68249544018291</v>
      </c>
      <c r="J1546" s="6">
        <v>2.9060619775304799</v>
      </c>
      <c r="K1546" s="6">
        <v>1.8104406236178701</v>
      </c>
      <c r="L1546">
        <v>1.4016390441556299</v>
      </c>
      <c r="M1546">
        <v>0.60699918352040005</v>
      </c>
    </row>
    <row r="1547" spans="1:13" x14ac:dyDescent="0.25">
      <c r="A1547">
        <v>1129</v>
      </c>
      <c r="B1547" t="str">
        <f>"IDH3A"</f>
        <v>IDH3A</v>
      </c>
      <c r="C1547" t="str">
        <f>""</f>
        <v/>
      </c>
      <c r="D1547">
        <v>39.591000000000001</v>
      </c>
      <c r="E1547">
        <v>7.9</v>
      </c>
      <c r="F1547">
        <v>3</v>
      </c>
      <c r="G1547">
        <v>5</v>
      </c>
      <c r="H1547">
        <v>3</v>
      </c>
      <c r="I1547" s="7">
        <v>1.68249544018291</v>
      </c>
      <c r="J1547" s="6">
        <v>2.9060619775304799</v>
      </c>
      <c r="K1547" s="6">
        <v>1.8104406236178701</v>
      </c>
      <c r="L1547">
        <v>1.4016390441556299</v>
      </c>
      <c r="M1547">
        <v>0.60699918352040005</v>
      </c>
    </row>
    <row r="1548" spans="1:13" x14ac:dyDescent="0.25">
      <c r="A1548">
        <v>1402</v>
      </c>
      <c r="B1548" t="str">
        <f>"MPP1"</f>
        <v>MPP1</v>
      </c>
      <c r="C1548" t="str">
        <f>""</f>
        <v/>
      </c>
      <c r="D1548">
        <v>49.073999999999998</v>
      </c>
      <c r="E1548">
        <v>4.8</v>
      </c>
      <c r="F1548">
        <v>3</v>
      </c>
      <c r="G1548">
        <v>5</v>
      </c>
      <c r="H1548">
        <v>3</v>
      </c>
      <c r="I1548" s="7">
        <v>1.68249544018291</v>
      </c>
      <c r="J1548" s="6">
        <v>2.9060619775304799</v>
      </c>
      <c r="K1548" s="6">
        <v>1.8104406236178701</v>
      </c>
      <c r="L1548">
        <v>1.4016390441556299</v>
      </c>
      <c r="M1548">
        <v>0.60699918352040005</v>
      </c>
    </row>
    <row r="1549" spans="1:13" x14ac:dyDescent="0.25">
      <c r="A1549">
        <v>2045</v>
      </c>
      <c r="B1549" t="str">
        <f>"METTL3"</f>
        <v>METTL3</v>
      </c>
      <c r="C1549" t="str">
        <f>""</f>
        <v/>
      </c>
      <c r="D1549">
        <v>64.472999999999999</v>
      </c>
      <c r="E1549">
        <v>3.6</v>
      </c>
      <c r="F1549">
        <v>3</v>
      </c>
      <c r="G1549">
        <v>5</v>
      </c>
      <c r="H1549">
        <v>3</v>
      </c>
      <c r="I1549" s="7">
        <v>1.68249544018291</v>
      </c>
      <c r="J1549" s="6">
        <v>2.9060619775304799</v>
      </c>
      <c r="K1549" s="6">
        <v>1.8104406236178701</v>
      </c>
      <c r="L1549">
        <v>1.4016390441556299</v>
      </c>
      <c r="M1549">
        <v>0.60699918352040005</v>
      </c>
    </row>
    <row r="1550" spans="1:13" x14ac:dyDescent="0.25">
      <c r="A1550">
        <v>2787</v>
      </c>
      <c r="B1550" t="str">
        <f>"AASDHPPT"</f>
        <v>AASDHPPT</v>
      </c>
      <c r="C1550" t="str">
        <f>""</f>
        <v/>
      </c>
      <c r="D1550">
        <v>15.574</v>
      </c>
      <c r="E1550">
        <v>5.8</v>
      </c>
      <c r="F1550">
        <v>3</v>
      </c>
      <c r="G1550">
        <v>5</v>
      </c>
      <c r="H1550">
        <v>3</v>
      </c>
      <c r="I1550" s="7">
        <v>1.68249544018291</v>
      </c>
      <c r="J1550" s="6">
        <v>2.9060619775304799</v>
      </c>
      <c r="K1550" s="6">
        <v>1.8104406236178701</v>
      </c>
      <c r="L1550">
        <v>1.4016390441556299</v>
      </c>
      <c r="M1550">
        <v>0.60699918352040005</v>
      </c>
    </row>
    <row r="1551" spans="1:13" x14ac:dyDescent="0.25">
      <c r="A1551">
        <v>3020</v>
      </c>
      <c r="B1551" t="str">
        <f>"NSFL1C"</f>
        <v>NSFL1C</v>
      </c>
      <c r="C1551" t="str">
        <f>""</f>
        <v/>
      </c>
      <c r="D1551">
        <v>28.521999999999998</v>
      </c>
      <c r="E1551">
        <v>22</v>
      </c>
      <c r="F1551">
        <v>3</v>
      </c>
      <c r="G1551">
        <v>5</v>
      </c>
      <c r="H1551">
        <v>3</v>
      </c>
      <c r="I1551" s="7">
        <v>1.68249544018291</v>
      </c>
      <c r="J1551" s="6">
        <v>2.9060619775304799</v>
      </c>
      <c r="K1551" s="6">
        <v>1.8104406236178701</v>
      </c>
      <c r="L1551">
        <v>1.4016390441556299</v>
      </c>
      <c r="M1551">
        <v>0.60699918352040005</v>
      </c>
    </row>
    <row r="1552" spans="1:13" x14ac:dyDescent="0.25">
      <c r="A1552">
        <v>571</v>
      </c>
      <c r="B1552" t="str">
        <f>"CAPN1"</f>
        <v>CAPN1</v>
      </c>
      <c r="C1552" t="str">
        <f>""</f>
        <v/>
      </c>
      <c r="D1552">
        <v>81.888999999999996</v>
      </c>
      <c r="E1552">
        <v>4.5</v>
      </c>
      <c r="F1552">
        <v>3</v>
      </c>
      <c r="G1552">
        <v>6</v>
      </c>
      <c r="H1552">
        <v>2</v>
      </c>
      <c r="I1552" s="7">
        <v>1.68249544018291</v>
      </c>
      <c r="J1552" s="6">
        <v>3.4872743730365801</v>
      </c>
      <c r="K1552" s="6">
        <v>1.20696041574525</v>
      </c>
      <c r="L1552">
        <v>1.3950215485491899</v>
      </c>
      <c r="M1552">
        <v>0.60816960099164696</v>
      </c>
    </row>
    <row r="1553" spans="1:13" x14ac:dyDescent="0.25">
      <c r="A1553">
        <v>1590</v>
      </c>
      <c r="B1553" t="str">
        <f>"SNX1"</f>
        <v>SNX1</v>
      </c>
      <c r="C1553" t="str">
        <f>""</f>
        <v/>
      </c>
      <c r="D1553">
        <v>63.082000000000001</v>
      </c>
      <c r="E1553">
        <v>8.8000000000000007</v>
      </c>
      <c r="F1553">
        <v>5</v>
      </c>
      <c r="G1553">
        <v>2</v>
      </c>
      <c r="H1553">
        <v>5</v>
      </c>
      <c r="I1553" s="7">
        <v>2.80415906697151</v>
      </c>
      <c r="J1553" s="6">
        <v>1.1624247910121901</v>
      </c>
      <c r="K1553" s="6">
        <v>3.0174010393631101</v>
      </c>
      <c r="L1553">
        <v>-1.3417588104237901</v>
      </c>
      <c r="M1553">
        <v>0.61017763423141902</v>
      </c>
    </row>
    <row r="1554" spans="1:13" x14ac:dyDescent="0.25">
      <c r="A1554">
        <v>2746</v>
      </c>
      <c r="B1554" t="str">
        <f>"TM9SF3"</f>
        <v>TM9SF3</v>
      </c>
      <c r="C1554" t="str">
        <f>""</f>
        <v/>
      </c>
      <c r="D1554">
        <v>67.887</v>
      </c>
      <c r="E1554">
        <v>3.9</v>
      </c>
      <c r="F1554">
        <v>5</v>
      </c>
      <c r="G1554">
        <v>4</v>
      </c>
      <c r="H1554">
        <v>3</v>
      </c>
      <c r="I1554" s="7">
        <v>2.80415906697151</v>
      </c>
      <c r="J1554" s="6">
        <v>2.32484958202439</v>
      </c>
      <c r="K1554" s="6">
        <v>1.8104406236178701</v>
      </c>
      <c r="L1554">
        <v>-1.35620908208351</v>
      </c>
      <c r="M1554">
        <v>0.61106182487313399</v>
      </c>
    </row>
    <row r="1555" spans="1:13" x14ac:dyDescent="0.25">
      <c r="A1555">
        <v>231</v>
      </c>
      <c r="B1555" t="str">
        <f>"ASNA1"</f>
        <v>ASNA1</v>
      </c>
      <c r="C1555" t="str">
        <f>""</f>
        <v/>
      </c>
      <c r="D1555">
        <v>38.792000000000002</v>
      </c>
      <c r="E1555">
        <v>2.9</v>
      </c>
      <c r="F1555">
        <v>5</v>
      </c>
      <c r="G1555">
        <v>4</v>
      </c>
      <c r="H1555">
        <v>3</v>
      </c>
      <c r="I1555" s="7">
        <v>2.80415906697151</v>
      </c>
      <c r="J1555" s="6">
        <v>2.32484958202439</v>
      </c>
      <c r="K1555" s="6">
        <v>1.8104406236178701</v>
      </c>
      <c r="L1555">
        <v>-1.35620908208351</v>
      </c>
      <c r="M1555">
        <v>0.61106182487313399</v>
      </c>
    </row>
    <row r="1556" spans="1:13" x14ac:dyDescent="0.25">
      <c r="A1556">
        <v>632</v>
      </c>
      <c r="B1556" t="str">
        <f>"PRKAR1A"</f>
        <v>PRKAR1A</v>
      </c>
      <c r="C1556" t="str">
        <f>""</f>
        <v/>
      </c>
      <c r="D1556">
        <v>42.981000000000002</v>
      </c>
      <c r="E1556">
        <v>10.5</v>
      </c>
      <c r="F1556">
        <v>5</v>
      </c>
      <c r="G1556">
        <v>4</v>
      </c>
      <c r="H1556">
        <v>3</v>
      </c>
      <c r="I1556" s="7">
        <v>2.80415906697151</v>
      </c>
      <c r="J1556" s="6">
        <v>2.32484958202439</v>
      </c>
      <c r="K1556" s="6">
        <v>1.8104406236178701</v>
      </c>
      <c r="L1556">
        <v>-1.35620908208351</v>
      </c>
      <c r="M1556">
        <v>0.61106182487313399</v>
      </c>
    </row>
    <row r="1557" spans="1:13" x14ac:dyDescent="0.25">
      <c r="A1557">
        <v>753</v>
      </c>
      <c r="B1557" t="str">
        <f>"CSNK2A2"</f>
        <v>CSNK2A2</v>
      </c>
      <c r="C1557" t="str">
        <f>"CSNK2A2"</f>
        <v>CSNK2A2</v>
      </c>
      <c r="D1557">
        <v>41.213000000000001</v>
      </c>
      <c r="E1557">
        <v>16.899999999999999</v>
      </c>
      <c r="F1557">
        <v>5</v>
      </c>
      <c r="G1557">
        <v>4</v>
      </c>
      <c r="H1557">
        <v>3</v>
      </c>
      <c r="I1557" s="7">
        <v>2.80415906697151</v>
      </c>
      <c r="J1557" s="6">
        <v>2.32484958202439</v>
      </c>
      <c r="K1557" s="6">
        <v>1.8104406236178701</v>
      </c>
      <c r="L1557">
        <v>-1.35620908208351</v>
      </c>
      <c r="M1557">
        <v>0.61106182487313399</v>
      </c>
    </row>
    <row r="1558" spans="1:13" x14ac:dyDescent="0.25">
      <c r="A1558">
        <v>1728</v>
      </c>
      <c r="B1558" t="str">
        <f>"SF3A2"</f>
        <v>SF3A2</v>
      </c>
      <c r="C1558" t="str">
        <f>""</f>
        <v/>
      </c>
      <c r="D1558">
        <v>49.255000000000003</v>
      </c>
      <c r="E1558">
        <v>6</v>
      </c>
      <c r="F1558">
        <v>5</v>
      </c>
      <c r="G1558">
        <v>4</v>
      </c>
      <c r="H1558">
        <v>3</v>
      </c>
      <c r="I1558" s="7">
        <v>2.80415906697151</v>
      </c>
      <c r="J1558" s="6">
        <v>2.32484958202439</v>
      </c>
      <c r="K1558" s="6">
        <v>1.8104406236178701</v>
      </c>
      <c r="L1558">
        <v>-1.35620908208351</v>
      </c>
      <c r="M1558">
        <v>0.61106182487313399</v>
      </c>
    </row>
    <row r="1559" spans="1:13" x14ac:dyDescent="0.25">
      <c r="A1559">
        <v>2119</v>
      </c>
      <c r="B1559" t="str">
        <f>"XRN1"</f>
        <v>XRN1</v>
      </c>
      <c r="C1559" t="str">
        <f>""</f>
        <v/>
      </c>
      <c r="D1559">
        <v>192.84</v>
      </c>
      <c r="E1559">
        <v>2</v>
      </c>
      <c r="F1559">
        <v>5</v>
      </c>
      <c r="G1559">
        <v>4</v>
      </c>
      <c r="H1559">
        <v>3</v>
      </c>
      <c r="I1559" s="7">
        <v>2.80415906697151</v>
      </c>
      <c r="J1559" s="6">
        <v>2.32484958202439</v>
      </c>
      <c r="K1559" s="6">
        <v>1.8104406236178701</v>
      </c>
      <c r="L1559">
        <v>-1.35620908208351</v>
      </c>
      <c r="M1559">
        <v>0.61106182487313399</v>
      </c>
    </row>
    <row r="1560" spans="1:13" x14ac:dyDescent="0.25">
      <c r="A1560">
        <v>749</v>
      </c>
      <c r="B1560" t="str">
        <f>"HK1"</f>
        <v>HK1</v>
      </c>
      <c r="C1560" t="str">
        <f>""</f>
        <v/>
      </c>
      <c r="D1560">
        <v>101.08</v>
      </c>
      <c r="E1560">
        <v>2.4</v>
      </c>
      <c r="F1560">
        <v>5</v>
      </c>
      <c r="G1560">
        <v>3</v>
      </c>
      <c r="H1560">
        <v>4</v>
      </c>
      <c r="I1560" s="7">
        <v>2.80415906697151</v>
      </c>
      <c r="J1560" s="6">
        <v>1.74363718651829</v>
      </c>
      <c r="K1560" s="6">
        <v>2.4139208314904899</v>
      </c>
      <c r="L1560">
        <v>-1.34894524854498</v>
      </c>
      <c r="M1560">
        <v>0.61106185311939498</v>
      </c>
    </row>
    <row r="1561" spans="1:13" x14ac:dyDescent="0.25">
      <c r="A1561">
        <v>3078</v>
      </c>
      <c r="B1561" t="str">
        <f>"ACOT9"</f>
        <v>ACOT9</v>
      </c>
      <c r="C1561" t="str">
        <f>""</f>
        <v/>
      </c>
      <c r="D1561">
        <v>46.353999999999999</v>
      </c>
      <c r="E1561">
        <v>5.7</v>
      </c>
      <c r="F1561">
        <v>5</v>
      </c>
      <c r="G1561">
        <v>3</v>
      </c>
      <c r="H1561">
        <v>4</v>
      </c>
      <c r="I1561" s="7">
        <v>2.80415906697151</v>
      </c>
      <c r="J1561" s="6">
        <v>1.74363718651829</v>
      </c>
      <c r="K1561" s="6">
        <v>2.4139208314904899</v>
      </c>
      <c r="L1561">
        <v>-1.34894524854498</v>
      </c>
      <c r="M1561">
        <v>0.61106185311939498</v>
      </c>
    </row>
    <row r="1562" spans="1:13" x14ac:dyDescent="0.25">
      <c r="A1562">
        <v>264</v>
      </c>
      <c r="B1562" t="str">
        <f>"TBC1D4"</f>
        <v>TBC1D4</v>
      </c>
      <c r="C1562" t="str">
        <f>""</f>
        <v/>
      </c>
      <c r="D1562">
        <v>139.55000000000001</v>
      </c>
      <c r="E1562">
        <v>2.8</v>
      </c>
      <c r="F1562">
        <v>5</v>
      </c>
      <c r="G1562">
        <v>3</v>
      </c>
      <c r="H1562">
        <v>4</v>
      </c>
      <c r="I1562" s="7">
        <v>2.80415906697151</v>
      </c>
      <c r="J1562" s="6">
        <v>1.74363718651829</v>
      </c>
      <c r="K1562" s="6">
        <v>2.4139208314904899</v>
      </c>
      <c r="L1562">
        <v>-1.34894524854498</v>
      </c>
      <c r="M1562">
        <v>0.61106185311939498</v>
      </c>
    </row>
    <row r="1563" spans="1:13" x14ac:dyDescent="0.25">
      <c r="A1563">
        <v>1120</v>
      </c>
      <c r="B1563" t="str">
        <f>"EIF2B2"</f>
        <v>EIF2B2</v>
      </c>
      <c r="C1563" t="str">
        <f>""</f>
        <v/>
      </c>
      <c r="D1563">
        <v>38.988999999999997</v>
      </c>
      <c r="E1563">
        <v>7.1</v>
      </c>
      <c r="F1563">
        <v>5</v>
      </c>
      <c r="G1563">
        <v>3</v>
      </c>
      <c r="H1563">
        <v>4</v>
      </c>
      <c r="I1563" s="7">
        <v>2.80415906697151</v>
      </c>
      <c r="J1563" s="6">
        <v>1.74363718651829</v>
      </c>
      <c r="K1563" s="6">
        <v>2.4139208314904899</v>
      </c>
      <c r="L1563">
        <v>-1.34894524854498</v>
      </c>
      <c r="M1563">
        <v>0.61106185311939498</v>
      </c>
    </row>
    <row r="1564" spans="1:13" x14ac:dyDescent="0.25">
      <c r="A1564">
        <v>1637</v>
      </c>
      <c r="B1564" t="str">
        <f>"EIF2B1"</f>
        <v>EIF2B1</v>
      </c>
      <c r="C1564" t="str">
        <f>""</f>
        <v/>
      </c>
      <c r="D1564">
        <v>33.712000000000003</v>
      </c>
      <c r="E1564">
        <v>20.7</v>
      </c>
      <c r="F1564">
        <v>5</v>
      </c>
      <c r="G1564">
        <v>3</v>
      </c>
      <c r="H1564">
        <v>4</v>
      </c>
      <c r="I1564" s="7">
        <v>2.80415906697151</v>
      </c>
      <c r="J1564" s="6">
        <v>1.74363718651829</v>
      </c>
      <c r="K1564" s="6">
        <v>2.4139208314904899</v>
      </c>
      <c r="L1564">
        <v>-1.34894524854498</v>
      </c>
      <c r="M1564">
        <v>0.61106185311939498</v>
      </c>
    </row>
    <row r="1565" spans="1:13" x14ac:dyDescent="0.25">
      <c r="A1565">
        <v>1652</v>
      </c>
      <c r="B1565" t="str">
        <f>"PLS1"</f>
        <v>PLS1</v>
      </c>
      <c r="C1565" t="str">
        <f>""</f>
        <v/>
      </c>
      <c r="D1565">
        <v>70.253</v>
      </c>
      <c r="E1565">
        <v>4.3</v>
      </c>
      <c r="F1565">
        <v>5</v>
      </c>
      <c r="G1565">
        <v>3</v>
      </c>
      <c r="H1565">
        <v>4</v>
      </c>
      <c r="I1565" s="7">
        <v>2.80415906697151</v>
      </c>
      <c r="J1565" s="6">
        <v>1.74363718651829</v>
      </c>
      <c r="K1565" s="6">
        <v>2.4139208314904899</v>
      </c>
      <c r="L1565">
        <v>-1.34894524854498</v>
      </c>
      <c r="M1565">
        <v>0.61106185311939498</v>
      </c>
    </row>
    <row r="1566" spans="1:13" x14ac:dyDescent="0.25">
      <c r="A1566">
        <v>50</v>
      </c>
      <c r="B1566" t="str">
        <f>"KRT16"</f>
        <v>KRT16</v>
      </c>
      <c r="C1566" t="str">
        <f>""</f>
        <v/>
      </c>
      <c r="D1566">
        <v>51.267000000000003</v>
      </c>
      <c r="E1566">
        <v>30.7</v>
      </c>
      <c r="F1566">
        <v>11</v>
      </c>
      <c r="G1566">
        <v>16</v>
      </c>
      <c r="H1566">
        <v>9</v>
      </c>
      <c r="I1566" s="7">
        <v>6.1691499473373197</v>
      </c>
      <c r="J1566" s="6">
        <v>9.2993983280975403</v>
      </c>
      <c r="K1566" s="6">
        <v>5.4313218708536004</v>
      </c>
      <c r="L1566">
        <v>1.1939019414910701</v>
      </c>
      <c r="M1566">
        <v>0.61320467169331105</v>
      </c>
    </row>
    <row r="1567" spans="1:13" x14ac:dyDescent="0.25">
      <c r="A1567">
        <v>2950</v>
      </c>
      <c r="B1567" t="str">
        <f>"DDX20"</f>
        <v>DDX20</v>
      </c>
      <c r="C1567" t="str">
        <f>""</f>
        <v/>
      </c>
      <c r="D1567">
        <v>92.239000000000004</v>
      </c>
      <c r="E1567">
        <v>11.7</v>
      </c>
      <c r="F1567">
        <v>8</v>
      </c>
      <c r="G1567">
        <v>5</v>
      </c>
      <c r="H1567">
        <v>7</v>
      </c>
      <c r="I1567" s="7">
        <v>4.4866545071544204</v>
      </c>
      <c r="J1567" s="6">
        <v>2.9060619775304799</v>
      </c>
      <c r="K1567" s="6">
        <v>4.2243614551083599</v>
      </c>
      <c r="L1567">
        <v>-1.2584538771196101</v>
      </c>
      <c r="M1567">
        <v>0.61396171350397799</v>
      </c>
    </row>
    <row r="1568" spans="1:13" x14ac:dyDescent="0.25">
      <c r="A1568">
        <v>850</v>
      </c>
      <c r="B1568" t="str">
        <f>"RPL10"</f>
        <v>RPL10</v>
      </c>
      <c r="C1568" t="str">
        <f>""</f>
        <v/>
      </c>
      <c r="D1568">
        <v>24.603999999999999</v>
      </c>
      <c r="E1568">
        <v>20.6</v>
      </c>
      <c r="F1568">
        <v>12</v>
      </c>
      <c r="G1568">
        <v>18</v>
      </c>
      <c r="H1568">
        <v>9</v>
      </c>
      <c r="I1568" s="7">
        <v>6.7299817607316301</v>
      </c>
      <c r="J1568" s="6">
        <v>10.461823119109701</v>
      </c>
      <c r="K1568" s="6">
        <v>5.4313218708536004</v>
      </c>
      <c r="L1568">
        <v>1.180771772867</v>
      </c>
      <c r="M1568">
        <v>0.61908708541263902</v>
      </c>
    </row>
    <row r="1569" spans="1:13" x14ac:dyDescent="0.25">
      <c r="A1569">
        <v>522</v>
      </c>
      <c r="B1569" t="str">
        <f>"RPN1"</f>
        <v>RPN1</v>
      </c>
      <c r="C1569" t="str">
        <f>""</f>
        <v/>
      </c>
      <c r="D1569">
        <v>68.569000000000003</v>
      </c>
      <c r="E1569">
        <v>9.4</v>
      </c>
      <c r="F1569">
        <v>17</v>
      </c>
      <c r="G1569">
        <v>19</v>
      </c>
      <c r="H1569">
        <v>18</v>
      </c>
      <c r="I1569" s="7">
        <v>9.5341408277031405</v>
      </c>
      <c r="J1569" s="6">
        <v>11.0430355146158</v>
      </c>
      <c r="K1569" s="6">
        <v>10.862643741707201</v>
      </c>
      <c r="L1569">
        <v>1.14880195563465</v>
      </c>
      <c r="M1569">
        <v>0.634263698306338</v>
      </c>
    </row>
    <row r="1570" spans="1:13" x14ac:dyDescent="0.25">
      <c r="A1570">
        <v>717</v>
      </c>
      <c r="B1570" t="str">
        <f>"POR"</f>
        <v>POR</v>
      </c>
      <c r="C1570" t="str">
        <f>""</f>
        <v/>
      </c>
      <c r="D1570">
        <v>76.688999999999993</v>
      </c>
      <c r="E1570">
        <v>8</v>
      </c>
      <c r="F1570">
        <v>4</v>
      </c>
      <c r="G1570">
        <v>5</v>
      </c>
      <c r="H1570">
        <v>5</v>
      </c>
      <c r="I1570" s="7">
        <v>2.2433272535772102</v>
      </c>
      <c r="J1570" s="6">
        <v>2.9060619775304799</v>
      </c>
      <c r="K1570" s="6">
        <v>3.0174010393631101</v>
      </c>
      <c r="L1570">
        <v>1.32024050602694</v>
      </c>
      <c r="M1570">
        <v>0.63449467464620601</v>
      </c>
    </row>
    <row r="1571" spans="1:13" x14ac:dyDescent="0.25">
      <c r="A1571">
        <v>2631</v>
      </c>
      <c r="B1571" t="str">
        <f>"SLIRP"</f>
        <v>SLIRP</v>
      </c>
      <c r="C1571" t="str">
        <f>""</f>
        <v/>
      </c>
      <c r="D1571">
        <v>12.122</v>
      </c>
      <c r="E1571">
        <v>43</v>
      </c>
      <c r="F1571">
        <v>4</v>
      </c>
      <c r="G1571">
        <v>5</v>
      </c>
      <c r="H1571">
        <v>5</v>
      </c>
      <c r="I1571" s="7">
        <v>2.2433272535772102</v>
      </c>
      <c r="J1571" s="6">
        <v>2.9060619775304799</v>
      </c>
      <c r="K1571" s="6">
        <v>3.0174010393631101</v>
      </c>
      <c r="L1571">
        <v>1.32024050602694</v>
      </c>
      <c r="M1571">
        <v>0.63449467464620601</v>
      </c>
    </row>
    <row r="1572" spans="1:13" x14ac:dyDescent="0.25">
      <c r="A1572">
        <v>266</v>
      </c>
      <c r="B1572" t="str">
        <f>"ACSL4"</f>
        <v>ACSL4</v>
      </c>
      <c r="C1572" t="str">
        <f>""</f>
        <v/>
      </c>
      <c r="D1572">
        <v>74.435000000000002</v>
      </c>
      <c r="E1572">
        <v>6.6</v>
      </c>
      <c r="F1572">
        <v>4</v>
      </c>
      <c r="G1572">
        <v>5</v>
      </c>
      <c r="H1572">
        <v>5</v>
      </c>
      <c r="I1572" s="7">
        <v>2.2433272535772102</v>
      </c>
      <c r="J1572" s="6">
        <v>2.9060619775304799</v>
      </c>
      <c r="K1572" s="6">
        <v>3.0174010393631101</v>
      </c>
      <c r="L1572">
        <v>1.32024050602694</v>
      </c>
      <c r="M1572">
        <v>0.63449467464620601</v>
      </c>
    </row>
    <row r="1573" spans="1:13" x14ac:dyDescent="0.25">
      <c r="A1573">
        <v>659</v>
      </c>
      <c r="B1573" t="str">
        <f>"COL6A1"</f>
        <v>COL6A1</v>
      </c>
      <c r="C1573" t="str">
        <f>""</f>
        <v/>
      </c>
      <c r="D1573">
        <v>108.53</v>
      </c>
      <c r="E1573">
        <v>4</v>
      </c>
      <c r="F1573">
        <v>4</v>
      </c>
      <c r="G1573">
        <v>5</v>
      </c>
      <c r="H1573">
        <v>5</v>
      </c>
      <c r="I1573" s="7">
        <v>2.2433272535772102</v>
      </c>
      <c r="J1573" s="6">
        <v>2.9060619775304799</v>
      </c>
      <c r="K1573" s="6">
        <v>3.0174010393631101</v>
      </c>
      <c r="L1573">
        <v>1.32024050602694</v>
      </c>
      <c r="M1573">
        <v>0.63449467464620601</v>
      </c>
    </row>
    <row r="1574" spans="1:13" x14ac:dyDescent="0.25">
      <c r="A1574">
        <v>925</v>
      </c>
      <c r="B1574" t="str">
        <f>"CTH"</f>
        <v>CTH</v>
      </c>
      <c r="C1574" t="str">
        <f>""</f>
        <v/>
      </c>
      <c r="D1574">
        <v>39.505000000000003</v>
      </c>
      <c r="E1574">
        <v>11.1</v>
      </c>
      <c r="F1574">
        <v>4</v>
      </c>
      <c r="G1574">
        <v>5</v>
      </c>
      <c r="H1574">
        <v>5</v>
      </c>
      <c r="I1574" s="7">
        <v>2.2433272535772102</v>
      </c>
      <c r="J1574" s="6">
        <v>2.9060619775304799</v>
      </c>
      <c r="K1574" s="6">
        <v>3.0174010393631101</v>
      </c>
      <c r="L1574">
        <v>1.32024050602694</v>
      </c>
      <c r="M1574">
        <v>0.63449467464620601</v>
      </c>
    </row>
    <row r="1575" spans="1:13" x14ac:dyDescent="0.25">
      <c r="A1575">
        <v>2785</v>
      </c>
      <c r="B1575" t="str">
        <f>"BAZ1A"</f>
        <v>BAZ1A</v>
      </c>
      <c r="C1575" t="str">
        <f>"BAZ1A"</f>
        <v>BAZ1A</v>
      </c>
      <c r="D1575">
        <v>175.38</v>
      </c>
      <c r="E1575">
        <v>1.9</v>
      </c>
      <c r="F1575">
        <v>4</v>
      </c>
      <c r="G1575">
        <v>5</v>
      </c>
      <c r="H1575">
        <v>5</v>
      </c>
      <c r="I1575" s="7">
        <v>2.2433272535772102</v>
      </c>
      <c r="J1575" s="6">
        <v>2.9060619775304799</v>
      </c>
      <c r="K1575" s="6">
        <v>3.0174010393631101</v>
      </c>
      <c r="L1575">
        <v>1.32024050602694</v>
      </c>
      <c r="M1575">
        <v>0.63449467464620601</v>
      </c>
    </row>
    <row r="1576" spans="1:13" x14ac:dyDescent="0.25">
      <c r="A1576">
        <v>748</v>
      </c>
      <c r="B1576" t="str">
        <f>"NCL"</f>
        <v>NCL</v>
      </c>
      <c r="C1576" t="str">
        <f>""</f>
        <v/>
      </c>
      <c r="D1576">
        <v>76.613</v>
      </c>
      <c r="E1576">
        <v>8.9</v>
      </c>
      <c r="F1576">
        <v>17</v>
      </c>
      <c r="G1576">
        <v>15</v>
      </c>
      <c r="H1576">
        <v>22</v>
      </c>
      <c r="I1576" s="7">
        <v>9.5341408277031405</v>
      </c>
      <c r="J1576" s="6">
        <v>8.7181859325914495</v>
      </c>
      <c r="K1576" s="6">
        <v>13.2765645731977</v>
      </c>
      <c r="L1576">
        <v>1.1534731290039</v>
      </c>
      <c r="M1576">
        <v>0.63473354006170102</v>
      </c>
    </row>
    <row r="1577" spans="1:13" x14ac:dyDescent="0.25">
      <c r="A1577">
        <v>989</v>
      </c>
      <c r="B1577" t="str">
        <f>"DDOST"</f>
        <v>DDOST</v>
      </c>
      <c r="C1577" t="str">
        <f>""</f>
        <v/>
      </c>
      <c r="D1577">
        <v>46.576000000000001</v>
      </c>
      <c r="E1577">
        <v>9.5</v>
      </c>
      <c r="F1577">
        <v>4</v>
      </c>
      <c r="G1577">
        <v>6</v>
      </c>
      <c r="H1577">
        <v>4</v>
      </c>
      <c r="I1577" s="7">
        <v>2.2433272535772102</v>
      </c>
      <c r="J1577" s="6">
        <v>3.4872743730365801</v>
      </c>
      <c r="K1577" s="6">
        <v>2.4139208314904899</v>
      </c>
      <c r="L1577">
        <v>1.3152773843221099</v>
      </c>
      <c r="M1577">
        <v>0.63477725454711498</v>
      </c>
    </row>
    <row r="1578" spans="1:13" x14ac:dyDescent="0.25">
      <c r="A1578">
        <v>1515</v>
      </c>
      <c r="B1578" t="str">
        <f>"SF3A3"</f>
        <v>SF3A3</v>
      </c>
      <c r="C1578" t="str">
        <f>""</f>
        <v/>
      </c>
      <c r="D1578">
        <v>58.847999999999999</v>
      </c>
      <c r="E1578">
        <v>4.4000000000000004</v>
      </c>
      <c r="F1578">
        <v>4</v>
      </c>
      <c r="G1578">
        <v>6</v>
      </c>
      <c r="H1578">
        <v>4</v>
      </c>
      <c r="I1578" s="7">
        <v>2.2433272535772102</v>
      </c>
      <c r="J1578" s="6">
        <v>3.4872743730365801</v>
      </c>
      <c r="K1578" s="6">
        <v>2.4139208314904899</v>
      </c>
      <c r="L1578">
        <v>1.3152773843221099</v>
      </c>
      <c r="M1578">
        <v>0.63477725454711498</v>
      </c>
    </row>
    <row r="1579" spans="1:13" x14ac:dyDescent="0.25">
      <c r="A1579">
        <v>1172</v>
      </c>
      <c r="B1579" t="str">
        <f>"HNRNPA3"</f>
        <v>HNRNPA3</v>
      </c>
      <c r="C1579" t="str">
        <f>""</f>
        <v/>
      </c>
      <c r="D1579">
        <v>39.594000000000001</v>
      </c>
      <c r="E1579">
        <v>19</v>
      </c>
      <c r="F1579">
        <v>4</v>
      </c>
      <c r="G1579">
        <v>6</v>
      </c>
      <c r="H1579">
        <v>4</v>
      </c>
      <c r="I1579" s="7">
        <v>2.2433272535772102</v>
      </c>
      <c r="J1579" s="6">
        <v>3.4872743730365801</v>
      </c>
      <c r="K1579" s="6">
        <v>2.4139208314904899</v>
      </c>
      <c r="L1579">
        <v>1.3152773843221099</v>
      </c>
      <c r="M1579">
        <v>0.63477725454711498</v>
      </c>
    </row>
    <row r="1580" spans="1:13" x14ac:dyDescent="0.25">
      <c r="A1580">
        <v>1889</v>
      </c>
      <c r="B1580" t="str">
        <f>"ZMYM4"</f>
        <v>ZMYM4</v>
      </c>
      <c r="C1580" t="str">
        <f>""</f>
        <v/>
      </c>
      <c r="D1580">
        <v>136.33000000000001</v>
      </c>
      <c r="E1580">
        <v>2.9</v>
      </c>
      <c r="F1580">
        <v>4</v>
      </c>
      <c r="G1580">
        <v>6</v>
      </c>
      <c r="H1580">
        <v>4</v>
      </c>
      <c r="I1580" s="7">
        <v>2.2433272535772102</v>
      </c>
      <c r="J1580" s="6">
        <v>3.4872743730365801</v>
      </c>
      <c r="K1580" s="6">
        <v>2.4139208314904899</v>
      </c>
      <c r="L1580">
        <v>1.3152773843221099</v>
      </c>
      <c r="M1580">
        <v>0.63477725454711498</v>
      </c>
    </row>
    <row r="1581" spans="1:13" x14ac:dyDescent="0.25">
      <c r="A1581">
        <v>1973</v>
      </c>
      <c r="B1581" t="str">
        <f>"CCBL2"</f>
        <v>CCBL2</v>
      </c>
      <c r="C1581" t="str">
        <f>""</f>
        <v/>
      </c>
      <c r="D1581">
        <v>47.752000000000002</v>
      </c>
      <c r="E1581">
        <v>9.5</v>
      </c>
      <c r="F1581">
        <v>4</v>
      </c>
      <c r="G1581">
        <v>6</v>
      </c>
      <c r="H1581">
        <v>4</v>
      </c>
      <c r="I1581" s="7">
        <v>2.2433272535772102</v>
      </c>
      <c r="J1581" s="6">
        <v>3.4872743730365801</v>
      </c>
      <c r="K1581" s="6">
        <v>2.4139208314904899</v>
      </c>
      <c r="L1581">
        <v>1.3152773843221099</v>
      </c>
      <c r="M1581">
        <v>0.63477725454711498</v>
      </c>
    </row>
    <row r="1582" spans="1:13" x14ac:dyDescent="0.25">
      <c r="A1582">
        <v>2043</v>
      </c>
      <c r="B1582" t="str">
        <f>"ACOT1;ACOT2"</f>
        <v>ACOT1;ACOT2</v>
      </c>
      <c r="C1582" t="str">
        <f>""</f>
        <v/>
      </c>
      <c r="D1582">
        <v>46.277000000000001</v>
      </c>
      <c r="E1582">
        <v>14.7</v>
      </c>
      <c r="F1582">
        <v>4</v>
      </c>
      <c r="G1582">
        <v>6</v>
      </c>
      <c r="H1582">
        <v>4</v>
      </c>
      <c r="I1582" s="7">
        <v>2.2433272535772102</v>
      </c>
      <c r="J1582" s="6">
        <v>3.4872743730365801</v>
      </c>
      <c r="K1582" s="6">
        <v>2.4139208314904899</v>
      </c>
      <c r="L1582">
        <v>1.3152773843221099</v>
      </c>
      <c r="M1582">
        <v>0.63477725454711498</v>
      </c>
    </row>
    <row r="1583" spans="1:13" x14ac:dyDescent="0.25">
      <c r="A1583">
        <v>2333</v>
      </c>
      <c r="B1583" t="str">
        <f>"LRRC59"</f>
        <v>LRRC59</v>
      </c>
      <c r="C1583" t="str">
        <f>""</f>
        <v/>
      </c>
      <c r="D1583">
        <v>34.93</v>
      </c>
      <c r="E1583">
        <v>5.2</v>
      </c>
      <c r="F1583">
        <v>4</v>
      </c>
      <c r="G1583">
        <v>6</v>
      </c>
      <c r="H1583">
        <v>4</v>
      </c>
      <c r="I1583" s="7">
        <v>2.2433272535772102</v>
      </c>
      <c r="J1583" s="6">
        <v>3.4872743730365801</v>
      </c>
      <c r="K1583" s="6">
        <v>2.4139208314904899</v>
      </c>
      <c r="L1583">
        <v>1.3152773843221099</v>
      </c>
      <c r="M1583">
        <v>0.63477725454711498</v>
      </c>
    </row>
    <row r="1584" spans="1:13" x14ac:dyDescent="0.25">
      <c r="A1584">
        <v>672</v>
      </c>
      <c r="B1584" t="str">
        <f>"RNH1"</f>
        <v>RNH1</v>
      </c>
      <c r="C1584" t="str">
        <f>""</f>
        <v/>
      </c>
      <c r="D1584">
        <v>49.972999999999999</v>
      </c>
      <c r="E1584">
        <v>7.4</v>
      </c>
      <c r="F1584">
        <v>4</v>
      </c>
      <c r="G1584">
        <v>7</v>
      </c>
      <c r="H1584">
        <v>3</v>
      </c>
      <c r="I1584" s="7">
        <v>2.2433272535772102</v>
      </c>
      <c r="J1584" s="6">
        <v>4.0684867685426802</v>
      </c>
      <c r="K1584" s="6">
        <v>1.8104406236178701</v>
      </c>
      <c r="L1584">
        <v>1.3103142626172799</v>
      </c>
      <c r="M1584">
        <v>0.63562606034165203</v>
      </c>
    </row>
    <row r="1585" spans="1:13" x14ac:dyDescent="0.25">
      <c r="A1585">
        <v>2168</v>
      </c>
      <c r="B1585" t="str">
        <f>"NHLRC2"</f>
        <v>NHLRC2</v>
      </c>
      <c r="C1585" t="str">
        <f>""</f>
        <v/>
      </c>
      <c r="D1585">
        <v>79.442999999999998</v>
      </c>
      <c r="E1585">
        <v>5</v>
      </c>
      <c r="F1585">
        <v>4</v>
      </c>
      <c r="G1585">
        <v>7</v>
      </c>
      <c r="H1585">
        <v>3</v>
      </c>
      <c r="I1585" s="7">
        <v>2.2433272535772102</v>
      </c>
      <c r="J1585" s="6">
        <v>4.0684867685426802</v>
      </c>
      <c r="K1585" s="6">
        <v>1.8104406236178701</v>
      </c>
      <c r="L1585">
        <v>1.3103142626172799</v>
      </c>
      <c r="M1585">
        <v>0.63562606034165203</v>
      </c>
    </row>
    <row r="1586" spans="1:13" x14ac:dyDescent="0.25">
      <c r="A1586">
        <v>1174</v>
      </c>
      <c r="B1586" t="str">
        <f>"PGD"</f>
        <v>PGD</v>
      </c>
      <c r="C1586" t="str">
        <f>""</f>
        <v/>
      </c>
      <c r="D1586">
        <v>51.872</v>
      </c>
      <c r="E1586">
        <v>11.9</v>
      </c>
      <c r="F1586">
        <v>19</v>
      </c>
      <c r="G1586">
        <v>24</v>
      </c>
      <c r="H1586">
        <v>17</v>
      </c>
      <c r="I1586" s="7">
        <v>10.655804454491699</v>
      </c>
      <c r="J1586" s="6">
        <v>13.949097492146301</v>
      </c>
      <c r="K1586" s="6">
        <v>10.259163533834601</v>
      </c>
      <c r="L1586">
        <v>1.1359189786828501</v>
      </c>
      <c r="M1586">
        <v>0.63801978125885095</v>
      </c>
    </row>
    <row r="1587" spans="1:13" x14ac:dyDescent="0.25">
      <c r="A1587">
        <v>268</v>
      </c>
      <c r="B1587" t="str">
        <f>"SYNCRIP"</f>
        <v>SYNCRIP</v>
      </c>
      <c r="C1587" t="str">
        <f>""</f>
        <v/>
      </c>
      <c r="D1587">
        <v>58.734999999999999</v>
      </c>
      <c r="E1587">
        <v>15.9</v>
      </c>
      <c r="F1587">
        <v>20</v>
      </c>
      <c r="G1587">
        <v>23</v>
      </c>
      <c r="H1587">
        <v>20</v>
      </c>
      <c r="I1587" s="7">
        <v>11.216636267886001</v>
      </c>
      <c r="J1587" s="6">
        <v>13.367885096640199</v>
      </c>
      <c r="K1587" s="6">
        <v>12.069604157452501</v>
      </c>
      <c r="L1587">
        <v>1.13391789867172</v>
      </c>
      <c r="M1587">
        <v>0.63890900835811604</v>
      </c>
    </row>
    <row r="1588" spans="1:13" x14ac:dyDescent="0.25">
      <c r="A1588">
        <v>1545</v>
      </c>
      <c r="B1588" t="str">
        <f>"PRDX4"</f>
        <v>PRDX4</v>
      </c>
      <c r="C1588" t="str">
        <f>""</f>
        <v/>
      </c>
      <c r="D1588">
        <v>30.54</v>
      </c>
      <c r="E1588">
        <v>22.1</v>
      </c>
      <c r="F1588">
        <v>21</v>
      </c>
      <c r="G1588">
        <v>20</v>
      </c>
      <c r="H1588">
        <v>25</v>
      </c>
      <c r="I1588" s="7">
        <v>11.777468081280301</v>
      </c>
      <c r="J1588" s="6">
        <v>11.6242479101219</v>
      </c>
      <c r="K1588" s="6">
        <v>15.0870051968156</v>
      </c>
      <c r="L1588">
        <v>1.1339981107396799</v>
      </c>
      <c r="M1588">
        <v>0.64000519632331498</v>
      </c>
    </row>
    <row r="1589" spans="1:13" x14ac:dyDescent="0.25">
      <c r="A1589">
        <v>572</v>
      </c>
      <c r="B1589" t="str">
        <f>"TUBB"</f>
        <v>TUBB</v>
      </c>
      <c r="C1589" t="str">
        <f>""</f>
        <v/>
      </c>
      <c r="D1589">
        <v>49.67</v>
      </c>
      <c r="E1589">
        <v>37.200000000000003</v>
      </c>
      <c r="F1589">
        <v>28</v>
      </c>
      <c r="G1589">
        <v>32</v>
      </c>
      <c r="H1589">
        <v>27</v>
      </c>
      <c r="I1589" s="7">
        <v>15.7032907750405</v>
      </c>
      <c r="J1589" s="6">
        <v>18.598796656195098</v>
      </c>
      <c r="K1589" s="6">
        <v>16.2939656125608</v>
      </c>
      <c r="L1589">
        <v>1.11100159732812</v>
      </c>
      <c r="M1589">
        <v>0.64199611154884695</v>
      </c>
    </row>
    <row r="1590" spans="1:13" x14ac:dyDescent="0.25">
      <c r="A1590">
        <v>47</v>
      </c>
      <c r="B1590" t="str">
        <f>""</f>
        <v/>
      </c>
      <c r="C1590" t="str">
        <f>""</f>
        <v/>
      </c>
      <c r="D1590">
        <v>69.293000000000006</v>
      </c>
      <c r="E1590">
        <v>29</v>
      </c>
      <c r="F1590">
        <v>26</v>
      </c>
      <c r="G1590">
        <v>25</v>
      </c>
      <c r="H1590">
        <v>30</v>
      </c>
      <c r="I1590" s="7">
        <v>14.581627148251901</v>
      </c>
      <c r="J1590" s="6">
        <v>14.5303098876524</v>
      </c>
      <c r="K1590" s="6">
        <v>18.104406236178701</v>
      </c>
      <c r="L1590">
        <v>1.1190354749861899</v>
      </c>
      <c r="M1590">
        <v>0.64209954716518403</v>
      </c>
    </row>
    <row r="1591" spans="1:13" x14ac:dyDescent="0.25">
      <c r="A1591">
        <v>1006</v>
      </c>
      <c r="B1591" t="str">
        <f>"EIF2S3;EIF2S3L"</f>
        <v>EIF2S3;EIF2S3L</v>
      </c>
      <c r="C1591" t="str">
        <f>""</f>
        <v/>
      </c>
      <c r="D1591">
        <v>51.109000000000002</v>
      </c>
      <c r="E1591">
        <v>18.2</v>
      </c>
      <c r="F1591">
        <v>21</v>
      </c>
      <c r="G1591">
        <v>19</v>
      </c>
      <c r="H1591">
        <v>16</v>
      </c>
      <c r="I1591" s="7">
        <v>11.777468081280301</v>
      </c>
      <c r="J1591" s="6">
        <v>11.0430355146158</v>
      </c>
      <c r="K1591" s="6">
        <v>9.6556833259619594</v>
      </c>
      <c r="L1591">
        <v>-1.13799005358648</v>
      </c>
      <c r="M1591">
        <v>0.64613748460887899</v>
      </c>
    </row>
    <row r="1592" spans="1:13" x14ac:dyDescent="0.25">
      <c r="A1592">
        <v>2656</v>
      </c>
      <c r="B1592" t="str">
        <f>"EHD4"</f>
        <v>EHD4</v>
      </c>
      <c r="C1592" t="str">
        <f>""</f>
        <v/>
      </c>
      <c r="D1592">
        <v>61.173999999999999</v>
      </c>
      <c r="E1592">
        <v>10.9</v>
      </c>
      <c r="F1592">
        <v>9</v>
      </c>
      <c r="G1592">
        <v>6</v>
      </c>
      <c r="H1592">
        <v>8</v>
      </c>
      <c r="I1592" s="7">
        <v>5.0474863205487202</v>
      </c>
      <c r="J1592" s="6">
        <v>3.4872743730365801</v>
      </c>
      <c r="K1592" s="6">
        <v>4.8278416629809797</v>
      </c>
      <c r="L1592">
        <v>-1.2140507236904801</v>
      </c>
      <c r="M1592">
        <v>0.64886681984179595</v>
      </c>
    </row>
    <row r="1593" spans="1:13" x14ac:dyDescent="0.25">
      <c r="A1593">
        <v>625</v>
      </c>
      <c r="B1593" t="str">
        <f>"CBS"</f>
        <v>CBS</v>
      </c>
      <c r="C1593" t="str">
        <f>""</f>
        <v/>
      </c>
      <c r="D1593">
        <v>60.585999999999999</v>
      </c>
      <c r="E1593">
        <v>8.9</v>
      </c>
      <c r="F1593">
        <v>9</v>
      </c>
      <c r="G1593">
        <v>7</v>
      </c>
      <c r="H1593">
        <v>7</v>
      </c>
      <c r="I1593" s="7">
        <v>5.0474863205487202</v>
      </c>
      <c r="J1593" s="6">
        <v>4.0684867685426802</v>
      </c>
      <c r="K1593" s="6">
        <v>4.2243614551083599</v>
      </c>
      <c r="L1593">
        <v>-1.21731067165884</v>
      </c>
      <c r="M1593">
        <v>0.64902972113124602</v>
      </c>
    </row>
    <row r="1594" spans="1:13" x14ac:dyDescent="0.25">
      <c r="A1594">
        <v>2861</v>
      </c>
      <c r="B1594" t="str">
        <f>"TECR"</f>
        <v>TECR</v>
      </c>
      <c r="C1594" t="str">
        <f>""</f>
        <v/>
      </c>
      <c r="D1594">
        <v>36.033999999999999</v>
      </c>
      <c r="E1594">
        <v>3.2</v>
      </c>
      <c r="F1594">
        <v>3</v>
      </c>
      <c r="G1594">
        <v>3</v>
      </c>
      <c r="H1594">
        <v>1</v>
      </c>
      <c r="I1594" s="7">
        <v>1.68249544018291</v>
      </c>
      <c r="J1594" s="6">
        <v>1.74363718651829</v>
      </c>
      <c r="K1594" s="6">
        <v>0.60348020787262302</v>
      </c>
      <c r="L1594">
        <v>-1.4336696103941799</v>
      </c>
      <c r="M1594">
        <v>0.64997934660339696</v>
      </c>
    </row>
    <row r="1595" spans="1:13" x14ac:dyDescent="0.25">
      <c r="A1595">
        <v>111</v>
      </c>
      <c r="B1595" t="str">
        <f>"POLRMT"</f>
        <v>POLRMT</v>
      </c>
      <c r="C1595" t="str">
        <f>""</f>
        <v/>
      </c>
      <c r="D1595">
        <v>138.62</v>
      </c>
      <c r="E1595">
        <v>2.9</v>
      </c>
      <c r="F1595">
        <v>3</v>
      </c>
      <c r="G1595">
        <v>3</v>
      </c>
      <c r="H1595">
        <v>1</v>
      </c>
      <c r="I1595" s="7">
        <v>1.68249544018291</v>
      </c>
      <c r="J1595" s="6">
        <v>1.74363718651829</v>
      </c>
      <c r="K1595" s="6">
        <v>0.60348020787262302</v>
      </c>
      <c r="L1595">
        <v>-1.4336696103941799</v>
      </c>
      <c r="M1595">
        <v>0.64997934660339696</v>
      </c>
    </row>
    <row r="1596" spans="1:13" x14ac:dyDescent="0.25">
      <c r="A1596">
        <v>348</v>
      </c>
      <c r="B1596" t="str">
        <f>"EIF3G"</f>
        <v>EIF3G</v>
      </c>
      <c r="C1596" t="str">
        <f>""</f>
        <v/>
      </c>
      <c r="D1596">
        <v>35.610999999999997</v>
      </c>
      <c r="E1596">
        <v>11.2</v>
      </c>
      <c r="F1596">
        <v>3</v>
      </c>
      <c r="G1596">
        <v>3</v>
      </c>
      <c r="H1596">
        <v>1</v>
      </c>
      <c r="I1596" s="7">
        <v>1.68249544018291</v>
      </c>
      <c r="J1596" s="6">
        <v>1.74363718651829</v>
      </c>
      <c r="K1596" s="6">
        <v>0.60348020787262302</v>
      </c>
      <c r="L1596">
        <v>-1.4336696103941799</v>
      </c>
      <c r="M1596">
        <v>0.64997934660339696</v>
      </c>
    </row>
    <row r="1597" spans="1:13" x14ac:dyDescent="0.25">
      <c r="A1597">
        <v>1297</v>
      </c>
      <c r="B1597" t="str">
        <f>"STXBP1"</f>
        <v>STXBP1</v>
      </c>
      <c r="C1597" t="str">
        <f>""</f>
        <v/>
      </c>
      <c r="D1597">
        <v>67.567999999999998</v>
      </c>
      <c r="E1597">
        <v>4.4000000000000004</v>
      </c>
      <c r="F1597">
        <v>3</v>
      </c>
      <c r="G1597">
        <v>3</v>
      </c>
      <c r="H1597">
        <v>1</v>
      </c>
      <c r="I1597" s="7">
        <v>1.68249544018291</v>
      </c>
      <c r="J1597" s="6">
        <v>1.74363718651829</v>
      </c>
      <c r="K1597" s="6">
        <v>0.60348020787262302</v>
      </c>
      <c r="L1597">
        <v>-1.4336696103941799</v>
      </c>
      <c r="M1597">
        <v>0.64997934660339696</v>
      </c>
    </row>
    <row r="1598" spans="1:13" x14ac:dyDescent="0.25">
      <c r="A1598">
        <v>1403</v>
      </c>
      <c r="B1598" t="str">
        <f>"TFAM"</f>
        <v>TFAM</v>
      </c>
      <c r="C1598" t="str">
        <f>""</f>
        <v/>
      </c>
      <c r="D1598">
        <v>25.465</v>
      </c>
      <c r="E1598">
        <v>10.7</v>
      </c>
      <c r="F1598">
        <v>3</v>
      </c>
      <c r="G1598">
        <v>3</v>
      </c>
      <c r="H1598">
        <v>1</v>
      </c>
      <c r="I1598" s="7">
        <v>1.68249544018291</v>
      </c>
      <c r="J1598" s="6">
        <v>1.74363718651829</v>
      </c>
      <c r="K1598" s="6">
        <v>0.60348020787262302</v>
      </c>
      <c r="L1598">
        <v>-1.4336696103941799</v>
      </c>
      <c r="M1598">
        <v>0.64997934660339696</v>
      </c>
    </row>
    <row r="1599" spans="1:13" x14ac:dyDescent="0.25">
      <c r="A1599">
        <v>2397</v>
      </c>
      <c r="B1599" t="str">
        <f>"C17orf59"</f>
        <v>C17orf59</v>
      </c>
      <c r="C1599" t="str">
        <f>""</f>
        <v/>
      </c>
      <c r="D1599">
        <v>37.225999999999999</v>
      </c>
      <c r="E1599">
        <v>2.8</v>
      </c>
      <c r="F1599">
        <v>3</v>
      </c>
      <c r="G1599">
        <v>3</v>
      </c>
      <c r="H1599">
        <v>1</v>
      </c>
      <c r="I1599" s="7">
        <v>1.68249544018291</v>
      </c>
      <c r="J1599" s="6">
        <v>1.74363718651829</v>
      </c>
      <c r="K1599" s="6">
        <v>0.60348020787262302</v>
      </c>
      <c r="L1599">
        <v>-1.4336696103941799</v>
      </c>
      <c r="M1599">
        <v>0.64997934660339696</v>
      </c>
    </row>
    <row r="1600" spans="1:13" x14ac:dyDescent="0.25">
      <c r="A1600">
        <v>2717</v>
      </c>
      <c r="B1600" t="str">
        <f>"SFXN1"</f>
        <v>SFXN1</v>
      </c>
      <c r="C1600" t="str">
        <f>""</f>
        <v/>
      </c>
      <c r="D1600">
        <v>35.619</v>
      </c>
      <c r="E1600">
        <v>14</v>
      </c>
      <c r="F1600">
        <v>3</v>
      </c>
      <c r="G1600">
        <v>3</v>
      </c>
      <c r="H1600">
        <v>1</v>
      </c>
      <c r="I1600" s="7">
        <v>1.68249544018291</v>
      </c>
      <c r="J1600" s="6">
        <v>1.74363718651829</v>
      </c>
      <c r="K1600" s="6">
        <v>0.60348020787262302</v>
      </c>
      <c r="L1600">
        <v>-1.4336696103941799</v>
      </c>
      <c r="M1600">
        <v>0.64997934660339696</v>
      </c>
    </row>
    <row r="1601" spans="1:13" x14ac:dyDescent="0.25">
      <c r="A1601">
        <v>3099</v>
      </c>
      <c r="B1601" t="str">
        <f>"STRAP"</f>
        <v>STRAP</v>
      </c>
      <c r="C1601" t="str">
        <f>""</f>
        <v/>
      </c>
      <c r="D1601">
        <v>38.438000000000002</v>
      </c>
      <c r="E1601">
        <v>14.9</v>
      </c>
      <c r="F1601">
        <v>3</v>
      </c>
      <c r="G1601">
        <v>3</v>
      </c>
      <c r="H1601">
        <v>1</v>
      </c>
      <c r="I1601" s="7">
        <v>1.68249544018291</v>
      </c>
      <c r="J1601" s="6">
        <v>1.74363718651829</v>
      </c>
      <c r="K1601" s="6">
        <v>0.60348020787262302</v>
      </c>
      <c r="L1601">
        <v>-1.4336696103941799</v>
      </c>
      <c r="M1601">
        <v>0.64997934660339696</v>
      </c>
    </row>
    <row r="1602" spans="1:13" x14ac:dyDescent="0.25">
      <c r="A1602">
        <v>272</v>
      </c>
      <c r="B1602" t="str">
        <f>"DIAPH1"</f>
        <v>DIAPH1</v>
      </c>
      <c r="C1602" t="str">
        <f>""</f>
        <v/>
      </c>
      <c r="D1602">
        <v>138.91</v>
      </c>
      <c r="E1602">
        <v>3.5</v>
      </c>
      <c r="F1602">
        <v>3</v>
      </c>
      <c r="G1602">
        <v>1</v>
      </c>
      <c r="H1602">
        <v>3</v>
      </c>
      <c r="I1602" s="7">
        <v>1.68249544018291</v>
      </c>
      <c r="J1602" s="6">
        <v>0.58121239550609605</v>
      </c>
      <c r="K1602" s="6">
        <v>1.8104406236178701</v>
      </c>
      <c r="L1602">
        <v>-1.40697285662214</v>
      </c>
      <c r="M1602">
        <v>0.64997936433097403</v>
      </c>
    </row>
    <row r="1603" spans="1:13" x14ac:dyDescent="0.25">
      <c r="A1603">
        <v>729</v>
      </c>
      <c r="B1603" t="str">
        <f>"CAPN2"</f>
        <v>CAPN2</v>
      </c>
      <c r="C1603" t="str">
        <f>""</f>
        <v/>
      </c>
      <c r="D1603">
        <v>71.474999999999994</v>
      </c>
      <c r="E1603">
        <v>3.7</v>
      </c>
      <c r="F1603">
        <v>3</v>
      </c>
      <c r="G1603">
        <v>1</v>
      </c>
      <c r="H1603">
        <v>3</v>
      </c>
      <c r="I1603" s="7">
        <v>1.68249544018291</v>
      </c>
      <c r="J1603" s="6">
        <v>0.58121239550609605</v>
      </c>
      <c r="K1603" s="6">
        <v>1.8104406236178701</v>
      </c>
      <c r="L1603">
        <v>-1.40697285662214</v>
      </c>
      <c r="M1603">
        <v>0.64997936433097403</v>
      </c>
    </row>
    <row r="1604" spans="1:13" x14ac:dyDescent="0.25">
      <c r="A1604">
        <v>2217</v>
      </c>
      <c r="B1604" t="str">
        <f>"BICD2"</f>
        <v>BICD2</v>
      </c>
      <c r="C1604" t="str">
        <f>""</f>
        <v/>
      </c>
      <c r="D1604">
        <v>93.531999999999996</v>
      </c>
      <c r="E1604">
        <v>2.2999999999999998</v>
      </c>
      <c r="F1604">
        <v>3</v>
      </c>
      <c r="G1604">
        <v>1</v>
      </c>
      <c r="H1604">
        <v>3</v>
      </c>
      <c r="I1604" s="7">
        <v>1.68249544018291</v>
      </c>
      <c r="J1604" s="6">
        <v>0.58121239550609605</v>
      </c>
      <c r="K1604" s="6">
        <v>1.8104406236178701</v>
      </c>
      <c r="L1604">
        <v>-1.40697285662214</v>
      </c>
      <c r="M1604">
        <v>0.64997936433097403</v>
      </c>
    </row>
    <row r="1605" spans="1:13" x14ac:dyDescent="0.25">
      <c r="A1605">
        <v>2233</v>
      </c>
      <c r="B1605" t="str">
        <f>"SCARB1"</f>
        <v>SCARB1</v>
      </c>
      <c r="C1605" t="str">
        <f>""</f>
        <v/>
      </c>
      <c r="D1605">
        <v>45.101999999999997</v>
      </c>
      <c r="E1605">
        <v>2.9</v>
      </c>
      <c r="F1605">
        <v>3</v>
      </c>
      <c r="G1605">
        <v>1</v>
      </c>
      <c r="H1605">
        <v>3</v>
      </c>
      <c r="I1605" s="7">
        <v>1.68249544018291</v>
      </c>
      <c r="J1605" s="6">
        <v>0.58121239550609605</v>
      </c>
      <c r="K1605" s="6">
        <v>1.8104406236178701</v>
      </c>
      <c r="L1605">
        <v>-1.40697285662214</v>
      </c>
      <c r="M1605">
        <v>0.64997936433097403</v>
      </c>
    </row>
    <row r="1606" spans="1:13" x14ac:dyDescent="0.25">
      <c r="A1606">
        <v>2543</v>
      </c>
      <c r="B1606" t="str">
        <f>"TUBGCP2"</f>
        <v>TUBGCP2</v>
      </c>
      <c r="C1606" t="str">
        <f>""</f>
        <v/>
      </c>
      <c r="D1606">
        <v>88.09</v>
      </c>
      <c r="E1606">
        <v>4.7</v>
      </c>
      <c r="F1606">
        <v>3</v>
      </c>
      <c r="G1606">
        <v>1</v>
      </c>
      <c r="H1606">
        <v>3</v>
      </c>
      <c r="I1606" s="7">
        <v>1.68249544018291</v>
      </c>
      <c r="J1606" s="6">
        <v>0.58121239550609605</v>
      </c>
      <c r="K1606" s="6">
        <v>1.8104406236178701</v>
      </c>
      <c r="L1606">
        <v>-1.40697285662214</v>
      </c>
      <c r="M1606">
        <v>0.64997936433097403</v>
      </c>
    </row>
    <row r="1607" spans="1:13" x14ac:dyDescent="0.25">
      <c r="A1607">
        <v>3059</v>
      </c>
      <c r="B1607" t="str">
        <f>"RCL1"</f>
        <v>RCL1</v>
      </c>
      <c r="C1607" t="str">
        <f>""</f>
        <v/>
      </c>
      <c r="D1607">
        <v>40.841999999999999</v>
      </c>
      <c r="E1607">
        <v>4</v>
      </c>
      <c r="F1607">
        <v>3</v>
      </c>
      <c r="G1607">
        <v>1</v>
      </c>
      <c r="H1607">
        <v>3</v>
      </c>
      <c r="I1607" s="7">
        <v>1.68249544018291</v>
      </c>
      <c r="J1607" s="6">
        <v>0.58121239550609605</v>
      </c>
      <c r="K1607" s="6">
        <v>1.8104406236178701</v>
      </c>
      <c r="L1607">
        <v>-1.40697285662214</v>
      </c>
      <c r="M1607">
        <v>0.64997936433097403</v>
      </c>
    </row>
    <row r="1608" spans="1:13" x14ac:dyDescent="0.25">
      <c r="A1608">
        <v>1628</v>
      </c>
      <c r="B1608" t="str">
        <f>"MLEC"</f>
        <v>MLEC</v>
      </c>
      <c r="C1608" t="str">
        <f>""</f>
        <v/>
      </c>
      <c r="D1608">
        <v>32.232999999999997</v>
      </c>
      <c r="E1608">
        <v>4.5</v>
      </c>
      <c r="F1608">
        <v>3</v>
      </c>
      <c r="G1608">
        <v>2</v>
      </c>
      <c r="H1608">
        <v>2</v>
      </c>
      <c r="I1608" s="7">
        <v>1.68249544018291</v>
      </c>
      <c r="J1608" s="6">
        <v>1.1624247910121901</v>
      </c>
      <c r="K1608" s="6">
        <v>1.20696041574525</v>
      </c>
      <c r="L1608">
        <v>-1.4201957836019801</v>
      </c>
      <c r="M1608">
        <v>0.65102250608179202</v>
      </c>
    </row>
    <row r="1609" spans="1:13" x14ac:dyDescent="0.25">
      <c r="A1609">
        <v>283</v>
      </c>
      <c r="B1609" t="str">
        <f>"HIST1H2BL;HIST1H2BM;HIST1H2BN;HIST1H2BH;HIST2H2BF;HIST1H2BC;HIST1H2BD;H2BFS;HIST1H2BK;HIST3H2BB;HIST2H2BE;HIST1H2BB;HIST1H2BO;HIST1H2BJ"</f>
        <v>HIST1H2BL;HIST1H2BM;HIST1H2BN;HIST1H2BH;HIST2H2BF;HIST1H2BC;HIST1H2BD;H2BFS;HIST1H2BK;HIST3H2BB;HIST2H2BE;HIST1H2BB;HIST1H2BO;HIST1H2BJ</v>
      </c>
      <c r="C1609" t="str">
        <f>""</f>
        <v/>
      </c>
      <c r="D1609">
        <v>13.952</v>
      </c>
      <c r="E1609">
        <v>19</v>
      </c>
      <c r="F1609">
        <v>3</v>
      </c>
      <c r="G1609">
        <v>2</v>
      </c>
      <c r="H1609">
        <v>2</v>
      </c>
      <c r="I1609" s="7">
        <v>1.68249544018291</v>
      </c>
      <c r="J1609" s="6">
        <v>1.1624247910121901</v>
      </c>
      <c r="K1609" s="6">
        <v>1.20696041574525</v>
      </c>
      <c r="L1609">
        <v>-1.4201957836019801</v>
      </c>
      <c r="M1609">
        <v>0.65102250608179202</v>
      </c>
    </row>
    <row r="1610" spans="1:13" x14ac:dyDescent="0.25">
      <c r="A1610">
        <v>2681</v>
      </c>
      <c r="B1610" t="str">
        <f>"EHD1;EHD3"</f>
        <v>EHD1;EHD3</v>
      </c>
      <c r="C1610" t="str">
        <f>""</f>
        <v/>
      </c>
      <c r="D1610">
        <v>60.625999999999998</v>
      </c>
      <c r="E1610">
        <v>2.1</v>
      </c>
      <c r="F1610">
        <v>3</v>
      </c>
      <c r="G1610">
        <v>2</v>
      </c>
      <c r="H1610">
        <v>2</v>
      </c>
      <c r="I1610" s="7">
        <v>1.68249544018291</v>
      </c>
      <c r="J1610" s="6">
        <v>1.1624247910121901</v>
      </c>
      <c r="K1610" s="6">
        <v>1.20696041574525</v>
      </c>
      <c r="L1610">
        <v>-1.4201957836019801</v>
      </c>
      <c r="M1610">
        <v>0.65102250608179202</v>
      </c>
    </row>
    <row r="1611" spans="1:13" x14ac:dyDescent="0.25">
      <c r="A1611">
        <v>538</v>
      </c>
      <c r="B1611" t="str">
        <f>"RPLP2"</f>
        <v>RPLP2</v>
      </c>
      <c r="C1611" t="str">
        <f>""</f>
        <v/>
      </c>
      <c r="D1611">
        <v>11.664999999999999</v>
      </c>
      <c r="E1611">
        <v>13.9</v>
      </c>
      <c r="F1611">
        <v>3</v>
      </c>
      <c r="G1611">
        <v>2</v>
      </c>
      <c r="H1611">
        <v>2</v>
      </c>
      <c r="I1611" s="7">
        <v>1.68249544018291</v>
      </c>
      <c r="J1611" s="6">
        <v>1.1624247910121901</v>
      </c>
      <c r="K1611" s="6">
        <v>1.20696041574525</v>
      </c>
      <c r="L1611">
        <v>-1.4201957836019801</v>
      </c>
      <c r="M1611">
        <v>0.65102250608179202</v>
      </c>
    </row>
    <row r="1612" spans="1:13" x14ac:dyDescent="0.25">
      <c r="A1612">
        <v>655</v>
      </c>
      <c r="B1612" t="str">
        <f>"PRPS2;PRPS1"</f>
        <v>PRPS2;PRPS1</v>
      </c>
      <c r="C1612" t="str">
        <f>""</f>
        <v/>
      </c>
      <c r="D1612">
        <v>35.054000000000002</v>
      </c>
      <c r="E1612">
        <v>12.5</v>
      </c>
      <c r="F1612">
        <v>3</v>
      </c>
      <c r="G1612">
        <v>2</v>
      </c>
      <c r="H1612">
        <v>2</v>
      </c>
      <c r="I1612" s="7">
        <v>1.68249544018291</v>
      </c>
      <c r="J1612" s="6">
        <v>1.1624247910121901</v>
      </c>
      <c r="K1612" s="6">
        <v>1.20696041574525</v>
      </c>
      <c r="L1612">
        <v>-1.4201957836019801</v>
      </c>
      <c r="M1612">
        <v>0.65102250608179202</v>
      </c>
    </row>
    <row r="1613" spans="1:13" x14ac:dyDescent="0.25">
      <c r="A1613">
        <v>173</v>
      </c>
      <c r="B1613" t="str">
        <f>"POLR1C"</f>
        <v>POLR1C</v>
      </c>
      <c r="C1613" t="str">
        <f>""</f>
        <v/>
      </c>
      <c r="D1613">
        <v>38.646000000000001</v>
      </c>
      <c r="E1613">
        <v>8.8000000000000007</v>
      </c>
      <c r="F1613">
        <v>3</v>
      </c>
      <c r="G1613">
        <v>2</v>
      </c>
      <c r="H1613">
        <v>2</v>
      </c>
      <c r="I1613" s="7">
        <v>1.68249544018291</v>
      </c>
      <c r="J1613" s="6">
        <v>1.1624247910121901</v>
      </c>
      <c r="K1613" s="6">
        <v>1.20696041574525</v>
      </c>
      <c r="L1613">
        <v>-1.4201957836019801</v>
      </c>
      <c r="M1613">
        <v>0.65102250608179202</v>
      </c>
    </row>
    <row r="1614" spans="1:13" x14ac:dyDescent="0.25">
      <c r="A1614">
        <v>222</v>
      </c>
      <c r="B1614" t="str">
        <f>"AKR7A2"</f>
        <v>AKR7A2</v>
      </c>
      <c r="C1614" t="str">
        <f>""</f>
        <v/>
      </c>
      <c r="D1614">
        <v>39.588999999999999</v>
      </c>
      <c r="E1614">
        <v>16.2</v>
      </c>
      <c r="F1614">
        <v>3</v>
      </c>
      <c r="G1614">
        <v>2</v>
      </c>
      <c r="H1614">
        <v>2</v>
      </c>
      <c r="I1614" s="7">
        <v>1.68249544018291</v>
      </c>
      <c r="J1614" s="6">
        <v>1.1624247910121901</v>
      </c>
      <c r="K1614" s="6">
        <v>1.20696041574525</v>
      </c>
      <c r="L1614">
        <v>-1.4201957836019801</v>
      </c>
      <c r="M1614">
        <v>0.65102250608179202</v>
      </c>
    </row>
    <row r="1615" spans="1:13" x14ac:dyDescent="0.25">
      <c r="A1615">
        <v>781</v>
      </c>
      <c r="B1615" t="str">
        <f>"SDHB"</f>
        <v>SDHB</v>
      </c>
      <c r="C1615" t="str">
        <f>""</f>
        <v/>
      </c>
      <c r="D1615">
        <v>31.629000000000001</v>
      </c>
      <c r="E1615">
        <v>7.5</v>
      </c>
      <c r="F1615">
        <v>3</v>
      </c>
      <c r="G1615">
        <v>2</v>
      </c>
      <c r="H1615">
        <v>2</v>
      </c>
      <c r="I1615" s="7">
        <v>1.68249544018291</v>
      </c>
      <c r="J1615" s="6">
        <v>1.1624247910121901</v>
      </c>
      <c r="K1615" s="6">
        <v>1.20696041574525</v>
      </c>
      <c r="L1615">
        <v>-1.4201957836019801</v>
      </c>
      <c r="M1615">
        <v>0.65102250608179202</v>
      </c>
    </row>
    <row r="1616" spans="1:13" x14ac:dyDescent="0.25">
      <c r="A1616">
        <v>860</v>
      </c>
      <c r="B1616" t="str">
        <f>"PSMB5"</f>
        <v>PSMB5</v>
      </c>
      <c r="C1616" t="str">
        <f>""</f>
        <v/>
      </c>
      <c r="D1616">
        <v>17.782</v>
      </c>
      <c r="E1616">
        <v>21.9</v>
      </c>
      <c r="F1616">
        <v>3</v>
      </c>
      <c r="G1616">
        <v>2</v>
      </c>
      <c r="H1616">
        <v>2</v>
      </c>
      <c r="I1616" s="7">
        <v>1.68249544018291</v>
      </c>
      <c r="J1616" s="6">
        <v>1.1624247910121901</v>
      </c>
      <c r="K1616" s="6">
        <v>1.20696041574525</v>
      </c>
      <c r="L1616">
        <v>-1.4201957836019801</v>
      </c>
      <c r="M1616">
        <v>0.65102250608179202</v>
      </c>
    </row>
    <row r="1617" spans="1:13" x14ac:dyDescent="0.25">
      <c r="A1617">
        <v>865</v>
      </c>
      <c r="B1617" t="str">
        <f>"SMARCA1"</f>
        <v>SMARCA1</v>
      </c>
      <c r="C1617" t="str">
        <f>""</f>
        <v/>
      </c>
      <c r="D1617">
        <v>121.14</v>
      </c>
      <c r="E1617">
        <v>4.5999999999999996</v>
      </c>
      <c r="F1617">
        <v>3</v>
      </c>
      <c r="G1617">
        <v>2</v>
      </c>
      <c r="H1617">
        <v>2</v>
      </c>
      <c r="I1617" s="7">
        <v>1.68249544018291</v>
      </c>
      <c r="J1617" s="6">
        <v>1.1624247910121901</v>
      </c>
      <c r="K1617" s="6">
        <v>1.20696041574525</v>
      </c>
      <c r="L1617">
        <v>-1.4201957836019801</v>
      </c>
      <c r="M1617">
        <v>0.65102250608179202</v>
      </c>
    </row>
    <row r="1618" spans="1:13" x14ac:dyDescent="0.25">
      <c r="A1618">
        <v>1111</v>
      </c>
      <c r="B1618" t="str">
        <f>"CSNK1E;CSNK1D"</f>
        <v>CSNK1E;CSNK1D</v>
      </c>
      <c r="C1618" t="str">
        <f>"CSNK1E;CSNK1D"</f>
        <v>CSNK1E;CSNK1D</v>
      </c>
      <c r="D1618">
        <v>47.314999999999998</v>
      </c>
      <c r="E1618">
        <v>5.5</v>
      </c>
      <c r="F1618">
        <v>3</v>
      </c>
      <c r="G1618">
        <v>2</v>
      </c>
      <c r="H1618">
        <v>2</v>
      </c>
      <c r="I1618" s="7">
        <v>1.68249544018291</v>
      </c>
      <c r="J1618" s="6">
        <v>1.1624247910121901</v>
      </c>
      <c r="K1618" s="6">
        <v>1.20696041574525</v>
      </c>
      <c r="L1618">
        <v>-1.4201957836019801</v>
      </c>
      <c r="M1618">
        <v>0.65102250608179202</v>
      </c>
    </row>
    <row r="1619" spans="1:13" x14ac:dyDescent="0.25">
      <c r="A1619">
        <v>1318</v>
      </c>
      <c r="B1619" t="str">
        <f>"LSM3"</f>
        <v>LSM3</v>
      </c>
      <c r="C1619" t="str">
        <f>""</f>
        <v/>
      </c>
      <c r="D1619">
        <v>11.845000000000001</v>
      </c>
      <c r="E1619">
        <v>11.8</v>
      </c>
      <c r="F1619">
        <v>3</v>
      </c>
      <c r="G1619">
        <v>2</v>
      </c>
      <c r="H1619">
        <v>2</v>
      </c>
      <c r="I1619" s="7">
        <v>1.68249544018291</v>
      </c>
      <c r="J1619" s="6">
        <v>1.1624247910121901</v>
      </c>
      <c r="K1619" s="6">
        <v>1.20696041574525</v>
      </c>
      <c r="L1619">
        <v>-1.4201957836019801</v>
      </c>
      <c r="M1619">
        <v>0.65102250608179202</v>
      </c>
    </row>
    <row r="1620" spans="1:13" x14ac:dyDescent="0.25">
      <c r="A1620">
        <v>1434</v>
      </c>
      <c r="B1620" t="str">
        <f>"ALDH6A1"</f>
        <v>ALDH6A1</v>
      </c>
      <c r="C1620" t="str">
        <f>""</f>
        <v/>
      </c>
      <c r="D1620">
        <v>56.226999999999997</v>
      </c>
      <c r="E1620">
        <v>2.1</v>
      </c>
      <c r="F1620">
        <v>3</v>
      </c>
      <c r="G1620">
        <v>2</v>
      </c>
      <c r="H1620">
        <v>2</v>
      </c>
      <c r="I1620" s="7">
        <v>1.68249544018291</v>
      </c>
      <c r="J1620" s="6">
        <v>1.1624247910121901</v>
      </c>
      <c r="K1620" s="6">
        <v>1.20696041574525</v>
      </c>
      <c r="L1620">
        <v>-1.4201957836019801</v>
      </c>
      <c r="M1620">
        <v>0.65102250608179202</v>
      </c>
    </row>
    <row r="1621" spans="1:13" x14ac:dyDescent="0.25">
      <c r="A1621">
        <v>1480</v>
      </c>
      <c r="B1621" t="str">
        <f>"SRSF4"</f>
        <v>SRSF4</v>
      </c>
      <c r="C1621" t="str">
        <f>""</f>
        <v/>
      </c>
      <c r="D1621">
        <v>56.677999999999997</v>
      </c>
      <c r="E1621">
        <v>7.3</v>
      </c>
      <c r="F1621">
        <v>3</v>
      </c>
      <c r="G1621">
        <v>2</v>
      </c>
      <c r="H1621">
        <v>2</v>
      </c>
      <c r="I1621" s="7">
        <v>1.68249544018291</v>
      </c>
      <c r="J1621" s="6">
        <v>1.1624247910121901</v>
      </c>
      <c r="K1621" s="6">
        <v>1.20696041574525</v>
      </c>
      <c r="L1621">
        <v>-1.4201957836019801</v>
      </c>
      <c r="M1621">
        <v>0.65102250608179202</v>
      </c>
    </row>
    <row r="1622" spans="1:13" x14ac:dyDescent="0.25">
      <c r="A1622">
        <v>1585</v>
      </c>
      <c r="B1622" t="str">
        <f>"DCTN2"</f>
        <v>DCTN2</v>
      </c>
      <c r="C1622" t="str">
        <f>""</f>
        <v/>
      </c>
      <c r="D1622">
        <v>44.23</v>
      </c>
      <c r="E1622">
        <v>7.2</v>
      </c>
      <c r="F1622">
        <v>3</v>
      </c>
      <c r="G1622">
        <v>2</v>
      </c>
      <c r="H1622">
        <v>2</v>
      </c>
      <c r="I1622" s="7">
        <v>1.68249544018291</v>
      </c>
      <c r="J1622" s="6">
        <v>1.1624247910121901</v>
      </c>
      <c r="K1622" s="6">
        <v>1.20696041574525</v>
      </c>
      <c r="L1622">
        <v>-1.4201957836019801</v>
      </c>
      <c r="M1622">
        <v>0.65102250608179202</v>
      </c>
    </row>
    <row r="1623" spans="1:13" x14ac:dyDescent="0.25">
      <c r="A1623">
        <v>1832</v>
      </c>
      <c r="B1623" t="str">
        <f>"PYCRL"</f>
        <v>PYCRL</v>
      </c>
      <c r="C1623" t="str">
        <f>""</f>
        <v/>
      </c>
      <c r="D1623">
        <v>26.439</v>
      </c>
      <c r="E1623">
        <v>11.8</v>
      </c>
      <c r="F1623">
        <v>3</v>
      </c>
      <c r="G1623">
        <v>2</v>
      </c>
      <c r="H1623">
        <v>2</v>
      </c>
      <c r="I1623" s="7">
        <v>1.68249544018291</v>
      </c>
      <c r="J1623" s="6">
        <v>1.1624247910121901</v>
      </c>
      <c r="K1623" s="6">
        <v>1.20696041574525</v>
      </c>
      <c r="L1623">
        <v>-1.4201957836019801</v>
      </c>
      <c r="M1623">
        <v>0.65102250608179202</v>
      </c>
    </row>
    <row r="1624" spans="1:13" x14ac:dyDescent="0.25">
      <c r="A1624">
        <v>1887</v>
      </c>
      <c r="B1624" t="str">
        <f>"ECM29"</f>
        <v>ECM29</v>
      </c>
      <c r="C1624" t="str">
        <f>""</f>
        <v/>
      </c>
      <c r="D1624">
        <v>204.29</v>
      </c>
      <c r="E1624">
        <v>2.1</v>
      </c>
      <c r="F1624">
        <v>3</v>
      </c>
      <c r="G1624">
        <v>2</v>
      </c>
      <c r="H1624">
        <v>2</v>
      </c>
      <c r="I1624" s="7">
        <v>1.68249544018291</v>
      </c>
      <c r="J1624" s="6">
        <v>1.1624247910121901</v>
      </c>
      <c r="K1624" s="6">
        <v>1.20696041574525</v>
      </c>
      <c r="L1624">
        <v>-1.4201957836019801</v>
      </c>
      <c r="M1624">
        <v>0.65102250608179202</v>
      </c>
    </row>
    <row r="1625" spans="1:13" x14ac:dyDescent="0.25">
      <c r="A1625">
        <v>1931</v>
      </c>
      <c r="B1625" t="str">
        <f>"SLC27A4"</f>
        <v>SLC27A4</v>
      </c>
      <c r="C1625" t="str">
        <f>""</f>
        <v/>
      </c>
      <c r="D1625">
        <v>26</v>
      </c>
      <c r="E1625">
        <v>4.5999999999999996</v>
      </c>
      <c r="F1625">
        <v>3</v>
      </c>
      <c r="G1625">
        <v>2</v>
      </c>
      <c r="H1625">
        <v>2</v>
      </c>
      <c r="I1625" s="7">
        <v>1.68249544018291</v>
      </c>
      <c r="J1625" s="6">
        <v>1.1624247910121901</v>
      </c>
      <c r="K1625" s="6">
        <v>1.20696041574525</v>
      </c>
      <c r="L1625">
        <v>-1.4201957836019801</v>
      </c>
      <c r="M1625">
        <v>0.65102250608179202</v>
      </c>
    </row>
    <row r="1626" spans="1:13" x14ac:dyDescent="0.25">
      <c r="A1626">
        <v>2027</v>
      </c>
      <c r="B1626" t="str">
        <f>"HEATR3"</f>
        <v>HEATR3</v>
      </c>
      <c r="C1626" t="str">
        <f>""</f>
        <v/>
      </c>
      <c r="D1626">
        <v>35.134</v>
      </c>
      <c r="E1626">
        <v>3.8</v>
      </c>
      <c r="F1626">
        <v>3</v>
      </c>
      <c r="G1626">
        <v>2</v>
      </c>
      <c r="H1626">
        <v>2</v>
      </c>
      <c r="I1626" s="7">
        <v>1.68249544018291</v>
      </c>
      <c r="J1626" s="6">
        <v>1.1624247910121901</v>
      </c>
      <c r="K1626" s="6">
        <v>1.20696041574525</v>
      </c>
      <c r="L1626">
        <v>-1.4201957836019801</v>
      </c>
      <c r="M1626">
        <v>0.65102250608179202</v>
      </c>
    </row>
    <row r="1627" spans="1:13" x14ac:dyDescent="0.25">
      <c r="A1627">
        <v>2189</v>
      </c>
      <c r="B1627" t="str">
        <f>"SHCBP1"</f>
        <v>SHCBP1</v>
      </c>
      <c r="C1627" t="str">
        <f>""</f>
        <v/>
      </c>
      <c r="D1627">
        <v>75.69</v>
      </c>
      <c r="E1627">
        <v>1.2</v>
      </c>
      <c r="F1627">
        <v>3</v>
      </c>
      <c r="G1627">
        <v>2</v>
      </c>
      <c r="H1627">
        <v>2</v>
      </c>
      <c r="I1627" s="7">
        <v>1.68249544018291</v>
      </c>
      <c r="J1627" s="6">
        <v>1.1624247910121901</v>
      </c>
      <c r="K1627" s="6">
        <v>1.20696041574525</v>
      </c>
      <c r="L1627">
        <v>-1.4201957836019801</v>
      </c>
      <c r="M1627">
        <v>0.65102250608179202</v>
      </c>
    </row>
    <row r="1628" spans="1:13" x14ac:dyDescent="0.25">
      <c r="A1628">
        <v>2336</v>
      </c>
      <c r="B1628" t="str">
        <f>"TTC28"</f>
        <v>TTC28</v>
      </c>
      <c r="C1628" t="str">
        <f>""</f>
        <v/>
      </c>
      <c r="D1628">
        <v>270.88</v>
      </c>
      <c r="E1628">
        <v>1.8</v>
      </c>
      <c r="F1628">
        <v>3</v>
      </c>
      <c r="G1628">
        <v>2</v>
      </c>
      <c r="H1628">
        <v>2</v>
      </c>
      <c r="I1628" s="7">
        <v>1.68249544018291</v>
      </c>
      <c r="J1628" s="6">
        <v>1.1624247910121901</v>
      </c>
      <c r="K1628" s="6">
        <v>1.20696041574525</v>
      </c>
      <c r="L1628">
        <v>-1.4201957836019801</v>
      </c>
      <c r="M1628">
        <v>0.65102250608179202</v>
      </c>
    </row>
    <row r="1629" spans="1:13" x14ac:dyDescent="0.25">
      <c r="A1629">
        <v>2749</v>
      </c>
      <c r="B1629" t="str">
        <f>"WDR6"</f>
        <v>WDR6</v>
      </c>
      <c r="C1629" t="str">
        <f>""</f>
        <v/>
      </c>
      <c r="D1629">
        <v>121.72</v>
      </c>
      <c r="E1629">
        <v>3.7</v>
      </c>
      <c r="F1629">
        <v>3</v>
      </c>
      <c r="G1629">
        <v>2</v>
      </c>
      <c r="H1629">
        <v>2</v>
      </c>
      <c r="I1629" s="7">
        <v>1.68249544018291</v>
      </c>
      <c r="J1629" s="6">
        <v>1.1624247910121901</v>
      </c>
      <c r="K1629" s="6">
        <v>1.20696041574525</v>
      </c>
      <c r="L1629">
        <v>-1.4201957836019801</v>
      </c>
      <c r="M1629">
        <v>0.65102250608179202</v>
      </c>
    </row>
    <row r="1630" spans="1:13" x14ac:dyDescent="0.25">
      <c r="A1630">
        <v>2791</v>
      </c>
      <c r="B1630" t="str">
        <f>"VPS45"</f>
        <v>VPS45</v>
      </c>
      <c r="C1630" t="str">
        <f>""</f>
        <v/>
      </c>
      <c r="D1630">
        <v>61.982999999999997</v>
      </c>
      <c r="E1630">
        <v>4.3</v>
      </c>
      <c r="F1630">
        <v>3</v>
      </c>
      <c r="G1630">
        <v>2</v>
      </c>
      <c r="H1630">
        <v>2</v>
      </c>
      <c r="I1630" s="7">
        <v>1.68249544018291</v>
      </c>
      <c r="J1630" s="6">
        <v>1.1624247910121901</v>
      </c>
      <c r="K1630" s="6">
        <v>1.20696041574525</v>
      </c>
      <c r="L1630">
        <v>-1.4201957836019801</v>
      </c>
      <c r="M1630">
        <v>0.65102250608179202</v>
      </c>
    </row>
    <row r="1631" spans="1:13" x14ac:dyDescent="0.25">
      <c r="A1631">
        <v>2920</v>
      </c>
      <c r="B1631" t="str">
        <f>"HDAC6"</f>
        <v>HDAC6</v>
      </c>
      <c r="C1631" t="str">
        <f>""</f>
        <v/>
      </c>
      <c r="D1631">
        <v>131.41999999999999</v>
      </c>
      <c r="E1631">
        <v>1.6</v>
      </c>
      <c r="F1631">
        <v>3</v>
      </c>
      <c r="G1631">
        <v>2</v>
      </c>
      <c r="H1631">
        <v>2</v>
      </c>
      <c r="I1631" s="7">
        <v>1.68249544018291</v>
      </c>
      <c r="J1631" s="6">
        <v>1.1624247910121901</v>
      </c>
      <c r="K1631" s="6">
        <v>1.20696041574525</v>
      </c>
      <c r="L1631">
        <v>-1.4201957836019801</v>
      </c>
      <c r="M1631">
        <v>0.65102250608179202</v>
      </c>
    </row>
    <row r="1632" spans="1:13" x14ac:dyDescent="0.25">
      <c r="A1632">
        <v>1001</v>
      </c>
      <c r="B1632" t="str">
        <f>"MDH1"</f>
        <v>MDH1</v>
      </c>
      <c r="C1632" t="str">
        <f>""</f>
        <v/>
      </c>
      <c r="D1632">
        <v>38.627000000000002</v>
      </c>
      <c r="E1632">
        <v>14.2</v>
      </c>
      <c r="F1632">
        <v>5</v>
      </c>
      <c r="G1632">
        <v>6</v>
      </c>
      <c r="H1632">
        <v>6</v>
      </c>
      <c r="I1632" s="7">
        <v>2.80415906697151</v>
      </c>
      <c r="J1632" s="6">
        <v>3.4872743730365801</v>
      </c>
      <c r="K1632" s="6">
        <v>3.6208812472357401</v>
      </c>
      <c r="L1632">
        <v>1.2674308857858601</v>
      </c>
      <c r="M1632">
        <v>0.65329832608502203</v>
      </c>
    </row>
    <row r="1633" spans="1:13" x14ac:dyDescent="0.25">
      <c r="A1633">
        <v>2561</v>
      </c>
      <c r="B1633" t="str">
        <f>"BDH2"</f>
        <v>BDH2</v>
      </c>
      <c r="C1633" t="str">
        <f>""</f>
        <v/>
      </c>
      <c r="D1633">
        <v>26.724</v>
      </c>
      <c r="E1633">
        <v>14.7</v>
      </c>
      <c r="F1633">
        <v>5</v>
      </c>
      <c r="G1633">
        <v>6</v>
      </c>
      <c r="H1633">
        <v>6</v>
      </c>
      <c r="I1633" s="7">
        <v>2.80415906697151</v>
      </c>
      <c r="J1633" s="6">
        <v>3.4872743730365801</v>
      </c>
      <c r="K1633" s="6">
        <v>3.6208812472357401</v>
      </c>
      <c r="L1633">
        <v>1.2674308857858601</v>
      </c>
      <c r="M1633">
        <v>0.65329832608502203</v>
      </c>
    </row>
    <row r="1634" spans="1:13" x14ac:dyDescent="0.25">
      <c r="A1634">
        <v>2047</v>
      </c>
      <c r="B1634" t="str">
        <f>"YRDC"</f>
        <v>YRDC</v>
      </c>
      <c r="C1634" t="str">
        <f>""</f>
        <v/>
      </c>
      <c r="D1634">
        <v>29.327999999999999</v>
      </c>
      <c r="E1634">
        <v>11.5</v>
      </c>
      <c r="F1634">
        <v>5</v>
      </c>
      <c r="G1634">
        <v>6</v>
      </c>
      <c r="H1634">
        <v>6</v>
      </c>
      <c r="I1634" s="7">
        <v>2.80415906697151</v>
      </c>
      <c r="J1634" s="6">
        <v>3.4872743730365801</v>
      </c>
      <c r="K1634" s="6">
        <v>3.6208812472357401</v>
      </c>
      <c r="L1634">
        <v>1.2674308857858601</v>
      </c>
      <c r="M1634">
        <v>0.65329832608502203</v>
      </c>
    </row>
    <row r="1635" spans="1:13" x14ac:dyDescent="0.25">
      <c r="A1635">
        <v>2871</v>
      </c>
      <c r="B1635" t="str">
        <f>"HSPBP1"</f>
        <v>HSPBP1</v>
      </c>
      <c r="C1635" t="str">
        <f>""</f>
        <v/>
      </c>
      <c r="D1635">
        <v>39.302</v>
      </c>
      <c r="E1635">
        <v>3.1</v>
      </c>
      <c r="F1635">
        <v>5</v>
      </c>
      <c r="G1635">
        <v>6</v>
      </c>
      <c r="H1635">
        <v>6</v>
      </c>
      <c r="I1635" s="7">
        <v>2.80415906697151</v>
      </c>
      <c r="J1635" s="6">
        <v>3.4872743730365801</v>
      </c>
      <c r="K1635" s="6">
        <v>3.6208812472357401</v>
      </c>
      <c r="L1635">
        <v>1.2674308857858601</v>
      </c>
      <c r="M1635">
        <v>0.65329832608502203</v>
      </c>
    </row>
    <row r="1636" spans="1:13" x14ac:dyDescent="0.25">
      <c r="A1636">
        <v>3076</v>
      </c>
      <c r="B1636" t="str">
        <f>"YARS2"</f>
        <v>YARS2</v>
      </c>
      <c r="C1636" t="str">
        <f>""</f>
        <v/>
      </c>
      <c r="D1636">
        <v>53.198</v>
      </c>
      <c r="E1636">
        <v>4.8</v>
      </c>
      <c r="F1636">
        <v>5</v>
      </c>
      <c r="G1636">
        <v>6</v>
      </c>
      <c r="H1636">
        <v>6</v>
      </c>
      <c r="I1636" s="7">
        <v>2.80415906697151</v>
      </c>
      <c r="J1636" s="6">
        <v>3.4872743730365801</v>
      </c>
      <c r="K1636" s="6">
        <v>3.6208812472357401</v>
      </c>
      <c r="L1636">
        <v>1.2674308857858601</v>
      </c>
      <c r="M1636">
        <v>0.65329832608502203</v>
      </c>
    </row>
    <row r="1637" spans="1:13" x14ac:dyDescent="0.25">
      <c r="A1637">
        <v>1255</v>
      </c>
      <c r="B1637" t="str">
        <f>"NUP107"</f>
        <v>NUP107</v>
      </c>
      <c r="C1637" t="str">
        <f>""</f>
        <v/>
      </c>
      <c r="D1637">
        <v>106.37</v>
      </c>
      <c r="E1637">
        <v>5</v>
      </c>
      <c r="F1637">
        <v>5</v>
      </c>
      <c r="G1637">
        <v>5</v>
      </c>
      <c r="H1637">
        <v>7</v>
      </c>
      <c r="I1637" s="7">
        <v>2.80415906697151</v>
      </c>
      <c r="J1637" s="6">
        <v>2.9060619775304799</v>
      </c>
      <c r="K1637" s="6">
        <v>4.2243614551083599</v>
      </c>
      <c r="L1637">
        <v>1.2714013831497299</v>
      </c>
      <c r="M1637">
        <v>0.65351505607191496</v>
      </c>
    </row>
    <row r="1638" spans="1:13" x14ac:dyDescent="0.25">
      <c r="A1638">
        <v>19</v>
      </c>
      <c r="B1638" t="str">
        <f>"SMCHD1"</f>
        <v>SMCHD1</v>
      </c>
      <c r="C1638" t="str">
        <f>""</f>
        <v/>
      </c>
      <c r="D1638">
        <v>226.37</v>
      </c>
      <c r="E1638">
        <v>4.9000000000000004</v>
      </c>
      <c r="F1638">
        <v>5</v>
      </c>
      <c r="G1638">
        <v>5</v>
      </c>
      <c r="H1638">
        <v>7</v>
      </c>
      <c r="I1638" s="7">
        <v>2.80415906697151</v>
      </c>
      <c r="J1638" s="6">
        <v>2.9060619775304799</v>
      </c>
      <c r="K1638" s="6">
        <v>4.2243614551083599</v>
      </c>
      <c r="L1638">
        <v>1.2714013831497299</v>
      </c>
      <c r="M1638">
        <v>0.65351505607191496</v>
      </c>
    </row>
    <row r="1639" spans="1:13" x14ac:dyDescent="0.25">
      <c r="A1639">
        <v>145</v>
      </c>
      <c r="B1639" t="str">
        <f>"TCERG1"</f>
        <v>TCERG1</v>
      </c>
      <c r="C1639" t="str">
        <f>""</f>
        <v/>
      </c>
      <c r="D1639">
        <v>123.9</v>
      </c>
      <c r="E1639">
        <v>4.7</v>
      </c>
      <c r="F1639">
        <v>5</v>
      </c>
      <c r="G1639">
        <v>5</v>
      </c>
      <c r="H1639">
        <v>7</v>
      </c>
      <c r="I1639" s="7">
        <v>2.80415906697151</v>
      </c>
      <c r="J1639" s="6">
        <v>2.9060619775304799</v>
      </c>
      <c r="K1639" s="6">
        <v>4.2243614551083599</v>
      </c>
      <c r="L1639">
        <v>1.2714013831497299</v>
      </c>
      <c r="M1639">
        <v>0.65351505607191496</v>
      </c>
    </row>
    <row r="1640" spans="1:13" x14ac:dyDescent="0.25">
      <c r="A1640">
        <v>1343</v>
      </c>
      <c r="B1640" t="str">
        <f>"RPL10A"</f>
        <v>RPL10A</v>
      </c>
      <c r="C1640" t="str">
        <f>""</f>
        <v/>
      </c>
      <c r="D1640">
        <v>24.831</v>
      </c>
      <c r="E1640">
        <v>15.2</v>
      </c>
      <c r="F1640">
        <v>5</v>
      </c>
      <c r="G1640">
        <v>7</v>
      </c>
      <c r="H1640">
        <v>5</v>
      </c>
      <c r="I1640" s="7">
        <v>2.80415906697151</v>
      </c>
      <c r="J1640" s="6">
        <v>4.0684867685426802</v>
      </c>
      <c r="K1640" s="6">
        <v>3.0174010393631101</v>
      </c>
      <c r="L1640">
        <v>1.2634603884219999</v>
      </c>
      <c r="M1640">
        <v>0.65351511594217804</v>
      </c>
    </row>
    <row r="1641" spans="1:13" x14ac:dyDescent="0.25">
      <c r="A1641">
        <v>2540</v>
      </c>
      <c r="B1641" t="str">
        <f>"NTPCR"</f>
        <v>NTPCR</v>
      </c>
      <c r="C1641" t="str">
        <f>""</f>
        <v/>
      </c>
      <c r="D1641">
        <v>20.713000000000001</v>
      </c>
      <c r="E1641">
        <v>11.6</v>
      </c>
      <c r="F1641">
        <v>5</v>
      </c>
      <c r="G1641">
        <v>7</v>
      </c>
      <c r="H1641">
        <v>5</v>
      </c>
      <c r="I1641" s="7">
        <v>2.80415906697151</v>
      </c>
      <c r="J1641" s="6">
        <v>4.0684867685426802</v>
      </c>
      <c r="K1641" s="6">
        <v>3.0174010393631101</v>
      </c>
      <c r="L1641">
        <v>1.2634603884219999</v>
      </c>
      <c r="M1641">
        <v>0.65351511594217804</v>
      </c>
    </row>
    <row r="1642" spans="1:13" x14ac:dyDescent="0.25">
      <c r="A1642">
        <v>978</v>
      </c>
      <c r="B1642" t="str">
        <f>"TAGLN2"</f>
        <v>TAGLN2</v>
      </c>
      <c r="C1642" t="str">
        <f>""</f>
        <v/>
      </c>
      <c r="D1642">
        <v>22.390999999999998</v>
      </c>
      <c r="E1642">
        <v>19.100000000000001</v>
      </c>
      <c r="F1642">
        <v>5</v>
      </c>
      <c r="G1642">
        <v>7</v>
      </c>
      <c r="H1642">
        <v>5</v>
      </c>
      <c r="I1642" s="7">
        <v>2.80415906697151</v>
      </c>
      <c r="J1642" s="6">
        <v>4.0684867685426802</v>
      </c>
      <c r="K1642" s="6">
        <v>3.0174010393631101</v>
      </c>
      <c r="L1642">
        <v>1.2634603884219999</v>
      </c>
      <c r="M1642">
        <v>0.65351511594217804</v>
      </c>
    </row>
    <row r="1643" spans="1:13" x14ac:dyDescent="0.25">
      <c r="A1643">
        <v>638</v>
      </c>
      <c r="B1643" t="str">
        <f>"UMPS"</f>
        <v>UMPS</v>
      </c>
      <c r="C1643" t="str">
        <f>""</f>
        <v/>
      </c>
      <c r="D1643">
        <v>52.220999999999997</v>
      </c>
      <c r="E1643">
        <v>11</v>
      </c>
      <c r="F1643">
        <v>5</v>
      </c>
      <c r="G1643">
        <v>7</v>
      </c>
      <c r="H1643">
        <v>5</v>
      </c>
      <c r="I1643" s="7">
        <v>2.80415906697151</v>
      </c>
      <c r="J1643" s="6">
        <v>4.0684867685426802</v>
      </c>
      <c r="K1643" s="6">
        <v>3.0174010393631101</v>
      </c>
      <c r="L1643">
        <v>1.2634603884219999</v>
      </c>
      <c r="M1643">
        <v>0.65351511594217804</v>
      </c>
    </row>
    <row r="1644" spans="1:13" x14ac:dyDescent="0.25">
      <c r="A1644">
        <v>2736</v>
      </c>
      <c r="B1644" t="str">
        <f>"GLOD4"</f>
        <v>GLOD4</v>
      </c>
      <c r="C1644" t="str">
        <f>""</f>
        <v/>
      </c>
      <c r="D1644">
        <v>33.231999999999999</v>
      </c>
      <c r="E1644">
        <v>7.7</v>
      </c>
      <c r="F1644">
        <v>5</v>
      </c>
      <c r="G1644">
        <v>7</v>
      </c>
      <c r="H1644">
        <v>5</v>
      </c>
      <c r="I1644" s="7">
        <v>2.80415906697151</v>
      </c>
      <c r="J1644" s="6">
        <v>4.0684867685426802</v>
      </c>
      <c r="K1644" s="6">
        <v>3.0174010393631101</v>
      </c>
      <c r="L1644">
        <v>1.2634603884219999</v>
      </c>
      <c r="M1644">
        <v>0.65351511594217804</v>
      </c>
    </row>
    <row r="1645" spans="1:13" x14ac:dyDescent="0.25">
      <c r="A1645">
        <v>582</v>
      </c>
      <c r="B1645" t="str">
        <f>"LAMB1"</f>
        <v>LAMB1</v>
      </c>
      <c r="C1645" t="str">
        <f>""</f>
        <v/>
      </c>
      <c r="D1645">
        <v>198.04</v>
      </c>
      <c r="E1645">
        <v>1.3</v>
      </c>
      <c r="F1645">
        <v>1</v>
      </c>
      <c r="G1645">
        <v>1</v>
      </c>
      <c r="H1645">
        <v>0</v>
      </c>
      <c r="I1645" s="7">
        <v>0.56083181339430199</v>
      </c>
      <c r="J1645" s="6">
        <v>0.58121239550609605</v>
      </c>
      <c r="K1645" s="6">
        <v>0</v>
      </c>
      <c r="L1645">
        <v>-1.92986872864593</v>
      </c>
      <c r="M1645">
        <v>0.65402294681862305</v>
      </c>
    </row>
    <row r="1646" spans="1:13" x14ac:dyDescent="0.25">
      <c r="A1646">
        <v>49</v>
      </c>
      <c r="B1646" t="str">
        <f>"KRT19"</f>
        <v>KRT19</v>
      </c>
      <c r="C1646" t="str">
        <f>""</f>
        <v/>
      </c>
      <c r="D1646">
        <v>44.091000000000001</v>
      </c>
      <c r="E1646">
        <v>19.2</v>
      </c>
      <c r="F1646">
        <v>1</v>
      </c>
      <c r="G1646">
        <v>1</v>
      </c>
      <c r="H1646">
        <v>0</v>
      </c>
      <c r="I1646" s="7">
        <v>0.56083181339430199</v>
      </c>
      <c r="J1646" s="6">
        <v>0.58121239550609605</v>
      </c>
      <c r="K1646" s="6">
        <v>0</v>
      </c>
      <c r="L1646">
        <v>-1.92986872864593</v>
      </c>
      <c r="M1646">
        <v>0.65402294681862305</v>
      </c>
    </row>
    <row r="1647" spans="1:13" x14ac:dyDescent="0.25">
      <c r="A1647">
        <v>1767</v>
      </c>
      <c r="B1647" t="str">
        <f>"ECM1"</f>
        <v>ECM1</v>
      </c>
      <c r="C1647" t="str">
        <f>""</f>
        <v/>
      </c>
      <c r="D1647">
        <v>46.098999999999997</v>
      </c>
      <c r="E1647">
        <v>3.1</v>
      </c>
      <c r="F1647">
        <v>1</v>
      </c>
      <c r="G1647">
        <v>1</v>
      </c>
      <c r="H1647">
        <v>0</v>
      </c>
      <c r="I1647" s="7">
        <v>0.56083181339430199</v>
      </c>
      <c r="J1647" s="6">
        <v>0.58121239550609605</v>
      </c>
      <c r="K1647" s="6">
        <v>0</v>
      </c>
      <c r="L1647">
        <v>-1.92986872864593</v>
      </c>
      <c r="M1647">
        <v>0.65402294681862305</v>
      </c>
    </row>
    <row r="1648" spans="1:13" x14ac:dyDescent="0.25">
      <c r="A1648">
        <v>1834</v>
      </c>
      <c r="B1648" t="str">
        <f>"ACTBL2"</f>
        <v>ACTBL2</v>
      </c>
      <c r="C1648" t="str">
        <f>""</f>
        <v/>
      </c>
      <c r="D1648">
        <v>42.003</v>
      </c>
      <c r="E1648">
        <v>12</v>
      </c>
      <c r="F1648">
        <v>1</v>
      </c>
      <c r="G1648">
        <v>1</v>
      </c>
      <c r="H1648">
        <v>0</v>
      </c>
      <c r="I1648" s="7">
        <v>0.56083181339430199</v>
      </c>
      <c r="J1648" s="6">
        <v>0.58121239550609605</v>
      </c>
      <c r="K1648" s="6">
        <v>0</v>
      </c>
      <c r="L1648">
        <v>-1.92986872864593</v>
      </c>
      <c r="M1648">
        <v>0.65402294681862305</v>
      </c>
    </row>
    <row r="1649" spans="1:13" x14ac:dyDescent="0.25">
      <c r="A1649">
        <v>715</v>
      </c>
      <c r="B1649" t="str">
        <f>"HIST1H1B"</f>
        <v>HIST1H1B</v>
      </c>
      <c r="C1649" t="str">
        <f>""</f>
        <v/>
      </c>
      <c r="D1649">
        <v>22.58</v>
      </c>
      <c r="E1649">
        <v>12.4</v>
      </c>
      <c r="F1649">
        <v>1</v>
      </c>
      <c r="G1649">
        <v>1</v>
      </c>
      <c r="H1649">
        <v>0</v>
      </c>
      <c r="I1649" s="7">
        <v>0.56083181339430199</v>
      </c>
      <c r="J1649" s="6">
        <v>0.58121239550609605</v>
      </c>
      <c r="K1649" s="6">
        <v>0</v>
      </c>
      <c r="L1649">
        <v>-1.92986872864593</v>
      </c>
      <c r="M1649">
        <v>0.65402294681862305</v>
      </c>
    </row>
    <row r="1650" spans="1:13" x14ac:dyDescent="0.25">
      <c r="A1650">
        <v>2569</v>
      </c>
      <c r="B1650" t="str">
        <f>"TMED9"</f>
        <v>TMED9</v>
      </c>
      <c r="C1650" t="str">
        <f>""</f>
        <v/>
      </c>
      <c r="D1650">
        <v>27.277000000000001</v>
      </c>
      <c r="E1650">
        <v>8.5</v>
      </c>
      <c r="F1650">
        <v>1</v>
      </c>
      <c r="G1650">
        <v>1</v>
      </c>
      <c r="H1650">
        <v>0</v>
      </c>
      <c r="I1650" s="7">
        <v>0.56083181339430199</v>
      </c>
      <c r="J1650" s="6">
        <v>0.58121239550609605</v>
      </c>
      <c r="K1650" s="6">
        <v>0</v>
      </c>
      <c r="L1650">
        <v>-1.92986872864593</v>
      </c>
      <c r="M1650">
        <v>0.65402294681862305</v>
      </c>
    </row>
    <row r="1651" spans="1:13" x14ac:dyDescent="0.25">
      <c r="A1651">
        <v>172</v>
      </c>
      <c r="B1651" t="str">
        <f>"ARPC3"</f>
        <v>ARPC3</v>
      </c>
      <c r="C1651" t="str">
        <f>""</f>
        <v/>
      </c>
      <c r="D1651">
        <v>20.545999999999999</v>
      </c>
      <c r="E1651">
        <v>7.3</v>
      </c>
      <c r="F1651">
        <v>1</v>
      </c>
      <c r="G1651">
        <v>1</v>
      </c>
      <c r="H1651">
        <v>0</v>
      </c>
      <c r="I1651" s="7">
        <v>0.56083181339430199</v>
      </c>
      <c r="J1651" s="6">
        <v>0.58121239550609605</v>
      </c>
      <c r="K1651" s="6">
        <v>0</v>
      </c>
      <c r="L1651">
        <v>-1.92986872864593</v>
      </c>
      <c r="M1651">
        <v>0.65402294681862305</v>
      </c>
    </row>
    <row r="1652" spans="1:13" x14ac:dyDescent="0.25">
      <c r="A1652">
        <v>1228</v>
      </c>
      <c r="B1652" t="str">
        <f>"CSE1L"</f>
        <v>CSE1L</v>
      </c>
      <c r="C1652" t="str">
        <f>""</f>
        <v/>
      </c>
      <c r="D1652">
        <v>107.78</v>
      </c>
      <c r="E1652">
        <v>6.9</v>
      </c>
      <c r="F1652">
        <v>1</v>
      </c>
      <c r="G1652">
        <v>1</v>
      </c>
      <c r="H1652">
        <v>0</v>
      </c>
      <c r="I1652" s="7">
        <v>0.56083181339430199</v>
      </c>
      <c r="J1652" s="6">
        <v>0.58121239550609605</v>
      </c>
      <c r="K1652" s="6">
        <v>0</v>
      </c>
      <c r="L1652">
        <v>-1.92986872864593</v>
      </c>
      <c r="M1652">
        <v>0.65402294681862305</v>
      </c>
    </row>
    <row r="1653" spans="1:13" x14ac:dyDescent="0.25">
      <c r="A1653">
        <v>1595</v>
      </c>
      <c r="B1653" t="str">
        <f>"CUL3"</f>
        <v>CUL3</v>
      </c>
      <c r="C1653" t="str">
        <f>""</f>
        <v/>
      </c>
      <c r="D1653">
        <v>88.929000000000002</v>
      </c>
      <c r="E1653">
        <v>6.8</v>
      </c>
      <c r="F1653">
        <v>1</v>
      </c>
      <c r="G1653">
        <v>1</v>
      </c>
      <c r="H1653">
        <v>0</v>
      </c>
      <c r="I1653" s="7">
        <v>0.56083181339430199</v>
      </c>
      <c r="J1653" s="6">
        <v>0.58121239550609605</v>
      </c>
      <c r="K1653" s="6">
        <v>0</v>
      </c>
      <c r="L1653">
        <v>-1.92986872864593</v>
      </c>
      <c r="M1653">
        <v>0.65402294681862305</v>
      </c>
    </row>
    <row r="1654" spans="1:13" x14ac:dyDescent="0.25">
      <c r="A1654">
        <v>1851</v>
      </c>
      <c r="B1654" t="str">
        <f>"NUP188"</f>
        <v>NUP188</v>
      </c>
      <c r="C1654" t="str">
        <f>""</f>
        <v/>
      </c>
      <c r="D1654">
        <v>196.04</v>
      </c>
      <c r="E1654">
        <v>3.7</v>
      </c>
      <c r="F1654">
        <v>1</v>
      </c>
      <c r="G1654">
        <v>1</v>
      </c>
      <c r="H1654">
        <v>0</v>
      </c>
      <c r="I1654" s="7">
        <v>0.56083181339430199</v>
      </c>
      <c r="J1654" s="6">
        <v>0.58121239550609605</v>
      </c>
      <c r="K1654" s="6">
        <v>0</v>
      </c>
      <c r="L1654">
        <v>-1.92986872864593</v>
      </c>
      <c r="M1654">
        <v>0.65402294681862305</v>
      </c>
    </row>
    <row r="1655" spans="1:13" x14ac:dyDescent="0.25">
      <c r="A1655">
        <v>2733</v>
      </c>
      <c r="B1655" t="str">
        <f>"NMRAL1"</f>
        <v>NMRAL1</v>
      </c>
      <c r="C1655" t="str">
        <f>""</f>
        <v/>
      </c>
      <c r="D1655">
        <v>33.344000000000001</v>
      </c>
      <c r="E1655">
        <v>5.7</v>
      </c>
      <c r="F1655">
        <v>1</v>
      </c>
      <c r="G1655">
        <v>1</v>
      </c>
      <c r="H1655">
        <v>0</v>
      </c>
      <c r="I1655" s="7">
        <v>0.56083181339430199</v>
      </c>
      <c r="J1655" s="6">
        <v>0.58121239550609605</v>
      </c>
      <c r="K1655" s="6">
        <v>0</v>
      </c>
      <c r="L1655">
        <v>-1.92986872864593</v>
      </c>
      <c r="M1655">
        <v>0.65402294681862305</v>
      </c>
    </row>
    <row r="1656" spans="1:13" x14ac:dyDescent="0.25">
      <c r="A1656">
        <v>104</v>
      </c>
      <c r="B1656" t="str">
        <f>"DFFA"</f>
        <v>DFFA</v>
      </c>
      <c r="C1656" t="str">
        <f>""</f>
        <v/>
      </c>
      <c r="D1656">
        <v>29.41</v>
      </c>
      <c r="E1656">
        <v>16.8</v>
      </c>
      <c r="F1656">
        <v>1</v>
      </c>
      <c r="G1656">
        <v>1</v>
      </c>
      <c r="H1656">
        <v>0</v>
      </c>
      <c r="I1656" s="7">
        <v>0.56083181339430199</v>
      </c>
      <c r="J1656" s="6">
        <v>0.58121239550609605</v>
      </c>
      <c r="K1656" s="6">
        <v>0</v>
      </c>
      <c r="L1656">
        <v>-1.92986872864593</v>
      </c>
      <c r="M1656">
        <v>0.65402294681862305</v>
      </c>
    </row>
    <row r="1657" spans="1:13" x14ac:dyDescent="0.25">
      <c r="A1657">
        <v>170</v>
      </c>
      <c r="B1657" t="str">
        <f>"ARPC1B"</f>
        <v>ARPC1B</v>
      </c>
      <c r="C1657" t="str">
        <f>""</f>
        <v/>
      </c>
      <c r="D1657">
        <v>40.948999999999998</v>
      </c>
      <c r="E1657">
        <v>4.5999999999999996</v>
      </c>
      <c r="F1657">
        <v>1</v>
      </c>
      <c r="G1657">
        <v>1</v>
      </c>
      <c r="H1657">
        <v>0</v>
      </c>
      <c r="I1657" s="7">
        <v>0.56083181339430199</v>
      </c>
      <c r="J1657" s="6">
        <v>0.58121239550609605</v>
      </c>
      <c r="K1657" s="6">
        <v>0</v>
      </c>
      <c r="L1657">
        <v>-1.92986872864593</v>
      </c>
      <c r="M1657">
        <v>0.65402294681862305</v>
      </c>
    </row>
    <row r="1658" spans="1:13" x14ac:dyDescent="0.25">
      <c r="A1658">
        <v>214</v>
      </c>
      <c r="B1658" t="str">
        <f>"WDR62"</f>
        <v>WDR62</v>
      </c>
      <c r="C1658" t="str">
        <f>""</f>
        <v/>
      </c>
      <c r="D1658">
        <v>165.95</v>
      </c>
      <c r="E1658">
        <v>1.6</v>
      </c>
      <c r="F1658">
        <v>1</v>
      </c>
      <c r="G1658">
        <v>1</v>
      </c>
      <c r="H1658">
        <v>0</v>
      </c>
      <c r="I1658" s="7">
        <v>0.56083181339430199</v>
      </c>
      <c r="J1658" s="6">
        <v>0.58121239550609605</v>
      </c>
      <c r="K1658" s="6">
        <v>0</v>
      </c>
      <c r="L1658">
        <v>-1.92986872864593</v>
      </c>
      <c r="M1658">
        <v>0.65402294681862305</v>
      </c>
    </row>
    <row r="1659" spans="1:13" x14ac:dyDescent="0.25">
      <c r="A1659">
        <v>221</v>
      </c>
      <c r="B1659" t="str">
        <f>"HTRA2;HTRA3"</f>
        <v>HTRA2;HTRA3</v>
      </c>
      <c r="C1659" t="str">
        <f>""</f>
        <v/>
      </c>
      <c r="D1659">
        <v>46.381</v>
      </c>
      <c r="E1659">
        <v>6.2</v>
      </c>
      <c r="F1659">
        <v>1</v>
      </c>
      <c r="G1659">
        <v>1</v>
      </c>
      <c r="H1659">
        <v>0</v>
      </c>
      <c r="I1659" s="7">
        <v>0.56083181339430199</v>
      </c>
      <c r="J1659" s="6">
        <v>0.58121239550609605</v>
      </c>
      <c r="K1659" s="6">
        <v>0</v>
      </c>
      <c r="L1659">
        <v>-1.92986872864593</v>
      </c>
      <c r="M1659">
        <v>0.65402294681862305</v>
      </c>
    </row>
    <row r="1660" spans="1:13" x14ac:dyDescent="0.25">
      <c r="A1660">
        <v>259</v>
      </c>
      <c r="B1660" t="str">
        <f>"ZFC3H1"</f>
        <v>ZFC3H1</v>
      </c>
      <c r="C1660" t="str">
        <f>""</f>
        <v/>
      </c>
      <c r="D1660">
        <v>217.49</v>
      </c>
      <c r="E1660">
        <v>0.6</v>
      </c>
      <c r="F1660">
        <v>1</v>
      </c>
      <c r="G1660">
        <v>1</v>
      </c>
      <c r="H1660">
        <v>0</v>
      </c>
      <c r="I1660" s="7">
        <v>0.56083181339430199</v>
      </c>
      <c r="J1660" s="6">
        <v>0.58121239550609605</v>
      </c>
      <c r="K1660" s="6">
        <v>0</v>
      </c>
      <c r="L1660">
        <v>-1.92986872864593</v>
      </c>
      <c r="M1660">
        <v>0.65402294681862305</v>
      </c>
    </row>
    <row r="1661" spans="1:13" x14ac:dyDescent="0.25">
      <c r="A1661">
        <v>302</v>
      </c>
      <c r="B1661" t="str">
        <f>"HIP1R"</f>
        <v>HIP1R</v>
      </c>
      <c r="C1661" t="str">
        <f>""</f>
        <v/>
      </c>
      <c r="D1661">
        <v>70.287000000000006</v>
      </c>
      <c r="E1661">
        <v>1.6</v>
      </c>
      <c r="F1661">
        <v>1</v>
      </c>
      <c r="G1661">
        <v>1</v>
      </c>
      <c r="H1661">
        <v>0</v>
      </c>
      <c r="I1661" s="7">
        <v>0.56083181339430199</v>
      </c>
      <c r="J1661" s="6">
        <v>0.58121239550609605</v>
      </c>
      <c r="K1661" s="6">
        <v>0</v>
      </c>
      <c r="L1661">
        <v>-1.92986872864593</v>
      </c>
      <c r="M1661">
        <v>0.65402294681862305</v>
      </c>
    </row>
    <row r="1662" spans="1:13" x14ac:dyDescent="0.25">
      <c r="A1662">
        <v>375</v>
      </c>
      <c r="B1662" t="str">
        <f>"PCF11"</f>
        <v>PCF11</v>
      </c>
      <c r="C1662" t="str">
        <f>""</f>
        <v/>
      </c>
      <c r="D1662">
        <v>173.05</v>
      </c>
      <c r="E1662">
        <v>2.2000000000000002</v>
      </c>
      <c r="F1662">
        <v>1</v>
      </c>
      <c r="G1662">
        <v>1</v>
      </c>
      <c r="H1662">
        <v>0</v>
      </c>
      <c r="I1662" s="7">
        <v>0.56083181339430199</v>
      </c>
      <c r="J1662" s="6">
        <v>0.58121239550609605</v>
      </c>
      <c r="K1662" s="6">
        <v>0</v>
      </c>
      <c r="L1662">
        <v>-1.92986872864593</v>
      </c>
      <c r="M1662">
        <v>0.65402294681862305</v>
      </c>
    </row>
    <row r="1663" spans="1:13" x14ac:dyDescent="0.25">
      <c r="A1663">
        <v>380</v>
      </c>
      <c r="B1663" t="str">
        <f>"AP2A2"</f>
        <v>AP2A2</v>
      </c>
      <c r="C1663" t="str">
        <f>""</f>
        <v/>
      </c>
      <c r="D1663">
        <v>104.09</v>
      </c>
      <c r="E1663">
        <v>7.4</v>
      </c>
      <c r="F1663">
        <v>1</v>
      </c>
      <c r="G1663">
        <v>1</v>
      </c>
      <c r="H1663">
        <v>0</v>
      </c>
      <c r="I1663" s="7">
        <v>0.56083181339430199</v>
      </c>
      <c r="J1663" s="6">
        <v>0.58121239550609605</v>
      </c>
      <c r="K1663" s="6">
        <v>0</v>
      </c>
      <c r="L1663">
        <v>-1.92986872864593</v>
      </c>
      <c r="M1663">
        <v>0.65402294681862305</v>
      </c>
    </row>
    <row r="1664" spans="1:13" x14ac:dyDescent="0.25">
      <c r="A1664">
        <v>420</v>
      </c>
      <c r="B1664" t="str">
        <f>"GGPS1"</f>
        <v>GGPS1</v>
      </c>
      <c r="C1664" t="str">
        <f>""</f>
        <v/>
      </c>
      <c r="D1664">
        <v>28.422999999999998</v>
      </c>
      <c r="E1664">
        <v>4.9000000000000004</v>
      </c>
      <c r="F1664">
        <v>1</v>
      </c>
      <c r="G1664">
        <v>1</v>
      </c>
      <c r="H1664">
        <v>0</v>
      </c>
      <c r="I1664" s="7">
        <v>0.56083181339430199</v>
      </c>
      <c r="J1664" s="6">
        <v>0.58121239550609605</v>
      </c>
      <c r="K1664" s="6">
        <v>0</v>
      </c>
      <c r="L1664">
        <v>-1.92986872864593</v>
      </c>
      <c r="M1664">
        <v>0.65402294681862305</v>
      </c>
    </row>
    <row r="1665" spans="1:13" x14ac:dyDescent="0.25">
      <c r="A1665">
        <v>425</v>
      </c>
      <c r="B1665" t="str">
        <f>"MAP4K4;MINK1"</f>
        <v>MAP4K4;MINK1</v>
      </c>
      <c r="C1665" t="str">
        <f>"MAP4K4;MINK1"</f>
        <v>MAP4K4;MINK1</v>
      </c>
      <c r="D1665">
        <v>133.4</v>
      </c>
      <c r="E1665">
        <v>2.1</v>
      </c>
      <c r="F1665">
        <v>1</v>
      </c>
      <c r="G1665">
        <v>1</v>
      </c>
      <c r="H1665">
        <v>0</v>
      </c>
      <c r="I1665" s="7">
        <v>0.56083181339430199</v>
      </c>
      <c r="J1665" s="6">
        <v>0.58121239550609605</v>
      </c>
      <c r="K1665" s="6">
        <v>0</v>
      </c>
      <c r="L1665">
        <v>-1.92986872864593</v>
      </c>
      <c r="M1665">
        <v>0.65402294681862305</v>
      </c>
    </row>
    <row r="1666" spans="1:13" x14ac:dyDescent="0.25">
      <c r="A1666">
        <v>602</v>
      </c>
      <c r="B1666" t="str">
        <f>"ENO2"</f>
        <v>ENO2</v>
      </c>
      <c r="C1666" t="str">
        <f>""</f>
        <v/>
      </c>
      <c r="D1666">
        <v>42.707000000000001</v>
      </c>
      <c r="E1666">
        <v>8.1999999999999993</v>
      </c>
      <c r="F1666">
        <v>1</v>
      </c>
      <c r="G1666">
        <v>1</v>
      </c>
      <c r="H1666">
        <v>0</v>
      </c>
      <c r="I1666" s="7">
        <v>0.56083181339430199</v>
      </c>
      <c r="J1666" s="6">
        <v>0.58121239550609605</v>
      </c>
      <c r="K1666" s="6">
        <v>0</v>
      </c>
      <c r="L1666">
        <v>-1.92986872864593</v>
      </c>
      <c r="M1666">
        <v>0.65402294681862305</v>
      </c>
    </row>
    <row r="1667" spans="1:13" x14ac:dyDescent="0.25">
      <c r="A1667">
        <v>675</v>
      </c>
      <c r="B1667" t="str">
        <f>"C6"</f>
        <v>C6</v>
      </c>
      <c r="C1667" t="str">
        <f>""</f>
        <v/>
      </c>
      <c r="D1667">
        <v>104.79</v>
      </c>
      <c r="E1667">
        <v>3.9</v>
      </c>
      <c r="F1667">
        <v>1</v>
      </c>
      <c r="G1667">
        <v>1</v>
      </c>
      <c r="H1667">
        <v>0</v>
      </c>
      <c r="I1667" s="7">
        <v>0.56083181339430199</v>
      </c>
      <c r="J1667" s="6">
        <v>0.58121239550609605</v>
      </c>
      <c r="K1667" s="6">
        <v>0</v>
      </c>
      <c r="L1667">
        <v>-1.92986872864593</v>
      </c>
      <c r="M1667">
        <v>0.65402294681862305</v>
      </c>
    </row>
    <row r="1668" spans="1:13" x14ac:dyDescent="0.25">
      <c r="A1668">
        <v>771</v>
      </c>
      <c r="B1668" t="str">
        <f>"IMPDH1"</f>
        <v>IMPDH1</v>
      </c>
      <c r="C1668" t="str">
        <f>""</f>
        <v/>
      </c>
      <c r="D1668">
        <v>52.597000000000001</v>
      </c>
      <c r="E1668">
        <v>2.5</v>
      </c>
      <c r="F1668">
        <v>1</v>
      </c>
      <c r="G1668">
        <v>1</v>
      </c>
      <c r="H1668">
        <v>0</v>
      </c>
      <c r="I1668" s="7">
        <v>0.56083181339430199</v>
      </c>
      <c r="J1668" s="6">
        <v>0.58121239550609605</v>
      </c>
      <c r="K1668" s="6">
        <v>0</v>
      </c>
      <c r="L1668">
        <v>-1.92986872864593</v>
      </c>
      <c r="M1668">
        <v>0.65402294681862305</v>
      </c>
    </row>
    <row r="1669" spans="1:13" x14ac:dyDescent="0.25">
      <c r="A1669">
        <v>810</v>
      </c>
      <c r="B1669" t="str">
        <f>"F8A1"</f>
        <v>F8A1</v>
      </c>
      <c r="C1669" t="str">
        <f>""</f>
        <v/>
      </c>
      <c r="D1669">
        <v>39.103000000000002</v>
      </c>
      <c r="E1669">
        <v>3</v>
      </c>
      <c r="F1669">
        <v>1</v>
      </c>
      <c r="G1669">
        <v>1</v>
      </c>
      <c r="H1669">
        <v>0</v>
      </c>
      <c r="I1669" s="7">
        <v>0.56083181339430199</v>
      </c>
      <c r="J1669" s="6">
        <v>0.58121239550609605</v>
      </c>
      <c r="K1669" s="6">
        <v>0</v>
      </c>
      <c r="L1669">
        <v>-1.92986872864593</v>
      </c>
      <c r="M1669">
        <v>0.65402294681862305</v>
      </c>
    </row>
    <row r="1670" spans="1:13" x14ac:dyDescent="0.25">
      <c r="A1670">
        <v>907</v>
      </c>
      <c r="B1670" t="str">
        <f>"GDI1"</f>
        <v>GDI1</v>
      </c>
      <c r="C1670" t="str">
        <f>""</f>
        <v/>
      </c>
      <c r="D1670">
        <v>50.582000000000001</v>
      </c>
      <c r="E1670">
        <v>16.3</v>
      </c>
      <c r="F1670">
        <v>1</v>
      </c>
      <c r="G1670">
        <v>1</v>
      </c>
      <c r="H1670">
        <v>0</v>
      </c>
      <c r="I1670" s="7">
        <v>0.56083181339430199</v>
      </c>
      <c r="J1670" s="6">
        <v>0.58121239550609605</v>
      </c>
      <c r="K1670" s="6">
        <v>0</v>
      </c>
      <c r="L1670">
        <v>-1.92986872864593</v>
      </c>
      <c r="M1670">
        <v>0.65402294681862305</v>
      </c>
    </row>
    <row r="1671" spans="1:13" x14ac:dyDescent="0.25">
      <c r="A1671">
        <v>965</v>
      </c>
      <c r="B1671" t="str">
        <f>"ATP5C1"</f>
        <v>ATP5C1</v>
      </c>
      <c r="C1671" t="str">
        <f>""</f>
        <v/>
      </c>
      <c r="D1671">
        <v>32.881</v>
      </c>
      <c r="E1671">
        <v>9.1</v>
      </c>
      <c r="F1671">
        <v>1</v>
      </c>
      <c r="G1671">
        <v>1</v>
      </c>
      <c r="H1671">
        <v>0</v>
      </c>
      <c r="I1671" s="7">
        <v>0.56083181339430199</v>
      </c>
      <c r="J1671" s="6">
        <v>0.58121239550609605</v>
      </c>
      <c r="K1671" s="6">
        <v>0</v>
      </c>
      <c r="L1671">
        <v>-1.92986872864593</v>
      </c>
      <c r="M1671">
        <v>0.65402294681862305</v>
      </c>
    </row>
    <row r="1672" spans="1:13" x14ac:dyDescent="0.25">
      <c r="A1672">
        <v>1073</v>
      </c>
      <c r="B1672" t="str">
        <f>"ID4"</f>
        <v>ID4</v>
      </c>
      <c r="C1672" t="str">
        <f>""</f>
        <v/>
      </c>
      <c r="D1672">
        <v>16.622</v>
      </c>
      <c r="E1672">
        <v>9.9</v>
      </c>
      <c r="F1672">
        <v>1</v>
      </c>
      <c r="G1672">
        <v>1</v>
      </c>
      <c r="H1672">
        <v>0</v>
      </c>
      <c r="I1672" s="7">
        <v>0.56083181339430199</v>
      </c>
      <c r="J1672" s="6">
        <v>0.58121239550609605</v>
      </c>
      <c r="K1672" s="6">
        <v>0</v>
      </c>
      <c r="L1672">
        <v>-1.92986872864593</v>
      </c>
      <c r="M1672">
        <v>0.65402294681862305</v>
      </c>
    </row>
    <row r="1673" spans="1:13" x14ac:dyDescent="0.25">
      <c r="A1673">
        <v>1210</v>
      </c>
      <c r="B1673" t="str">
        <f>"POLG"</f>
        <v>POLG</v>
      </c>
      <c r="C1673" t="str">
        <f>""</f>
        <v/>
      </c>
      <c r="D1673">
        <v>139.56</v>
      </c>
      <c r="E1673">
        <v>1.8</v>
      </c>
      <c r="F1673">
        <v>1</v>
      </c>
      <c r="G1673">
        <v>1</v>
      </c>
      <c r="H1673">
        <v>0</v>
      </c>
      <c r="I1673" s="7">
        <v>0.56083181339430199</v>
      </c>
      <c r="J1673" s="6">
        <v>0.58121239550609605</v>
      </c>
      <c r="K1673" s="6">
        <v>0</v>
      </c>
      <c r="L1673">
        <v>-1.92986872864593</v>
      </c>
      <c r="M1673">
        <v>0.65402294681862305</v>
      </c>
    </row>
    <row r="1674" spans="1:13" x14ac:dyDescent="0.25">
      <c r="A1674">
        <v>1331</v>
      </c>
      <c r="B1674" t="str">
        <f>"RPS6"</f>
        <v>RPS6</v>
      </c>
      <c r="C1674" t="str">
        <f>""</f>
        <v/>
      </c>
      <c r="D1674">
        <v>28.68</v>
      </c>
      <c r="E1674">
        <v>9.1999999999999993</v>
      </c>
      <c r="F1674">
        <v>1</v>
      </c>
      <c r="G1674">
        <v>1</v>
      </c>
      <c r="H1674">
        <v>0</v>
      </c>
      <c r="I1674" s="7">
        <v>0.56083181339430199</v>
      </c>
      <c r="J1674" s="6">
        <v>0.58121239550609605</v>
      </c>
      <c r="K1674" s="6">
        <v>0</v>
      </c>
      <c r="L1674">
        <v>-1.92986872864593</v>
      </c>
      <c r="M1674">
        <v>0.65402294681862305</v>
      </c>
    </row>
    <row r="1675" spans="1:13" x14ac:dyDescent="0.25">
      <c r="A1675">
        <v>1349</v>
      </c>
      <c r="B1675" t="str">
        <f>"GRB2"</f>
        <v>GRB2</v>
      </c>
      <c r="C1675" t="str">
        <f>""</f>
        <v/>
      </c>
      <c r="D1675">
        <v>25.206</v>
      </c>
      <c r="E1675">
        <v>4.5999999999999996</v>
      </c>
      <c r="F1675">
        <v>1</v>
      </c>
      <c r="G1675">
        <v>1</v>
      </c>
      <c r="H1675">
        <v>0</v>
      </c>
      <c r="I1675" s="7">
        <v>0.56083181339430199</v>
      </c>
      <c r="J1675" s="6">
        <v>0.58121239550609605</v>
      </c>
      <c r="K1675" s="6">
        <v>0</v>
      </c>
      <c r="L1675">
        <v>-1.92986872864593</v>
      </c>
      <c r="M1675">
        <v>0.65402294681862305</v>
      </c>
    </row>
    <row r="1676" spans="1:13" x14ac:dyDescent="0.25">
      <c r="A1676">
        <v>1380</v>
      </c>
      <c r="B1676" t="str">
        <f>"GSTO1"</f>
        <v>GSTO1</v>
      </c>
      <c r="C1676" t="str">
        <f>""</f>
        <v/>
      </c>
      <c r="D1676">
        <v>23.707999999999998</v>
      </c>
      <c r="E1676">
        <v>4.8</v>
      </c>
      <c r="F1676">
        <v>1</v>
      </c>
      <c r="G1676">
        <v>1</v>
      </c>
      <c r="H1676">
        <v>0</v>
      </c>
      <c r="I1676" s="7">
        <v>0.56083181339430199</v>
      </c>
      <c r="J1676" s="6">
        <v>0.58121239550609605</v>
      </c>
      <c r="K1676" s="6">
        <v>0</v>
      </c>
      <c r="L1676">
        <v>-1.92986872864593</v>
      </c>
      <c r="M1676">
        <v>0.65402294681862305</v>
      </c>
    </row>
    <row r="1677" spans="1:13" x14ac:dyDescent="0.25">
      <c r="A1677">
        <v>1393</v>
      </c>
      <c r="B1677" t="str">
        <f>"HMGN5"</f>
        <v>HMGN5</v>
      </c>
      <c r="C1677" t="str">
        <f>""</f>
        <v/>
      </c>
      <c r="D1677">
        <v>31.524000000000001</v>
      </c>
      <c r="E1677">
        <v>5.3</v>
      </c>
      <c r="F1677">
        <v>1</v>
      </c>
      <c r="G1677">
        <v>1</v>
      </c>
      <c r="H1677">
        <v>0</v>
      </c>
      <c r="I1677" s="7">
        <v>0.56083181339430199</v>
      </c>
      <c r="J1677" s="6">
        <v>0.58121239550609605</v>
      </c>
      <c r="K1677" s="6">
        <v>0</v>
      </c>
      <c r="L1677">
        <v>-1.92986872864593</v>
      </c>
      <c r="M1677">
        <v>0.65402294681862305</v>
      </c>
    </row>
    <row r="1678" spans="1:13" x14ac:dyDescent="0.25">
      <c r="A1678">
        <v>1406</v>
      </c>
      <c r="B1678" t="str">
        <f>"HDLBP"</f>
        <v>HDLBP</v>
      </c>
      <c r="C1678" t="str">
        <f>""</f>
        <v/>
      </c>
      <c r="D1678">
        <v>137.99</v>
      </c>
      <c r="E1678">
        <v>2.5</v>
      </c>
      <c r="F1678">
        <v>1</v>
      </c>
      <c r="G1678">
        <v>1</v>
      </c>
      <c r="H1678">
        <v>0</v>
      </c>
      <c r="I1678" s="7">
        <v>0.56083181339430199</v>
      </c>
      <c r="J1678" s="6">
        <v>0.58121239550609605</v>
      </c>
      <c r="K1678" s="6">
        <v>0</v>
      </c>
      <c r="L1678">
        <v>-1.92986872864593</v>
      </c>
      <c r="M1678">
        <v>0.65402294681862305</v>
      </c>
    </row>
    <row r="1679" spans="1:13" x14ac:dyDescent="0.25">
      <c r="A1679">
        <v>1489</v>
      </c>
      <c r="B1679" t="str">
        <f>"PPID"</f>
        <v>PPID</v>
      </c>
      <c r="C1679" t="str">
        <f>""</f>
        <v/>
      </c>
      <c r="D1679">
        <v>40.762999999999998</v>
      </c>
      <c r="E1679">
        <v>2.4</v>
      </c>
      <c r="F1679">
        <v>1</v>
      </c>
      <c r="G1679">
        <v>1</v>
      </c>
      <c r="H1679">
        <v>0</v>
      </c>
      <c r="I1679" s="7">
        <v>0.56083181339430199</v>
      </c>
      <c r="J1679" s="6">
        <v>0.58121239550609605</v>
      </c>
      <c r="K1679" s="6">
        <v>0</v>
      </c>
      <c r="L1679">
        <v>-1.92986872864593</v>
      </c>
      <c r="M1679">
        <v>0.65402294681862305</v>
      </c>
    </row>
    <row r="1680" spans="1:13" x14ac:dyDescent="0.25">
      <c r="A1680">
        <v>1494</v>
      </c>
      <c r="B1680" t="str">
        <f>"EP300;CREBBP"</f>
        <v>EP300;CREBBP</v>
      </c>
      <c r="C1680" t="str">
        <f>""</f>
        <v/>
      </c>
      <c r="D1680">
        <v>264.16000000000003</v>
      </c>
      <c r="E1680">
        <v>1</v>
      </c>
      <c r="F1680">
        <v>1</v>
      </c>
      <c r="G1680">
        <v>1</v>
      </c>
      <c r="H1680">
        <v>0</v>
      </c>
      <c r="I1680" s="7">
        <v>0.56083181339430199</v>
      </c>
      <c r="J1680" s="6">
        <v>0.58121239550609605</v>
      </c>
      <c r="K1680" s="6">
        <v>0</v>
      </c>
      <c r="L1680">
        <v>-1.92986872864593</v>
      </c>
      <c r="M1680">
        <v>0.65402294681862305</v>
      </c>
    </row>
    <row r="1681" spans="1:13" x14ac:dyDescent="0.25">
      <c r="A1681">
        <v>1544</v>
      </c>
      <c r="B1681" t="str">
        <f>"AIMP2"</f>
        <v>AIMP2</v>
      </c>
      <c r="C1681" t="str">
        <f>""</f>
        <v/>
      </c>
      <c r="D1681">
        <v>27.809000000000001</v>
      </c>
      <c r="E1681">
        <v>3.6</v>
      </c>
      <c r="F1681">
        <v>1</v>
      </c>
      <c r="G1681">
        <v>1</v>
      </c>
      <c r="H1681">
        <v>0</v>
      </c>
      <c r="I1681" s="7">
        <v>0.56083181339430199</v>
      </c>
      <c r="J1681" s="6">
        <v>0.58121239550609605</v>
      </c>
      <c r="K1681" s="6">
        <v>0</v>
      </c>
      <c r="L1681">
        <v>-1.92986872864593</v>
      </c>
      <c r="M1681">
        <v>0.65402294681862305</v>
      </c>
    </row>
    <row r="1682" spans="1:13" x14ac:dyDescent="0.25">
      <c r="A1682">
        <v>1563</v>
      </c>
      <c r="B1682" t="str">
        <f>"CTBP1;CTBP2"</f>
        <v>CTBP1;CTBP2</v>
      </c>
      <c r="C1682" t="str">
        <f>""</f>
        <v/>
      </c>
      <c r="D1682">
        <v>46.404000000000003</v>
      </c>
      <c r="E1682">
        <v>4.4000000000000004</v>
      </c>
      <c r="F1682">
        <v>1</v>
      </c>
      <c r="G1682">
        <v>1</v>
      </c>
      <c r="H1682">
        <v>0</v>
      </c>
      <c r="I1682" s="7">
        <v>0.56083181339430199</v>
      </c>
      <c r="J1682" s="6">
        <v>0.58121239550609605</v>
      </c>
      <c r="K1682" s="6">
        <v>0</v>
      </c>
      <c r="L1682">
        <v>-1.92986872864593</v>
      </c>
      <c r="M1682">
        <v>0.65402294681862305</v>
      </c>
    </row>
    <row r="1683" spans="1:13" x14ac:dyDescent="0.25">
      <c r="A1683">
        <v>1570</v>
      </c>
      <c r="B1683" t="str">
        <f>"PPIG"</f>
        <v>PPIG</v>
      </c>
      <c r="C1683" t="str">
        <f>""</f>
        <v/>
      </c>
      <c r="D1683">
        <v>40.298999999999999</v>
      </c>
      <c r="E1683">
        <v>5</v>
      </c>
      <c r="F1683">
        <v>1</v>
      </c>
      <c r="G1683">
        <v>1</v>
      </c>
      <c r="H1683">
        <v>0</v>
      </c>
      <c r="I1683" s="7">
        <v>0.56083181339430199</v>
      </c>
      <c r="J1683" s="6">
        <v>0.58121239550609605</v>
      </c>
      <c r="K1683" s="6">
        <v>0</v>
      </c>
      <c r="L1683">
        <v>-1.92986872864593</v>
      </c>
      <c r="M1683">
        <v>0.65402294681862305</v>
      </c>
    </row>
    <row r="1684" spans="1:13" x14ac:dyDescent="0.25">
      <c r="A1684">
        <v>1631</v>
      </c>
      <c r="B1684" t="str">
        <f>"POLA2"</f>
        <v>POLA2</v>
      </c>
      <c r="C1684" t="str">
        <f>""</f>
        <v/>
      </c>
      <c r="D1684">
        <v>40.579000000000001</v>
      </c>
      <c r="E1684">
        <v>10</v>
      </c>
      <c r="F1684">
        <v>1</v>
      </c>
      <c r="G1684">
        <v>1</v>
      </c>
      <c r="H1684">
        <v>0</v>
      </c>
      <c r="I1684" s="7">
        <v>0.56083181339430199</v>
      </c>
      <c r="J1684" s="6">
        <v>0.58121239550609605</v>
      </c>
      <c r="K1684" s="6">
        <v>0</v>
      </c>
      <c r="L1684">
        <v>-1.92986872864593</v>
      </c>
      <c r="M1684">
        <v>0.65402294681862305</v>
      </c>
    </row>
    <row r="1685" spans="1:13" x14ac:dyDescent="0.25">
      <c r="A1685">
        <v>1678</v>
      </c>
      <c r="B1685" t="str">
        <f>"PSME4"</f>
        <v>PSME4</v>
      </c>
      <c r="C1685" t="str">
        <f>""</f>
        <v/>
      </c>
      <c r="D1685">
        <v>211.33</v>
      </c>
      <c r="E1685">
        <v>2.2000000000000002</v>
      </c>
      <c r="F1685">
        <v>1</v>
      </c>
      <c r="G1685">
        <v>1</v>
      </c>
      <c r="H1685">
        <v>0</v>
      </c>
      <c r="I1685" s="7">
        <v>0.56083181339430199</v>
      </c>
      <c r="J1685" s="6">
        <v>0.58121239550609605</v>
      </c>
      <c r="K1685" s="6">
        <v>0</v>
      </c>
      <c r="L1685">
        <v>-1.92986872864593</v>
      </c>
      <c r="M1685">
        <v>0.65402294681862305</v>
      </c>
    </row>
    <row r="1686" spans="1:13" x14ac:dyDescent="0.25">
      <c r="A1686">
        <v>1714</v>
      </c>
      <c r="B1686" t="str">
        <f>"LLGL1"</f>
        <v>LLGL1</v>
      </c>
      <c r="C1686" t="str">
        <f>""</f>
        <v/>
      </c>
      <c r="D1686">
        <v>115.42</v>
      </c>
      <c r="E1686">
        <v>1.1000000000000001</v>
      </c>
      <c r="F1686">
        <v>1</v>
      </c>
      <c r="G1686">
        <v>1</v>
      </c>
      <c r="H1686">
        <v>0</v>
      </c>
      <c r="I1686" s="7">
        <v>0.56083181339430199</v>
      </c>
      <c r="J1686" s="6">
        <v>0.58121239550609605</v>
      </c>
      <c r="K1686" s="6">
        <v>0</v>
      </c>
      <c r="L1686">
        <v>-1.92986872864593</v>
      </c>
      <c r="M1686">
        <v>0.65402294681862305</v>
      </c>
    </row>
    <row r="1687" spans="1:13" x14ac:dyDescent="0.25">
      <c r="A1687">
        <v>1730</v>
      </c>
      <c r="B1687" t="str">
        <f>"SEC23A"</f>
        <v>SEC23A</v>
      </c>
      <c r="C1687" t="str">
        <f>""</f>
        <v/>
      </c>
      <c r="D1687">
        <v>63.1</v>
      </c>
      <c r="E1687">
        <v>3.4</v>
      </c>
      <c r="F1687">
        <v>1</v>
      </c>
      <c r="G1687">
        <v>1</v>
      </c>
      <c r="H1687">
        <v>0</v>
      </c>
      <c r="I1687" s="7">
        <v>0.56083181339430199</v>
      </c>
      <c r="J1687" s="6">
        <v>0.58121239550609605</v>
      </c>
      <c r="K1687" s="6">
        <v>0</v>
      </c>
      <c r="L1687">
        <v>-1.92986872864593</v>
      </c>
      <c r="M1687">
        <v>0.65402294681862305</v>
      </c>
    </row>
    <row r="1688" spans="1:13" x14ac:dyDescent="0.25">
      <c r="A1688">
        <v>1908</v>
      </c>
      <c r="B1688" t="str">
        <f>"OTUD7B"</f>
        <v>OTUD7B</v>
      </c>
      <c r="C1688" t="str">
        <f>""</f>
        <v/>
      </c>
      <c r="D1688">
        <v>88.945999999999998</v>
      </c>
      <c r="E1688">
        <v>2.7</v>
      </c>
      <c r="F1688">
        <v>1</v>
      </c>
      <c r="G1688">
        <v>1</v>
      </c>
      <c r="H1688">
        <v>0</v>
      </c>
      <c r="I1688" s="7">
        <v>0.56083181339430199</v>
      </c>
      <c r="J1688" s="6">
        <v>0.58121239550609605</v>
      </c>
      <c r="K1688" s="6">
        <v>0</v>
      </c>
      <c r="L1688">
        <v>-1.92986872864593</v>
      </c>
      <c r="M1688">
        <v>0.65402294681862305</v>
      </c>
    </row>
    <row r="1689" spans="1:13" x14ac:dyDescent="0.25">
      <c r="A1689">
        <v>1924</v>
      </c>
      <c r="B1689" t="str">
        <f>"HIBCH"</f>
        <v>HIBCH</v>
      </c>
      <c r="C1689" t="str">
        <f>""</f>
        <v/>
      </c>
      <c r="D1689">
        <v>43.481999999999999</v>
      </c>
      <c r="E1689">
        <v>2.8</v>
      </c>
      <c r="F1689">
        <v>1</v>
      </c>
      <c r="G1689">
        <v>1</v>
      </c>
      <c r="H1689">
        <v>0</v>
      </c>
      <c r="I1689" s="7">
        <v>0.56083181339430199</v>
      </c>
      <c r="J1689" s="6">
        <v>0.58121239550609605</v>
      </c>
      <c r="K1689" s="6">
        <v>0</v>
      </c>
      <c r="L1689">
        <v>-1.92986872864593</v>
      </c>
      <c r="M1689">
        <v>0.65402294681862305</v>
      </c>
    </row>
    <row r="1690" spans="1:13" x14ac:dyDescent="0.25">
      <c r="A1690">
        <v>1926</v>
      </c>
      <c r="B1690" t="str">
        <f>"ARMC6"</f>
        <v>ARMC6</v>
      </c>
      <c r="C1690" t="str">
        <f>""</f>
        <v/>
      </c>
      <c r="D1690">
        <v>51.546999999999997</v>
      </c>
      <c r="E1690">
        <v>2.1</v>
      </c>
      <c r="F1690">
        <v>1</v>
      </c>
      <c r="G1690">
        <v>1</v>
      </c>
      <c r="H1690">
        <v>0</v>
      </c>
      <c r="I1690" s="7">
        <v>0.56083181339430199</v>
      </c>
      <c r="J1690" s="6">
        <v>0.58121239550609605</v>
      </c>
      <c r="K1690" s="6">
        <v>0</v>
      </c>
      <c r="L1690">
        <v>-1.92986872864593</v>
      </c>
      <c r="M1690">
        <v>0.65402294681862305</v>
      </c>
    </row>
    <row r="1691" spans="1:13" x14ac:dyDescent="0.25">
      <c r="A1691">
        <v>2016</v>
      </c>
      <c r="B1691" t="str">
        <f>"NUP54"</f>
        <v>NUP54</v>
      </c>
      <c r="C1691" t="str">
        <f>""</f>
        <v/>
      </c>
      <c r="D1691">
        <v>33.179000000000002</v>
      </c>
      <c r="E1691">
        <v>16.5</v>
      </c>
      <c r="F1691">
        <v>1</v>
      </c>
      <c r="G1691">
        <v>1</v>
      </c>
      <c r="H1691">
        <v>0</v>
      </c>
      <c r="I1691" s="7">
        <v>0.56083181339430199</v>
      </c>
      <c r="J1691" s="6">
        <v>0.58121239550609605</v>
      </c>
      <c r="K1691" s="6">
        <v>0</v>
      </c>
      <c r="L1691">
        <v>-1.92986872864593</v>
      </c>
      <c r="M1691">
        <v>0.65402294681862305</v>
      </c>
    </row>
    <row r="1692" spans="1:13" x14ac:dyDescent="0.25">
      <c r="A1692">
        <v>2021</v>
      </c>
      <c r="B1692" t="str">
        <f>"MAVS"</f>
        <v>MAVS</v>
      </c>
      <c r="C1692" t="str">
        <f>""</f>
        <v/>
      </c>
      <c r="D1692">
        <v>40.466999999999999</v>
      </c>
      <c r="E1692">
        <v>3.5</v>
      </c>
      <c r="F1692">
        <v>1</v>
      </c>
      <c r="G1692">
        <v>1</v>
      </c>
      <c r="H1692">
        <v>0</v>
      </c>
      <c r="I1692" s="7">
        <v>0.56083181339430199</v>
      </c>
      <c r="J1692" s="6">
        <v>0.58121239550609605</v>
      </c>
      <c r="K1692" s="6">
        <v>0</v>
      </c>
      <c r="L1692">
        <v>-1.92986872864593</v>
      </c>
      <c r="M1692">
        <v>0.65402294681862305</v>
      </c>
    </row>
    <row r="1693" spans="1:13" x14ac:dyDescent="0.25">
      <c r="A1693">
        <v>2066</v>
      </c>
      <c r="B1693" t="str">
        <f>"THOC6"</f>
        <v>THOC6</v>
      </c>
      <c r="C1693" t="str">
        <f>""</f>
        <v/>
      </c>
      <c r="D1693">
        <v>32.89</v>
      </c>
      <c r="E1693">
        <v>6.4</v>
      </c>
      <c r="F1693">
        <v>1</v>
      </c>
      <c r="G1693">
        <v>1</v>
      </c>
      <c r="H1693">
        <v>0</v>
      </c>
      <c r="I1693" s="7">
        <v>0.56083181339430199</v>
      </c>
      <c r="J1693" s="6">
        <v>0.58121239550609605</v>
      </c>
      <c r="K1693" s="6">
        <v>0</v>
      </c>
      <c r="L1693">
        <v>-1.92986872864593</v>
      </c>
      <c r="M1693">
        <v>0.65402294681862305</v>
      </c>
    </row>
    <row r="1694" spans="1:13" x14ac:dyDescent="0.25">
      <c r="A1694">
        <v>2138</v>
      </c>
      <c r="B1694" t="str">
        <f>"GPD1L"</f>
        <v>GPD1L</v>
      </c>
      <c r="C1694" t="str">
        <f>""</f>
        <v/>
      </c>
      <c r="D1694">
        <v>38.417999999999999</v>
      </c>
      <c r="E1694">
        <v>6.6</v>
      </c>
      <c r="F1694">
        <v>1</v>
      </c>
      <c r="G1694">
        <v>1</v>
      </c>
      <c r="H1694">
        <v>0</v>
      </c>
      <c r="I1694" s="7">
        <v>0.56083181339430199</v>
      </c>
      <c r="J1694" s="6">
        <v>0.58121239550609605</v>
      </c>
      <c r="K1694" s="6">
        <v>0</v>
      </c>
      <c r="L1694">
        <v>-1.92986872864593</v>
      </c>
      <c r="M1694">
        <v>0.65402294681862305</v>
      </c>
    </row>
    <row r="1695" spans="1:13" x14ac:dyDescent="0.25">
      <c r="A1695">
        <v>2161</v>
      </c>
      <c r="B1695" t="str">
        <f>"DDX51"</f>
        <v>DDX51</v>
      </c>
      <c r="C1695" t="str">
        <f>""</f>
        <v/>
      </c>
      <c r="D1695">
        <v>72.456000000000003</v>
      </c>
      <c r="E1695">
        <v>5.7</v>
      </c>
      <c r="F1695">
        <v>1</v>
      </c>
      <c r="G1695">
        <v>1</v>
      </c>
      <c r="H1695">
        <v>0</v>
      </c>
      <c r="I1695" s="7">
        <v>0.56083181339430199</v>
      </c>
      <c r="J1695" s="6">
        <v>0.58121239550609605</v>
      </c>
      <c r="K1695" s="6">
        <v>0</v>
      </c>
      <c r="L1695">
        <v>-1.92986872864593</v>
      </c>
      <c r="M1695">
        <v>0.65402294681862305</v>
      </c>
    </row>
    <row r="1696" spans="1:13" x14ac:dyDescent="0.25">
      <c r="A1696">
        <v>2176</v>
      </c>
      <c r="B1696" t="str">
        <f>"TSEN2"</f>
        <v>TSEN2</v>
      </c>
      <c r="C1696" t="str">
        <f>""</f>
        <v/>
      </c>
      <c r="D1696">
        <v>45.530999999999999</v>
      </c>
      <c r="E1696">
        <v>5.2</v>
      </c>
      <c r="F1696">
        <v>1</v>
      </c>
      <c r="G1696">
        <v>1</v>
      </c>
      <c r="H1696">
        <v>0</v>
      </c>
      <c r="I1696" s="7">
        <v>0.56083181339430199</v>
      </c>
      <c r="J1696" s="6">
        <v>0.58121239550609605</v>
      </c>
      <c r="K1696" s="6">
        <v>0</v>
      </c>
      <c r="L1696">
        <v>-1.92986872864593</v>
      </c>
      <c r="M1696">
        <v>0.65402294681862305</v>
      </c>
    </row>
    <row r="1697" spans="1:13" x14ac:dyDescent="0.25">
      <c r="A1697">
        <v>2192</v>
      </c>
      <c r="B1697" t="str">
        <f>"FBXO22"</f>
        <v>FBXO22</v>
      </c>
      <c r="C1697" t="str">
        <f>""</f>
        <v/>
      </c>
      <c r="D1697">
        <v>44.508000000000003</v>
      </c>
      <c r="E1697">
        <v>7.2</v>
      </c>
      <c r="F1697">
        <v>1</v>
      </c>
      <c r="G1697">
        <v>1</v>
      </c>
      <c r="H1697">
        <v>0</v>
      </c>
      <c r="I1697" s="7">
        <v>0.56083181339430199</v>
      </c>
      <c r="J1697" s="6">
        <v>0.58121239550609605</v>
      </c>
      <c r="K1697" s="6">
        <v>0</v>
      </c>
      <c r="L1697">
        <v>-1.92986872864593</v>
      </c>
      <c r="M1697">
        <v>0.65402294681862305</v>
      </c>
    </row>
    <row r="1698" spans="1:13" x14ac:dyDescent="0.25">
      <c r="A1698">
        <v>2210</v>
      </c>
      <c r="B1698" t="str">
        <f>"TBC1D15"</f>
        <v>TBC1D15</v>
      </c>
      <c r="C1698" t="str">
        <f>""</f>
        <v/>
      </c>
      <c r="D1698">
        <v>77.394000000000005</v>
      </c>
      <c r="E1698">
        <v>1.3</v>
      </c>
      <c r="F1698">
        <v>1</v>
      </c>
      <c r="G1698">
        <v>1</v>
      </c>
      <c r="H1698">
        <v>0</v>
      </c>
      <c r="I1698" s="7">
        <v>0.56083181339430199</v>
      </c>
      <c r="J1698" s="6">
        <v>0.58121239550609605</v>
      </c>
      <c r="K1698" s="6">
        <v>0</v>
      </c>
      <c r="L1698">
        <v>-1.92986872864593</v>
      </c>
      <c r="M1698">
        <v>0.65402294681862305</v>
      </c>
    </row>
    <row r="1699" spans="1:13" x14ac:dyDescent="0.25">
      <c r="A1699">
        <v>2260</v>
      </c>
      <c r="B1699" t="str">
        <f>"AHCTF1"</f>
        <v>AHCTF1</v>
      </c>
      <c r="C1699" t="str">
        <f>""</f>
        <v/>
      </c>
      <c r="D1699">
        <v>252.5</v>
      </c>
      <c r="E1699">
        <v>0.6</v>
      </c>
      <c r="F1699">
        <v>1</v>
      </c>
      <c r="G1699">
        <v>1</v>
      </c>
      <c r="H1699">
        <v>0</v>
      </c>
      <c r="I1699" s="7">
        <v>0.56083181339430199</v>
      </c>
      <c r="J1699" s="6">
        <v>0.58121239550609605</v>
      </c>
      <c r="K1699" s="6">
        <v>0</v>
      </c>
      <c r="L1699">
        <v>-1.92986872864593</v>
      </c>
      <c r="M1699">
        <v>0.65402294681862305</v>
      </c>
    </row>
    <row r="1700" spans="1:13" x14ac:dyDescent="0.25">
      <c r="A1700">
        <v>2265</v>
      </c>
      <c r="B1700" t="str">
        <f>"FAM3C"</f>
        <v>FAM3C</v>
      </c>
      <c r="C1700" t="str">
        <f>""</f>
        <v/>
      </c>
      <c r="D1700">
        <v>24.68</v>
      </c>
      <c r="E1700">
        <v>14.5</v>
      </c>
      <c r="F1700">
        <v>1</v>
      </c>
      <c r="G1700">
        <v>1</v>
      </c>
      <c r="H1700">
        <v>0</v>
      </c>
      <c r="I1700" s="7">
        <v>0.56083181339430199</v>
      </c>
      <c r="J1700" s="6">
        <v>0.58121239550609605</v>
      </c>
      <c r="K1700" s="6">
        <v>0</v>
      </c>
      <c r="L1700">
        <v>-1.92986872864593</v>
      </c>
      <c r="M1700">
        <v>0.65402294681862305</v>
      </c>
    </row>
    <row r="1701" spans="1:13" x14ac:dyDescent="0.25">
      <c r="A1701">
        <v>2274</v>
      </c>
      <c r="B1701" t="str">
        <f>"FAM168A"</f>
        <v>FAM168A</v>
      </c>
      <c r="C1701" t="str">
        <f>""</f>
        <v/>
      </c>
      <c r="D1701">
        <v>25.061</v>
      </c>
      <c r="E1701">
        <v>4.3</v>
      </c>
      <c r="F1701">
        <v>1</v>
      </c>
      <c r="G1701">
        <v>1</v>
      </c>
      <c r="H1701">
        <v>0</v>
      </c>
      <c r="I1701" s="7">
        <v>0.56083181339430199</v>
      </c>
      <c r="J1701" s="6">
        <v>0.58121239550609605</v>
      </c>
      <c r="K1701" s="6">
        <v>0</v>
      </c>
      <c r="L1701">
        <v>-1.92986872864593</v>
      </c>
      <c r="M1701">
        <v>0.65402294681862305</v>
      </c>
    </row>
    <row r="1702" spans="1:13" x14ac:dyDescent="0.25">
      <c r="A1702">
        <v>2310</v>
      </c>
      <c r="B1702" t="str">
        <f>"CLP1"</f>
        <v>CLP1</v>
      </c>
      <c r="C1702" t="str">
        <f>""</f>
        <v/>
      </c>
      <c r="D1702">
        <v>40.695</v>
      </c>
      <c r="E1702">
        <v>3</v>
      </c>
      <c r="F1702">
        <v>1</v>
      </c>
      <c r="G1702">
        <v>1</v>
      </c>
      <c r="H1702">
        <v>0</v>
      </c>
      <c r="I1702" s="7">
        <v>0.56083181339430199</v>
      </c>
      <c r="J1702" s="6">
        <v>0.58121239550609605</v>
      </c>
      <c r="K1702" s="6">
        <v>0</v>
      </c>
      <c r="L1702">
        <v>-1.92986872864593</v>
      </c>
      <c r="M1702">
        <v>0.65402294681862305</v>
      </c>
    </row>
    <row r="1703" spans="1:13" x14ac:dyDescent="0.25">
      <c r="A1703">
        <v>2396</v>
      </c>
      <c r="B1703" t="str">
        <f>"DDX27"</f>
        <v>DDX27</v>
      </c>
      <c r="C1703" t="str">
        <f>""</f>
        <v/>
      </c>
      <c r="D1703">
        <v>89.834000000000003</v>
      </c>
      <c r="E1703">
        <v>4.5</v>
      </c>
      <c r="F1703">
        <v>1</v>
      </c>
      <c r="G1703">
        <v>1</v>
      </c>
      <c r="H1703">
        <v>0</v>
      </c>
      <c r="I1703" s="7">
        <v>0.56083181339430199</v>
      </c>
      <c r="J1703" s="6">
        <v>0.58121239550609605</v>
      </c>
      <c r="K1703" s="6">
        <v>0</v>
      </c>
      <c r="L1703">
        <v>-1.92986872864593</v>
      </c>
      <c r="M1703">
        <v>0.65402294681862305</v>
      </c>
    </row>
    <row r="1704" spans="1:13" x14ac:dyDescent="0.25">
      <c r="A1704">
        <v>2418</v>
      </c>
      <c r="B1704" t="str">
        <f>"USP47"</f>
        <v>USP47</v>
      </c>
      <c r="C1704" t="str">
        <f>""</f>
        <v/>
      </c>
      <c r="D1704">
        <v>147.22</v>
      </c>
      <c r="E1704">
        <v>1.8</v>
      </c>
      <c r="F1704">
        <v>1</v>
      </c>
      <c r="G1704">
        <v>1</v>
      </c>
      <c r="H1704">
        <v>0</v>
      </c>
      <c r="I1704" s="7">
        <v>0.56083181339430199</v>
      </c>
      <c r="J1704" s="6">
        <v>0.58121239550609605</v>
      </c>
      <c r="K1704" s="6">
        <v>0</v>
      </c>
      <c r="L1704">
        <v>-1.92986872864593</v>
      </c>
      <c r="M1704">
        <v>0.65402294681862305</v>
      </c>
    </row>
    <row r="1705" spans="1:13" x14ac:dyDescent="0.25">
      <c r="A1705">
        <v>2462</v>
      </c>
      <c r="B1705" t="str">
        <f>"ADO"</f>
        <v>ADO</v>
      </c>
      <c r="C1705" t="str">
        <f>""</f>
        <v/>
      </c>
      <c r="D1705">
        <v>29.751000000000001</v>
      </c>
      <c r="E1705">
        <v>5.9</v>
      </c>
      <c r="F1705">
        <v>1</v>
      </c>
      <c r="G1705">
        <v>1</v>
      </c>
      <c r="H1705">
        <v>0</v>
      </c>
      <c r="I1705" s="7">
        <v>0.56083181339430199</v>
      </c>
      <c r="J1705" s="6">
        <v>0.58121239550609605</v>
      </c>
      <c r="K1705" s="6">
        <v>0</v>
      </c>
      <c r="L1705">
        <v>-1.92986872864593</v>
      </c>
      <c r="M1705">
        <v>0.65402294681862305</v>
      </c>
    </row>
    <row r="1706" spans="1:13" x14ac:dyDescent="0.25">
      <c r="A1706">
        <v>2509</v>
      </c>
      <c r="B1706" t="str">
        <f>"DDX50"</f>
        <v>DDX50</v>
      </c>
      <c r="C1706" t="str">
        <f>""</f>
        <v/>
      </c>
      <c r="D1706">
        <v>82.563999999999993</v>
      </c>
      <c r="E1706">
        <v>3.1</v>
      </c>
      <c r="F1706">
        <v>1</v>
      </c>
      <c r="G1706">
        <v>1</v>
      </c>
      <c r="H1706">
        <v>0</v>
      </c>
      <c r="I1706" s="7">
        <v>0.56083181339430199</v>
      </c>
      <c r="J1706" s="6">
        <v>0.58121239550609605</v>
      </c>
      <c r="K1706" s="6">
        <v>0</v>
      </c>
      <c r="L1706">
        <v>-1.92986872864593</v>
      </c>
      <c r="M1706">
        <v>0.65402294681862305</v>
      </c>
    </row>
    <row r="1707" spans="1:13" x14ac:dyDescent="0.25">
      <c r="A1707">
        <v>2545</v>
      </c>
      <c r="B1707" t="str">
        <f>"ALKBH7"</f>
        <v>ALKBH7</v>
      </c>
      <c r="C1707" t="str">
        <f>""</f>
        <v/>
      </c>
      <c r="D1707">
        <v>24.515999999999998</v>
      </c>
      <c r="E1707">
        <v>10</v>
      </c>
      <c r="F1707">
        <v>1</v>
      </c>
      <c r="G1707">
        <v>1</v>
      </c>
      <c r="H1707">
        <v>0</v>
      </c>
      <c r="I1707" s="7">
        <v>0.56083181339430199</v>
      </c>
      <c r="J1707" s="6">
        <v>0.58121239550609605</v>
      </c>
      <c r="K1707" s="6">
        <v>0</v>
      </c>
      <c r="L1707">
        <v>-1.92986872864593</v>
      </c>
      <c r="M1707">
        <v>0.65402294681862305</v>
      </c>
    </row>
    <row r="1708" spans="1:13" x14ac:dyDescent="0.25">
      <c r="A1708">
        <v>2573</v>
      </c>
      <c r="B1708" t="str">
        <f>"NUP85"</f>
        <v>NUP85</v>
      </c>
      <c r="C1708" t="str">
        <f>""</f>
        <v/>
      </c>
      <c r="D1708">
        <v>52.597999999999999</v>
      </c>
      <c r="E1708">
        <v>2.8</v>
      </c>
      <c r="F1708">
        <v>1</v>
      </c>
      <c r="G1708">
        <v>1</v>
      </c>
      <c r="H1708">
        <v>0</v>
      </c>
      <c r="I1708" s="7">
        <v>0.56083181339430199</v>
      </c>
      <c r="J1708" s="6">
        <v>0.58121239550609605</v>
      </c>
      <c r="K1708" s="6">
        <v>0</v>
      </c>
      <c r="L1708">
        <v>-1.92986872864593</v>
      </c>
      <c r="M1708">
        <v>0.65402294681862305</v>
      </c>
    </row>
    <row r="1709" spans="1:13" x14ac:dyDescent="0.25">
      <c r="A1709">
        <v>2588</v>
      </c>
      <c r="B1709" t="str">
        <f>"TBC1D10A"</f>
        <v>TBC1D10A</v>
      </c>
      <c r="C1709" t="str">
        <f>""</f>
        <v/>
      </c>
      <c r="D1709">
        <v>57.116999999999997</v>
      </c>
      <c r="E1709">
        <v>2.2000000000000002</v>
      </c>
      <c r="F1709">
        <v>1</v>
      </c>
      <c r="G1709">
        <v>1</v>
      </c>
      <c r="H1709">
        <v>0</v>
      </c>
      <c r="I1709" s="7">
        <v>0.56083181339430199</v>
      </c>
      <c r="J1709" s="6">
        <v>0.58121239550609605</v>
      </c>
      <c r="K1709" s="6">
        <v>0</v>
      </c>
      <c r="L1709">
        <v>-1.92986872864593</v>
      </c>
      <c r="M1709">
        <v>0.65402294681862305</v>
      </c>
    </row>
    <row r="1710" spans="1:13" x14ac:dyDescent="0.25">
      <c r="A1710">
        <v>2708</v>
      </c>
      <c r="B1710" t="str">
        <f>"ECT2"</f>
        <v>ECT2</v>
      </c>
      <c r="C1710" t="str">
        <f>""</f>
        <v/>
      </c>
      <c r="D1710">
        <v>99.92</v>
      </c>
      <c r="E1710">
        <v>1.7</v>
      </c>
      <c r="F1710">
        <v>1</v>
      </c>
      <c r="G1710">
        <v>1</v>
      </c>
      <c r="H1710">
        <v>0</v>
      </c>
      <c r="I1710" s="7">
        <v>0.56083181339430199</v>
      </c>
      <c r="J1710" s="6">
        <v>0.58121239550609605</v>
      </c>
      <c r="K1710" s="6">
        <v>0</v>
      </c>
      <c r="L1710">
        <v>-1.92986872864593</v>
      </c>
      <c r="M1710">
        <v>0.65402294681862305</v>
      </c>
    </row>
    <row r="1711" spans="1:13" x14ac:dyDescent="0.25">
      <c r="A1711">
        <v>2713</v>
      </c>
      <c r="B1711" t="str">
        <f>"MED20"</f>
        <v>MED20</v>
      </c>
      <c r="C1711" t="str">
        <f>""</f>
        <v/>
      </c>
      <c r="D1711">
        <v>23.222000000000001</v>
      </c>
      <c r="E1711">
        <v>9.4</v>
      </c>
      <c r="F1711">
        <v>1</v>
      </c>
      <c r="G1711">
        <v>1</v>
      </c>
      <c r="H1711">
        <v>0</v>
      </c>
      <c r="I1711" s="7">
        <v>0.56083181339430199</v>
      </c>
      <c r="J1711" s="6">
        <v>0.58121239550609605</v>
      </c>
      <c r="K1711" s="6">
        <v>0</v>
      </c>
      <c r="L1711">
        <v>-1.92986872864593</v>
      </c>
      <c r="M1711">
        <v>0.65402294681862305</v>
      </c>
    </row>
    <row r="1712" spans="1:13" x14ac:dyDescent="0.25">
      <c r="A1712">
        <v>2743</v>
      </c>
      <c r="B1712" t="str">
        <f>"XAB2"</f>
        <v>XAB2</v>
      </c>
      <c r="C1712" t="str">
        <f>""</f>
        <v/>
      </c>
      <c r="D1712">
        <v>100.01</v>
      </c>
      <c r="E1712">
        <v>4.9000000000000004</v>
      </c>
      <c r="F1712">
        <v>1</v>
      </c>
      <c r="G1712">
        <v>1</v>
      </c>
      <c r="H1712">
        <v>0</v>
      </c>
      <c r="I1712" s="7">
        <v>0.56083181339430199</v>
      </c>
      <c r="J1712" s="6">
        <v>0.58121239550609605</v>
      </c>
      <c r="K1712" s="6">
        <v>0</v>
      </c>
      <c r="L1712">
        <v>-1.92986872864593</v>
      </c>
      <c r="M1712">
        <v>0.65402294681862305</v>
      </c>
    </row>
    <row r="1713" spans="1:13" x14ac:dyDescent="0.25">
      <c r="A1713">
        <v>2765</v>
      </c>
      <c r="B1713" t="str">
        <f>"XPNPEP3"</f>
        <v>XPNPEP3</v>
      </c>
      <c r="C1713" t="str">
        <f>""</f>
        <v/>
      </c>
      <c r="D1713">
        <v>48.112000000000002</v>
      </c>
      <c r="E1713">
        <v>4</v>
      </c>
      <c r="F1713">
        <v>1</v>
      </c>
      <c r="G1713">
        <v>1</v>
      </c>
      <c r="H1713">
        <v>0</v>
      </c>
      <c r="I1713" s="7">
        <v>0.56083181339430199</v>
      </c>
      <c r="J1713" s="6">
        <v>0.58121239550609605</v>
      </c>
      <c r="K1713" s="6">
        <v>0</v>
      </c>
      <c r="L1713">
        <v>-1.92986872864593</v>
      </c>
      <c r="M1713">
        <v>0.65402294681862305</v>
      </c>
    </row>
    <row r="1714" spans="1:13" x14ac:dyDescent="0.25">
      <c r="A1714">
        <v>2796</v>
      </c>
      <c r="B1714" t="str">
        <f>"KIF15"</f>
        <v>KIF15</v>
      </c>
      <c r="C1714" t="str">
        <f>""</f>
        <v/>
      </c>
      <c r="D1714">
        <v>51.433</v>
      </c>
      <c r="E1714">
        <v>8</v>
      </c>
      <c r="F1714">
        <v>1</v>
      </c>
      <c r="G1714">
        <v>1</v>
      </c>
      <c r="H1714">
        <v>0</v>
      </c>
      <c r="I1714" s="7">
        <v>0.56083181339430199</v>
      </c>
      <c r="J1714" s="6">
        <v>0.58121239550609605</v>
      </c>
      <c r="K1714" s="6">
        <v>0</v>
      </c>
      <c r="L1714">
        <v>-1.92986872864593</v>
      </c>
      <c r="M1714">
        <v>0.65402294681862305</v>
      </c>
    </row>
    <row r="1715" spans="1:13" x14ac:dyDescent="0.25">
      <c r="A1715">
        <v>2848</v>
      </c>
      <c r="B1715" t="str">
        <f>"DUS2"</f>
        <v>DUS2</v>
      </c>
      <c r="C1715" t="str">
        <f>""</f>
        <v/>
      </c>
      <c r="D1715">
        <v>55.05</v>
      </c>
      <c r="E1715">
        <v>2.4</v>
      </c>
      <c r="F1715">
        <v>1</v>
      </c>
      <c r="G1715">
        <v>1</v>
      </c>
      <c r="H1715">
        <v>0</v>
      </c>
      <c r="I1715" s="7">
        <v>0.56083181339430199</v>
      </c>
      <c r="J1715" s="6">
        <v>0.58121239550609605</v>
      </c>
      <c r="K1715" s="6">
        <v>0</v>
      </c>
      <c r="L1715">
        <v>-1.92986872864593</v>
      </c>
      <c r="M1715">
        <v>0.65402294681862305</v>
      </c>
    </row>
    <row r="1716" spans="1:13" x14ac:dyDescent="0.25">
      <c r="A1716">
        <v>2875</v>
      </c>
      <c r="B1716" t="str">
        <f>"GLTSCR2"</f>
        <v>GLTSCR2</v>
      </c>
      <c r="C1716" t="str">
        <f>""</f>
        <v/>
      </c>
      <c r="D1716">
        <v>54.389000000000003</v>
      </c>
      <c r="E1716">
        <v>4.8</v>
      </c>
      <c r="F1716">
        <v>1</v>
      </c>
      <c r="G1716">
        <v>1</v>
      </c>
      <c r="H1716">
        <v>0</v>
      </c>
      <c r="I1716" s="7">
        <v>0.56083181339430199</v>
      </c>
      <c r="J1716" s="6">
        <v>0.58121239550609605</v>
      </c>
      <c r="K1716" s="6">
        <v>0</v>
      </c>
      <c r="L1716">
        <v>-1.92986872864593</v>
      </c>
      <c r="M1716">
        <v>0.65402294681862305</v>
      </c>
    </row>
    <row r="1717" spans="1:13" x14ac:dyDescent="0.25">
      <c r="A1717">
        <v>2888</v>
      </c>
      <c r="B1717" t="str">
        <f>"MARK1"</f>
        <v>MARK1</v>
      </c>
      <c r="C1717" t="str">
        <f>"MARK1"</f>
        <v>MARK1</v>
      </c>
      <c r="D1717">
        <v>72.072999999999993</v>
      </c>
      <c r="E1717">
        <v>3.9</v>
      </c>
      <c r="F1717">
        <v>1</v>
      </c>
      <c r="G1717">
        <v>1</v>
      </c>
      <c r="H1717">
        <v>0</v>
      </c>
      <c r="I1717" s="7">
        <v>0.56083181339430199</v>
      </c>
      <c r="J1717" s="6">
        <v>0.58121239550609605</v>
      </c>
      <c r="K1717" s="6">
        <v>0</v>
      </c>
      <c r="L1717">
        <v>-1.92986872864593</v>
      </c>
      <c r="M1717">
        <v>0.65402294681862305</v>
      </c>
    </row>
    <row r="1718" spans="1:13" x14ac:dyDescent="0.25">
      <c r="A1718">
        <v>2917</v>
      </c>
      <c r="B1718" t="str">
        <f>"RABL2B;RABL2A"</f>
        <v>RABL2B;RABL2A</v>
      </c>
      <c r="C1718" t="str">
        <f>""</f>
        <v/>
      </c>
      <c r="D1718">
        <v>26.100999999999999</v>
      </c>
      <c r="E1718">
        <v>4.8</v>
      </c>
      <c r="F1718">
        <v>1</v>
      </c>
      <c r="G1718">
        <v>1</v>
      </c>
      <c r="H1718">
        <v>0</v>
      </c>
      <c r="I1718" s="7">
        <v>0.56083181339430199</v>
      </c>
      <c r="J1718" s="6">
        <v>0.58121239550609605</v>
      </c>
      <c r="K1718" s="6">
        <v>0</v>
      </c>
      <c r="L1718">
        <v>-1.92986872864593</v>
      </c>
      <c r="M1718">
        <v>0.65402294681862305</v>
      </c>
    </row>
    <row r="1719" spans="1:13" x14ac:dyDescent="0.25">
      <c r="A1719">
        <v>3009</v>
      </c>
      <c r="B1719" t="str">
        <f>"SNX6"</f>
        <v>SNX6</v>
      </c>
      <c r="C1719" t="str">
        <f>""</f>
        <v/>
      </c>
      <c r="D1719">
        <v>33.57</v>
      </c>
      <c r="E1719">
        <v>6.9</v>
      </c>
      <c r="F1719">
        <v>1</v>
      </c>
      <c r="G1719">
        <v>1</v>
      </c>
      <c r="H1719">
        <v>0</v>
      </c>
      <c r="I1719" s="7">
        <v>0.56083181339430199</v>
      </c>
      <c r="J1719" s="6">
        <v>0.58121239550609605</v>
      </c>
      <c r="K1719" s="6">
        <v>0</v>
      </c>
      <c r="L1719">
        <v>-1.92986872864593</v>
      </c>
      <c r="M1719">
        <v>0.65402294681862305</v>
      </c>
    </row>
    <row r="1720" spans="1:13" x14ac:dyDescent="0.25">
      <c r="A1720">
        <v>3014</v>
      </c>
      <c r="B1720" t="str">
        <f>"PPIE"</f>
        <v>PPIE</v>
      </c>
      <c r="C1720" t="str">
        <f>""</f>
        <v/>
      </c>
      <c r="D1720">
        <v>33.085000000000001</v>
      </c>
      <c r="E1720">
        <v>3</v>
      </c>
      <c r="F1720">
        <v>1</v>
      </c>
      <c r="G1720">
        <v>1</v>
      </c>
      <c r="H1720">
        <v>0</v>
      </c>
      <c r="I1720" s="7">
        <v>0.56083181339430199</v>
      </c>
      <c r="J1720" s="6">
        <v>0.58121239550609605</v>
      </c>
      <c r="K1720" s="6">
        <v>0</v>
      </c>
      <c r="L1720">
        <v>-1.92986872864593</v>
      </c>
      <c r="M1720">
        <v>0.65402294681862305</v>
      </c>
    </row>
    <row r="1721" spans="1:13" x14ac:dyDescent="0.25">
      <c r="A1721">
        <v>3015</v>
      </c>
      <c r="B1721" t="str">
        <f>"DIMT1"</f>
        <v>DIMT1</v>
      </c>
      <c r="C1721" t="str">
        <f>""</f>
        <v/>
      </c>
      <c r="D1721">
        <v>35.235999999999997</v>
      </c>
      <c r="E1721">
        <v>8.6</v>
      </c>
      <c r="F1721">
        <v>1</v>
      </c>
      <c r="G1721">
        <v>1</v>
      </c>
      <c r="H1721">
        <v>0</v>
      </c>
      <c r="I1721" s="7">
        <v>0.56083181339430199</v>
      </c>
      <c r="J1721" s="6">
        <v>0.58121239550609605</v>
      </c>
      <c r="K1721" s="6">
        <v>0</v>
      </c>
      <c r="L1721">
        <v>-1.92986872864593</v>
      </c>
      <c r="M1721">
        <v>0.65402294681862305</v>
      </c>
    </row>
    <row r="1722" spans="1:13" x14ac:dyDescent="0.25">
      <c r="A1722">
        <v>3036</v>
      </c>
      <c r="B1722" t="str">
        <f>"CHMP2B"</f>
        <v>CHMP2B</v>
      </c>
      <c r="C1722" t="str">
        <f>""</f>
        <v/>
      </c>
      <c r="D1722">
        <v>23.905999999999999</v>
      </c>
      <c r="E1722">
        <v>5.2</v>
      </c>
      <c r="F1722">
        <v>1</v>
      </c>
      <c r="G1722">
        <v>1</v>
      </c>
      <c r="H1722">
        <v>0</v>
      </c>
      <c r="I1722" s="7">
        <v>0.56083181339430199</v>
      </c>
      <c r="J1722" s="6">
        <v>0.58121239550609605</v>
      </c>
      <c r="K1722" s="6">
        <v>0</v>
      </c>
      <c r="L1722">
        <v>-1.92986872864593</v>
      </c>
      <c r="M1722">
        <v>0.65402294681862305</v>
      </c>
    </row>
    <row r="1723" spans="1:13" x14ac:dyDescent="0.25">
      <c r="A1723">
        <v>3091</v>
      </c>
      <c r="B1723" t="str">
        <f>"RRP15"</f>
        <v>RRP15</v>
      </c>
      <c r="C1723" t="str">
        <f>""</f>
        <v/>
      </c>
      <c r="D1723">
        <v>31.484000000000002</v>
      </c>
      <c r="E1723">
        <v>7.8</v>
      </c>
      <c r="F1723">
        <v>1</v>
      </c>
      <c r="G1723">
        <v>1</v>
      </c>
      <c r="H1723">
        <v>0</v>
      </c>
      <c r="I1723" s="7">
        <v>0.56083181339430199</v>
      </c>
      <c r="J1723" s="6">
        <v>0.58121239550609605</v>
      </c>
      <c r="K1723" s="6">
        <v>0</v>
      </c>
      <c r="L1723">
        <v>-1.92986872864593</v>
      </c>
      <c r="M1723">
        <v>0.65402294681862305</v>
      </c>
    </row>
    <row r="1724" spans="1:13" x14ac:dyDescent="0.25">
      <c r="A1724">
        <v>3132</v>
      </c>
      <c r="B1724" t="str">
        <f>"GTF3C5"</f>
        <v>GTF3C5</v>
      </c>
      <c r="C1724" t="str">
        <f>""</f>
        <v/>
      </c>
      <c r="D1724">
        <v>58.265999999999998</v>
      </c>
      <c r="E1724">
        <v>4.7</v>
      </c>
      <c r="F1724">
        <v>1</v>
      </c>
      <c r="G1724">
        <v>1</v>
      </c>
      <c r="H1724">
        <v>0</v>
      </c>
      <c r="I1724" s="7">
        <v>0.56083181339430199</v>
      </c>
      <c r="J1724" s="6">
        <v>0.58121239550609605</v>
      </c>
      <c r="K1724" s="6">
        <v>0</v>
      </c>
      <c r="L1724">
        <v>-1.92986872864593</v>
      </c>
      <c r="M1724">
        <v>0.65402294681862305</v>
      </c>
    </row>
    <row r="1725" spans="1:13" x14ac:dyDescent="0.25">
      <c r="A1725">
        <v>1974</v>
      </c>
      <c r="B1725" t="str">
        <f>"CYHR1"</f>
        <v>CYHR1</v>
      </c>
      <c r="C1725" t="str">
        <f>""</f>
        <v/>
      </c>
      <c r="D1725">
        <v>22.765999999999998</v>
      </c>
      <c r="E1725">
        <v>6.9</v>
      </c>
      <c r="F1725">
        <v>1</v>
      </c>
      <c r="G1725">
        <v>0</v>
      </c>
      <c r="H1725">
        <v>1</v>
      </c>
      <c r="I1725" s="7">
        <v>0.56083181339430199</v>
      </c>
      <c r="J1725" s="6">
        <v>0</v>
      </c>
      <c r="K1725" s="6">
        <v>0.60348020787262302</v>
      </c>
      <c r="L1725">
        <v>-1.85865851465564</v>
      </c>
      <c r="M1725">
        <v>0.65402295581610603</v>
      </c>
    </row>
    <row r="1726" spans="1:13" x14ac:dyDescent="0.25">
      <c r="A1726">
        <v>1905</v>
      </c>
      <c r="B1726" t="str">
        <f>"IQSEC1"</f>
        <v>IQSEC1</v>
      </c>
      <c r="C1726" t="str">
        <f>""</f>
        <v/>
      </c>
      <c r="D1726">
        <v>94.912999999999997</v>
      </c>
      <c r="E1726">
        <v>1</v>
      </c>
      <c r="F1726">
        <v>1</v>
      </c>
      <c r="G1726">
        <v>0</v>
      </c>
      <c r="H1726">
        <v>1</v>
      </c>
      <c r="I1726" s="7">
        <v>0.56083181339430199</v>
      </c>
      <c r="J1726" s="6">
        <v>0</v>
      </c>
      <c r="K1726" s="6">
        <v>0.60348020787262302</v>
      </c>
      <c r="L1726">
        <v>-1.85865851465564</v>
      </c>
      <c r="M1726">
        <v>0.65402295581610603</v>
      </c>
    </row>
    <row r="1727" spans="1:13" x14ac:dyDescent="0.25">
      <c r="A1727">
        <v>2615</v>
      </c>
      <c r="B1727" t="str">
        <f>"EDEM3"</f>
        <v>EDEM3</v>
      </c>
      <c r="C1727" t="str">
        <f>""</f>
        <v/>
      </c>
      <c r="D1727">
        <v>102</v>
      </c>
      <c r="E1727">
        <v>1.3</v>
      </c>
      <c r="F1727">
        <v>1</v>
      </c>
      <c r="G1727">
        <v>0</v>
      </c>
      <c r="H1727">
        <v>1</v>
      </c>
      <c r="I1727" s="7">
        <v>0.56083181339430199</v>
      </c>
      <c r="J1727" s="6">
        <v>0</v>
      </c>
      <c r="K1727" s="6">
        <v>0.60348020787262302</v>
      </c>
      <c r="L1727">
        <v>-1.85865851465564</v>
      </c>
      <c r="M1727">
        <v>0.65402295581610603</v>
      </c>
    </row>
    <row r="1728" spans="1:13" x14ac:dyDescent="0.25">
      <c r="A1728">
        <v>1747</v>
      </c>
      <c r="B1728" t="str">
        <f>"HERC1"</f>
        <v>HERC1</v>
      </c>
      <c r="C1728" t="str">
        <f>""</f>
        <v/>
      </c>
      <c r="D1728">
        <v>532.22</v>
      </c>
      <c r="E1728">
        <v>0.2</v>
      </c>
      <c r="F1728">
        <v>1</v>
      </c>
      <c r="G1728">
        <v>0</v>
      </c>
      <c r="H1728">
        <v>1</v>
      </c>
      <c r="I1728" s="7">
        <v>0.56083181339430199</v>
      </c>
      <c r="J1728" s="6">
        <v>0</v>
      </c>
      <c r="K1728" s="6">
        <v>0.60348020787262302</v>
      </c>
      <c r="L1728">
        <v>-1.85865851465564</v>
      </c>
      <c r="M1728">
        <v>0.65402295581610603</v>
      </c>
    </row>
    <row r="1729" spans="1:13" x14ac:dyDescent="0.25">
      <c r="A1729">
        <v>523</v>
      </c>
      <c r="B1729" t="str">
        <f>"GNAI1;GNAI2;GNAI3"</f>
        <v>GNAI1;GNAI2;GNAI3</v>
      </c>
      <c r="C1729" t="str">
        <f>""</f>
        <v/>
      </c>
      <c r="D1729">
        <v>40.085999999999999</v>
      </c>
      <c r="E1729">
        <v>2.5</v>
      </c>
      <c r="F1729">
        <v>1</v>
      </c>
      <c r="G1729">
        <v>0</v>
      </c>
      <c r="H1729">
        <v>1</v>
      </c>
      <c r="I1729" s="7">
        <v>0.56083181339430199</v>
      </c>
      <c r="J1729" s="6">
        <v>0</v>
      </c>
      <c r="K1729" s="6">
        <v>0.60348020787262302</v>
      </c>
      <c r="L1729">
        <v>-1.85865851465564</v>
      </c>
      <c r="M1729">
        <v>0.65402295581610603</v>
      </c>
    </row>
    <row r="1730" spans="1:13" x14ac:dyDescent="0.25">
      <c r="A1730">
        <v>542</v>
      </c>
      <c r="B1730" t="str">
        <f>"KRT18"</f>
        <v>KRT18</v>
      </c>
      <c r="C1730" t="str">
        <f>""</f>
        <v/>
      </c>
      <c r="D1730">
        <v>48.057000000000002</v>
      </c>
      <c r="E1730">
        <v>13</v>
      </c>
      <c r="F1730">
        <v>1</v>
      </c>
      <c r="G1730">
        <v>0</v>
      </c>
      <c r="H1730">
        <v>1</v>
      </c>
      <c r="I1730" s="7">
        <v>0.56083181339430199</v>
      </c>
      <c r="J1730" s="6">
        <v>0</v>
      </c>
      <c r="K1730" s="6">
        <v>0.60348020787262302</v>
      </c>
      <c r="L1730">
        <v>-1.85865851465564</v>
      </c>
      <c r="M1730">
        <v>0.65402295581610603</v>
      </c>
    </row>
    <row r="1731" spans="1:13" x14ac:dyDescent="0.25">
      <c r="A1731">
        <v>1084</v>
      </c>
      <c r="B1731" t="str">
        <f>"HSPA13"</f>
        <v>HSPA13</v>
      </c>
      <c r="C1731" t="str">
        <f>""</f>
        <v/>
      </c>
      <c r="D1731">
        <v>51.927</v>
      </c>
      <c r="E1731">
        <v>3</v>
      </c>
      <c r="F1731">
        <v>1</v>
      </c>
      <c r="G1731">
        <v>0</v>
      </c>
      <c r="H1731">
        <v>1</v>
      </c>
      <c r="I1731" s="7">
        <v>0.56083181339430199</v>
      </c>
      <c r="J1731" s="6">
        <v>0</v>
      </c>
      <c r="K1731" s="6">
        <v>0.60348020787262302</v>
      </c>
      <c r="L1731">
        <v>-1.85865851465564</v>
      </c>
      <c r="M1731">
        <v>0.65402295581610603</v>
      </c>
    </row>
    <row r="1732" spans="1:13" x14ac:dyDescent="0.25">
      <c r="A1732">
        <v>1869</v>
      </c>
      <c r="B1732" t="str">
        <f>"ATAD3A;ATAD3B;ATAD3C"</f>
        <v>ATAD3A;ATAD3B;ATAD3C</v>
      </c>
      <c r="C1732" t="str">
        <f>""</f>
        <v/>
      </c>
      <c r="D1732">
        <v>66.216999999999999</v>
      </c>
      <c r="E1732">
        <v>5.0999999999999996</v>
      </c>
      <c r="F1732">
        <v>1</v>
      </c>
      <c r="G1732">
        <v>0</v>
      </c>
      <c r="H1732">
        <v>1</v>
      </c>
      <c r="I1732" s="7">
        <v>0.56083181339430199</v>
      </c>
      <c r="J1732" s="6">
        <v>0</v>
      </c>
      <c r="K1732" s="6">
        <v>0.60348020787262302</v>
      </c>
      <c r="L1732">
        <v>-1.85865851465564</v>
      </c>
      <c r="M1732">
        <v>0.65402295581610603</v>
      </c>
    </row>
    <row r="1733" spans="1:13" x14ac:dyDescent="0.25">
      <c r="A1733">
        <v>2184</v>
      </c>
      <c r="B1733" t="str">
        <f>"C3orf58"</f>
        <v>C3orf58</v>
      </c>
      <c r="C1733" t="str">
        <f>""</f>
        <v/>
      </c>
      <c r="D1733">
        <v>49.481000000000002</v>
      </c>
      <c r="E1733">
        <v>6</v>
      </c>
      <c r="F1733">
        <v>1</v>
      </c>
      <c r="G1733">
        <v>0</v>
      </c>
      <c r="H1733">
        <v>1</v>
      </c>
      <c r="I1733" s="7">
        <v>0.56083181339430199</v>
      </c>
      <c r="J1733" s="6">
        <v>0</v>
      </c>
      <c r="K1733" s="6">
        <v>0.60348020787262302</v>
      </c>
      <c r="L1733">
        <v>-1.85865851465564</v>
      </c>
      <c r="M1733">
        <v>0.65402295581610603</v>
      </c>
    </row>
    <row r="1734" spans="1:13" x14ac:dyDescent="0.25">
      <c r="A1734">
        <v>2625</v>
      </c>
      <c r="B1734" t="str">
        <f>"MTMR12"</f>
        <v>MTMR12</v>
      </c>
      <c r="C1734" t="str">
        <f>""</f>
        <v/>
      </c>
      <c r="D1734">
        <v>79.834999999999994</v>
      </c>
      <c r="E1734">
        <v>3.8</v>
      </c>
      <c r="F1734">
        <v>1</v>
      </c>
      <c r="G1734">
        <v>0</v>
      </c>
      <c r="H1734">
        <v>1</v>
      </c>
      <c r="I1734" s="7">
        <v>0.56083181339430199</v>
      </c>
      <c r="J1734" s="6">
        <v>0</v>
      </c>
      <c r="K1734" s="6">
        <v>0.60348020787262302</v>
      </c>
      <c r="L1734">
        <v>-1.85865851465564</v>
      </c>
      <c r="M1734">
        <v>0.65402295581610603</v>
      </c>
    </row>
    <row r="1735" spans="1:13" x14ac:dyDescent="0.25">
      <c r="A1735">
        <v>112</v>
      </c>
      <c r="B1735" t="str">
        <f>""</f>
        <v/>
      </c>
      <c r="C1735" t="str">
        <f>""</f>
        <v/>
      </c>
      <c r="D1735">
        <v>19.526</v>
      </c>
      <c r="E1735">
        <v>7</v>
      </c>
      <c r="F1735">
        <v>1</v>
      </c>
      <c r="G1735">
        <v>0</v>
      </c>
      <c r="H1735">
        <v>1</v>
      </c>
      <c r="I1735" s="7">
        <v>0.56083181339430199</v>
      </c>
      <c r="J1735" s="6">
        <v>0</v>
      </c>
      <c r="K1735" s="6">
        <v>0.60348020787262302</v>
      </c>
      <c r="L1735">
        <v>-1.85865851465564</v>
      </c>
      <c r="M1735">
        <v>0.65402295581610603</v>
      </c>
    </row>
    <row r="1736" spans="1:13" x14ac:dyDescent="0.25">
      <c r="A1736">
        <v>128</v>
      </c>
      <c r="B1736" t="str">
        <f>"MAN2B1"</f>
        <v>MAN2B1</v>
      </c>
      <c r="C1736" t="str">
        <f>""</f>
        <v/>
      </c>
      <c r="D1736">
        <v>113.61</v>
      </c>
      <c r="E1736">
        <v>1.1000000000000001</v>
      </c>
      <c r="F1736">
        <v>1</v>
      </c>
      <c r="G1736">
        <v>0</v>
      </c>
      <c r="H1736">
        <v>1</v>
      </c>
      <c r="I1736" s="7">
        <v>0.56083181339430199</v>
      </c>
      <c r="J1736" s="6">
        <v>0</v>
      </c>
      <c r="K1736" s="6">
        <v>0.60348020787262302</v>
      </c>
      <c r="L1736">
        <v>-1.85865851465564</v>
      </c>
      <c r="M1736">
        <v>0.65402295581610603</v>
      </c>
    </row>
    <row r="1737" spans="1:13" x14ac:dyDescent="0.25">
      <c r="A1737">
        <v>308</v>
      </c>
      <c r="B1737" t="str">
        <f>"ANKRD17;ANKHD1"</f>
        <v>ANKRD17;ANKHD1</v>
      </c>
      <c r="C1737" t="str">
        <f>""</f>
        <v/>
      </c>
      <c r="D1737">
        <v>246.75</v>
      </c>
      <c r="E1737">
        <v>1.1000000000000001</v>
      </c>
      <c r="F1737">
        <v>1</v>
      </c>
      <c r="G1737">
        <v>0</v>
      </c>
      <c r="H1737">
        <v>1</v>
      </c>
      <c r="I1737" s="7">
        <v>0.56083181339430199</v>
      </c>
      <c r="J1737" s="6">
        <v>0</v>
      </c>
      <c r="K1737" s="6">
        <v>0.60348020787262302</v>
      </c>
      <c r="L1737">
        <v>-1.85865851465564</v>
      </c>
      <c r="M1737">
        <v>0.65402295581610603</v>
      </c>
    </row>
    <row r="1738" spans="1:13" x14ac:dyDescent="0.25">
      <c r="A1738">
        <v>390</v>
      </c>
      <c r="B1738" t="str">
        <f>"SNX4"</f>
        <v>SNX4</v>
      </c>
      <c r="C1738" t="str">
        <f>""</f>
        <v/>
      </c>
      <c r="D1738">
        <v>51.908000000000001</v>
      </c>
      <c r="E1738">
        <v>7.1</v>
      </c>
      <c r="F1738">
        <v>1</v>
      </c>
      <c r="G1738">
        <v>0</v>
      </c>
      <c r="H1738">
        <v>1</v>
      </c>
      <c r="I1738" s="7">
        <v>0.56083181339430199</v>
      </c>
      <c r="J1738" s="6">
        <v>0</v>
      </c>
      <c r="K1738" s="6">
        <v>0.60348020787262302</v>
      </c>
      <c r="L1738">
        <v>-1.85865851465564</v>
      </c>
      <c r="M1738">
        <v>0.65402295581610603</v>
      </c>
    </row>
    <row r="1739" spans="1:13" x14ac:dyDescent="0.25">
      <c r="A1739">
        <v>405</v>
      </c>
      <c r="B1739" t="str">
        <f>"PGM3"</f>
        <v>PGM3</v>
      </c>
      <c r="C1739" t="str">
        <f>""</f>
        <v/>
      </c>
      <c r="D1739">
        <v>59.850999999999999</v>
      </c>
      <c r="E1739">
        <v>3.9</v>
      </c>
      <c r="F1739">
        <v>1</v>
      </c>
      <c r="G1739">
        <v>0</v>
      </c>
      <c r="H1739">
        <v>1</v>
      </c>
      <c r="I1739" s="7">
        <v>0.56083181339430199</v>
      </c>
      <c r="J1739" s="6">
        <v>0</v>
      </c>
      <c r="K1739" s="6">
        <v>0.60348020787262302</v>
      </c>
      <c r="L1739">
        <v>-1.85865851465564</v>
      </c>
      <c r="M1739">
        <v>0.65402295581610603</v>
      </c>
    </row>
    <row r="1740" spans="1:13" x14ac:dyDescent="0.25">
      <c r="A1740">
        <v>611</v>
      </c>
      <c r="B1740" t="str">
        <f>"DLD"</f>
        <v>DLD</v>
      </c>
      <c r="C1740" t="str">
        <f>""</f>
        <v/>
      </c>
      <c r="D1740">
        <v>43.587000000000003</v>
      </c>
      <c r="E1740">
        <v>7.8</v>
      </c>
      <c r="F1740">
        <v>1</v>
      </c>
      <c r="G1740">
        <v>0</v>
      </c>
      <c r="H1740">
        <v>1</v>
      </c>
      <c r="I1740" s="7">
        <v>0.56083181339430199</v>
      </c>
      <c r="J1740" s="6">
        <v>0</v>
      </c>
      <c r="K1740" s="6">
        <v>0.60348020787262302</v>
      </c>
      <c r="L1740">
        <v>-1.85865851465564</v>
      </c>
      <c r="M1740">
        <v>0.65402295581610603</v>
      </c>
    </row>
    <row r="1741" spans="1:13" x14ac:dyDescent="0.25">
      <c r="A1741">
        <v>626</v>
      </c>
      <c r="B1741" t="str">
        <f>""</f>
        <v/>
      </c>
      <c r="C1741" t="str">
        <f>""</f>
        <v/>
      </c>
      <c r="D1741">
        <v>28.306000000000001</v>
      </c>
      <c r="E1741">
        <v>4.7</v>
      </c>
      <c r="F1741">
        <v>1</v>
      </c>
      <c r="G1741">
        <v>0</v>
      </c>
      <c r="H1741">
        <v>1</v>
      </c>
      <c r="I1741" s="7">
        <v>0.56083181339430199</v>
      </c>
      <c r="J1741" s="6">
        <v>0</v>
      </c>
      <c r="K1741" s="6">
        <v>0.60348020787262302</v>
      </c>
      <c r="L1741">
        <v>-1.85865851465564</v>
      </c>
      <c r="M1741">
        <v>0.65402295581610603</v>
      </c>
    </row>
    <row r="1742" spans="1:13" x14ac:dyDescent="0.25">
      <c r="A1742">
        <v>712</v>
      </c>
      <c r="B1742" t="str">
        <f>"GLB1"</f>
        <v>GLB1</v>
      </c>
      <c r="C1742" t="str">
        <f>""</f>
        <v/>
      </c>
      <c r="D1742">
        <v>60.534999999999997</v>
      </c>
      <c r="E1742">
        <v>2.7</v>
      </c>
      <c r="F1742">
        <v>1</v>
      </c>
      <c r="G1742">
        <v>0</v>
      </c>
      <c r="H1742">
        <v>1</v>
      </c>
      <c r="I1742" s="7">
        <v>0.56083181339430199</v>
      </c>
      <c r="J1742" s="6">
        <v>0</v>
      </c>
      <c r="K1742" s="6">
        <v>0.60348020787262302</v>
      </c>
      <c r="L1742">
        <v>-1.85865851465564</v>
      </c>
      <c r="M1742">
        <v>0.65402295581610603</v>
      </c>
    </row>
    <row r="1743" spans="1:13" x14ac:dyDescent="0.25">
      <c r="A1743">
        <v>746</v>
      </c>
      <c r="B1743" t="str">
        <f>"PLCG1"</f>
        <v>PLCG1</v>
      </c>
      <c r="C1743" t="str">
        <f>""</f>
        <v/>
      </c>
      <c r="D1743">
        <v>148.53</v>
      </c>
      <c r="E1743">
        <v>0.7</v>
      </c>
      <c r="F1743">
        <v>1</v>
      </c>
      <c r="G1743">
        <v>0</v>
      </c>
      <c r="H1743">
        <v>1</v>
      </c>
      <c r="I1743" s="7">
        <v>0.56083181339430199</v>
      </c>
      <c r="J1743" s="6">
        <v>0</v>
      </c>
      <c r="K1743" s="6">
        <v>0.60348020787262302</v>
      </c>
      <c r="L1743">
        <v>-1.85865851465564</v>
      </c>
      <c r="M1743">
        <v>0.65402295581610603</v>
      </c>
    </row>
    <row r="1744" spans="1:13" x14ac:dyDescent="0.25">
      <c r="A1744">
        <v>775</v>
      </c>
      <c r="B1744" t="str">
        <f>"ATP6V1B2"</f>
        <v>ATP6V1B2</v>
      </c>
      <c r="C1744" t="str">
        <f>""</f>
        <v/>
      </c>
      <c r="D1744">
        <v>56.5</v>
      </c>
      <c r="E1744">
        <v>2.2999999999999998</v>
      </c>
      <c r="F1744">
        <v>1</v>
      </c>
      <c r="G1744">
        <v>0</v>
      </c>
      <c r="H1744">
        <v>1</v>
      </c>
      <c r="I1744" s="7">
        <v>0.56083181339430199</v>
      </c>
      <c r="J1744" s="6">
        <v>0</v>
      </c>
      <c r="K1744" s="6">
        <v>0.60348020787262302</v>
      </c>
      <c r="L1744">
        <v>-1.85865851465564</v>
      </c>
      <c r="M1744">
        <v>0.65402295581610603</v>
      </c>
    </row>
    <row r="1745" spans="1:13" x14ac:dyDescent="0.25">
      <c r="A1745">
        <v>837</v>
      </c>
      <c r="B1745" t="str">
        <f>"MGAT1"</f>
        <v>MGAT1</v>
      </c>
      <c r="C1745" t="str">
        <f>""</f>
        <v/>
      </c>
      <c r="D1745">
        <v>50.878</v>
      </c>
      <c r="E1745">
        <v>1.8</v>
      </c>
      <c r="F1745">
        <v>1</v>
      </c>
      <c r="G1745">
        <v>0</v>
      </c>
      <c r="H1745">
        <v>1</v>
      </c>
      <c r="I1745" s="7">
        <v>0.56083181339430199</v>
      </c>
      <c r="J1745" s="6">
        <v>0</v>
      </c>
      <c r="K1745" s="6">
        <v>0.60348020787262302</v>
      </c>
      <c r="L1745">
        <v>-1.85865851465564</v>
      </c>
      <c r="M1745">
        <v>0.65402295581610603</v>
      </c>
    </row>
    <row r="1746" spans="1:13" x14ac:dyDescent="0.25">
      <c r="A1746">
        <v>935</v>
      </c>
      <c r="B1746" t="str">
        <f>"SHMT1"</f>
        <v>SHMT1</v>
      </c>
      <c r="C1746" t="str">
        <f>""</f>
        <v/>
      </c>
      <c r="D1746">
        <v>49.027000000000001</v>
      </c>
      <c r="E1746">
        <v>4.0999999999999996</v>
      </c>
      <c r="F1746">
        <v>1</v>
      </c>
      <c r="G1746">
        <v>0</v>
      </c>
      <c r="H1746">
        <v>1</v>
      </c>
      <c r="I1746" s="7">
        <v>0.56083181339430199</v>
      </c>
      <c r="J1746" s="6">
        <v>0</v>
      </c>
      <c r="K1746" s="6">
        <v>0.60348020787262302</v>
      </c>
      <c r="L1746">
        <v>-1.85865851465564</v>
      </c>
      <c r="M1746">
        <v>0.65402295581610603</v>
      </c>
    </row>
    <row r="1747" spans="1:13" x14ac:dyDescent="0.25">
      <c r="A1747">
        <v>1074</v>
      </c>
      <c r="B1747" t="str">
        <f>"LIMS1;LIMS2"</f>
        <v>LIMS1;LIMS2</v>
      </c>
      <c r="C1747" t="str">
        <f>""</f>
        <v/>
      </c>
      <c r="D1747">
        <v>37.250999999999998</v>
      </c>
      <c r="E1747">
        <v>8</v>
      </c>
      <c r="F1747">
        <v>1</v>
      </c>
      <c r="G1747">
        <v>0</v>
      </c>
      <c r="H1747">
        <v>1</v>
      </c>
      <c r="I1747" s="7">
        <v>0.56083181339430199</v>
      </c>
      <c r="J1747" s="6">
        <v>0</v>
      </c>
      <c r="K1747" s="6">
        <v>0.60348020787262302</v>
      </c>
      <c r="L1747">
        <v>-1.85865851465564</v>
      </c>
      <c r="M1747">
        <v>0.65402295581610603</v>
      </c>
    </row>
    <row r="1748" spans="1:13" x14ac:dyDescent="0.25">
      <c r="A1748">
        <v>1095</v>
      </c>
      <c r="B1748" t="str">
        <f>"FNTA"</f>
        <v>FNTA</v>
      </c>
      <c r="C1748" t="str">
        <f>""</f>
        <v/>
      </c>
      <c r="D1748">
        <v>44.408000000000001</v>
      </c>
      <c r="E1748">
        <v>5.3</v>
      </c>
      <c r="F1748">
        <v>1</v>
      </c>
      <c r="G1748">
        <v>0</v>
      </c>
      <c r="H1748">
        <v>1</v>
      </c>
      <c r="I1748" s="7">
        <v>0.56083181339430199</v>
      </c>
      <c r="J1748" s="6">
        <v>0</v>
      </c>
      <c r="K1748" s="6">
        <v>0.60348020787262302</v>
      </c>
      <c r="L1748">
        <v>-1.85865851465564</v>
      </c>
      <c r="M1748">
        <v>0.65402295581610603</v>
      </c>
    </row>
    <row r="1749" spans="1:13" x14ac:dyDescent="0.25">
      <c r="A1749">
        <v>1100</v>
      </c>
      <c r="B1749" t="str">
        <f>"ARRB1"</f>
        <v>ARRB1</v>
      </c>
      <c r="C1749" t="str">
        <f>""</f>
        <v/>
      </c>
      <c r="D1749">
        <v>46.308</v>
      </c>
      <c r="E1749">
        <v>4.4000000000000004</v>
      </c>
      <c r="F1749">
        <v>1</v>
      </c>
      <c r="G1749">
        <v>0</v>
      </c>
      <c r="H1749">
        <v>1</v>
      </c>
      <c r="I1749" s="7">
        <v>0.56083181339430199</v>
      </c>
      <c r="J1749" s="6">
        <v>0</v>
      </c>
      <c r="K1749" s="6">
        <v>0.60348020787262302</v>
      </c>
      <c r="L1749">
        <v>-1.85865851465564</v>
      </c>
      <c r="M1749">
        <v>0.65402295581610603</v>
      </c>
    </row>
    <row r="1750" spans="1:13" x14ac:dyDescent="0.25">
      <c r="A1750">
        <v>1106</v>
      </c>
      <c r="B1750" t="str">
        <f>"CARS"</f>
        <v>CARS</v>
      </c>
      <c r="C1750" t="str">
        <f>""</f>
        <v/>
      </c>
      <c r="D1750">
        <v>82.844999999999999</v>
      </c>
      <c r="E1750">
        <v>5.5</v>
      </c>
      <c r="F1750">
        <v>1</v>
      </c>
      <c r="G1750">
        <v>0</v>
      </c>
      <c r="H1750">
        <v>1</v>
      </c>
      <c r="I1750" s="7">
        <v>0.56083181339430199</v>
      </c>
      <c r="J1750" s="6">
        <v>0</v>
      </c>
      <c r="K1750" s="6">
        <v>0.60348020787262302</v>
      </c>
      <c r="L1750">
        <v>-1.85865851465564</v>
      </c>
      <c r="M1750">
        <v>0.65402295581610603</v>
      </c>
    </row>
    <row r="1751" spans="1:13" x14ac:dyDescent="0.25">
      <c r="A1751">
        <v>1163</v>
      </c>
      <c r="B1751" t="str">
        <f>"ALDH3A2"</f>
        <v>ALDH3A2</v>
      </c>
      <c r="C1751" t="str">
        <f>""</f>
        <v/>
      </c>
      <c r="D1751">
        <v>54.847000000000001</v>
      </c>
      <c r="E1751">
        <v>5.8</v>
      </c>
      <c r="F1751">
        <v>1</v>
      </c>
      <c r="G1751">
        <v>0</v>
      </c>
      <c r="H1751">
        <v>1</v>
      </c>
      <c r="I1751" s="7">
        <v>0.56083181339430199</v>
      </c>
      <c r="J1751" s="6">
        <v>0</v>
      </c>
      <c r="K1751" s="6">
        <v>0.60348020787262302</v>
      </c>
      <c r="L1751">
        <v>-1.85865851465564</v>
      </c>
      <c r="M1751">
        <v>0.65402295581610603</v>
      </c>
    </row>
    <row r="1752" spans="1:13" x14ac:dyDescent="0.25">
      <c r="A1752">
        <v>1249</v>
      </c>
      <c r="B1752" t="str">
        <f>"C21orf59"</f>
        <v>C21orf59</v>
      </c>
      <c r="C1752" t="str">
        <f>""</f>
        <v/>
      </c>
      <c r="D1752">
        <v>33.223999999999997</v>
      </c>
      <c r="E1752">
        <v>3.8</v>
      </c>
      <c r="F1752">
        <v>1</v>
      </c>
      <c r="G1752">
        <v>0</v>
      </c>
      <c r="H1752">
        <v>1</v>
      </c>
      <c r="I1752" s="7">
        <v>0.56083181339430199</v>
      </c>
      <c r="J1752" s="6">
        <v>0</v>
      </c>
      <c r="K1752" s="6">
        <v>0.60348020787262302</v>
      </c>
      <c r="L1752">
        <v>-1.85865851465564</v>
      </c>
      <c r="M1752">
        <v>0.65402295581610603</v>
      </c>
    </row>
    <row r="1753" spans="1:13" x14ac:dyDescent="0.25">
      <c r="A1753">
        <v>1438</v>
      </c>
      <c r="B1753" t="str">
        <f>"MAP2K1;MAP2K2"</f>
        <v>MAP2K1;MAP2K2</v>
      </c>
      <c r="C1753" t="str">
        <f>"MAP2K1;MAP2K2"</f>
        <v>MAP2K1;MAP2K2</v>
      </c>
      <c r="D1753">
        <v>40.762999999999998</v>
      </c>
      <c r="E1753">
        <v>15.3</v>
      </c>
      <c r="F1753">
        <v>1</v>
      </c>
      <c r="G1753">
        <v>0</v>
      </c>
      <c r="H1753">
        <v>1</v>
      </c>
      <c r="I1753" s="7">
        <v>0.56083181339430199</v>
      </c>
      <c r="J1753" s="6">
        <v>0</v>
      </c>
      <c r="K1753" s="6">
        <v>0.60348020787262302</v>
      </c>
      <c r="L1753">
        <v>-1.85865851465564</v>
      </c>
      <c r="M1753">
        <v>0.65402295581610603</v>
      </c>
    </row>
    <row r="1754" spans="1:13" x14ac:dyDescent="0.25">
      <c r="A1754">
        <v>1467</v>
      </c>
      <c r="B1754" t="str">
        <f>"RBPJ"</f>
        <v>RBPJ</v>
      </c>
      <c r="C1754" t="str">
        <f>""</f>
        <v/>
      </c>
      <c r="D1754">
        <v>45.640999999999998</v>
      </c>
      <c r="E1754">
        <v>2.7</v>
      </c>
      <c r="F1754">
        <v>1</v>
      </c>
      <c r="G1754">
        <v>0</v>
      </c>
      <c r="H1754">
        <v>1</v>
      </c>
      <c r="I1754" s="7">
        <v>0.56083181339430199</v>
      </c>
      <c r="J1754" s="6">
        <v>0</v>
      </c>
      <c r="K1754" s="6">
        <v>0.60348020787262302</v>
      </c>
      <c r="L1754">
        <v>-1.85865851465564</v>
      </c>
      <c r="M1754">
        <v>0.65402295581610603</v>
      </c>
    </row>
    <row r="1755" spans="1:13" x14ac:dyDescent="0.25">
      <c r="A1755">
        <v>1498</v>
      </c>
      <c r="B1755" t="str">
        <f>"GALNT2"</f>
        <v>GALNT2</v>
      </c>
      <c r="C1755" t="str">
        <f>""</f>
        <v/>
      </c>
      <c r="D1755">
        <v>64.731999999999999</v>
      </c>
      <c r="E1755">
        <v>1.4</v>
      </c>
      <c r="F1755">
        <v>1</v>
      </c>
      <c r="G1755">
        <v>0</v>
      </c>
      <c r="H1755">
        <v>1</v>
      </c>
      <c r="I1755" s="7">
        <v>0.56083181339430199</v>
      </c>
      <c r="J1755" s="6">
        <v>0</v>
      </c>
      <c r="K1755" s="6">
        <v>0.60348020787262302</v>
      </c>
      <c r="L1755">
        <v>-1.85865851465564</v>
      </c>
      <c r="M1755">
        <v>0.65402295581610603</v>
      </c>
    </row>
    <row r="1756" spans="1:13" x14ac:dyDescent="0.25">
      <c r="A1756">
        <v>1645</v>
      </c>
      <c r="B1756" t="str">
        <f>"FRG1"</f>
        <v>FRG1</v>
      </c>
      <c r="C1756" t="str">
        <f>""</f>
        <v/>
      </c>
      <c r="D1756">
        <v>29.172000000000001</v>
      </c>
      <c r="E1756">
        <v>9.3000000000000007</v>
      </c>
      <c r="F1756">
        <v>1</v>
      </c>
      <c r="G1756">
        <v>0</v>
      </c>
      <c r="H1756">
        <v>1</v>
      </c>
      <c r="I1756" s="7">
        <v>0.56083181339430199</v>
      </c>
      <c r="J1756" s="6">
        <v>0</v>
      </c>
      <c r="K1756" s="6">
        <v>0.60348020787262302</v>
      </c>
      <c r="L1756">
        <v>-1.85865851465564</v>
      </c>
      <c r="M1756">
        <v>0.65402295581610603</v>
      </c>
    </row>
    <row r="1757" spans="1:13" x14ac:dyDescent="0.25">
      <c r="A1757">
        <v>1753</v>
      </c>
      <c r="B1757" t="str">
        <f>"ETFDH"</f>
        <v>ETFDH</v>
      </c>
      <c r="C1757" t="str">
        <f>""</f>
        <v/>
      </c>
      <c r="D1757">
        <v>62.823999999999998</v>
      </c>
      <c r="E1757">
        <v>2.6</v>
      </c>
      <c r="F1757">
        <v>1</v>
      </c>
      <c r="G1757">
        <v>0</v>
      </c>
      <c r="H1757">
        <v>1</v>
      </c>
      <c r="I1757" s="7">
        <v>0.56083181339430199</v>
      </c>
      <c r="J1757" s="6">
        <v>0</v>
      </c>
      <c r="K1757" s="6">
        <v>0.60348020787262302</v>
      </c>
      <c r="L1757">
        <v>-1.85865851465564</v>
      </c>
      <c r="M1757">
        <v>0.65402295581610603</v>
      </c>
    </row>
    <row r="1758" spans="1:13" x14ac:dyDescent="0.25">
      <c r="A1758">
        <v>1819</v>
      </c>
      <c r="B1758" t="str">
        <f>"ARID4B"</f>
        <v>ARID4B</v>
      </c>
      <c r="C1758" t="str">
        <f>""</f>
        <v/>
      </c>
      <c r="D1758">
        <v>130.41999999999999</v>
      </c>
      <c r="E1758">
        <v>1.7</v>
      </c>
      <c r="F1758">
        <v>1</v>
      </c>
      <c r="G1758">
        <v>0</v>
      </c>
      <c r="H1758">
        <v>1</v>
      </c>
      <c r="I1758" s="7">
        <v>0.56083181339430199</v>
      </c>
      <c r="J1758" s="6">
        <v>0</v>
      </c>
      <c r="K1758" s="6">
        <v>0.60348020787262302</v>
      </c>
      <c r="L1758">
        <v>-1.85865851465564</v>
      </c>
      <c r="M1758">
        <v>0.65402295581610603</v>
      </c>
    </row>
    <row r="1759" spans="1:13" x14ac:dyDescent="0.25">
      <c r="A1759">
        <v>1859</v>
      </c>
      <c r="B1759" t="str">
        <f>"GPATCH4"</f>
        <v>GPATCH4</v>
      </c>
      <c r="C1759" t="str">
        <f>""</f>
        <v/>
      </c>
      <c r="D1759">
        <v>50.381</v>
      </c>
      <c r="E1759">
        <v>1.8</v>
      </c>
      <c r="F1759">
        <v>1</v>
      </c>
      <c r="G1759">
        <v>0</v>
      </c>
      <c r="H1759">
        <v>1</v>
      </c>
      <c r="I1759" s="7">
        <v>0.56083181339430199</v>
      </c>
      <c r="J1759" s="6">
        <v>0</v>
      </c>
      <c r="K1759" s="6">
        <v>0.60348020787262302</v>
      </c>
      <c r="L1759">
        <v>-1.85865851465564</v>
      </c>
      <c r="M1759">
        <v>0.65402295581610603</v>
      </c>
    </row>
    <row r="1760" spans="1:13" x14ac:dyDescent="0.25">
      <c r="A1760">
        <v>1917</v>
      </c>
      <c r="B1760" t="str">
        <f>"PDE12"</f>
        <v>PDE12</v>
      </c>
      <c r="C1760" t="str">
        <f>""</f>
        <v/>
      </c>
      <c r="D1760">
        <v>58.889000000000003</v>
      </c>
      <c r="E1760">
        <v>2.2000000000000002</v>
      </c>
      <c r="F1760">
        <v>1</v>
      </c>
      <c r="G1760">
        <v>0</v>
      </c>
      <c r="H1760">
        <v>1</v>
      </c>
      <c r="I1760" s="7">
        <v>0.56083181339430199</v>
      </c>
      <c r="J1760" s="6">
        <v>0</v>
      </c>
      <c r="K1760" s="6">
        <v>0.60348020787262302</v>
      </c>
      <c r="L1760">
        <v>-1.85865851465564</v>
      </c>
      <c r="M1760">
        <v>0.65402295581610603</v>
      </c>
    </row>
    <row r="1761" spans="1:13" x14ac:dyDescent="0.25">
      <c r="A1761">
        <v>1918</v>
      </c>
      <c r="B1761" t="str">
        <f>"LIN54"</f>
        <v>LIN54</v>
      </c>
      <c r="C1761" t="str">
        <f>""</f>
        <v/>
      </c>
      <c r="D1761">
        <v>70.376999999999995</v>
      </c>
      <c r="E1761">
        <v>5.9</v>
      </c>
      <c r="F1761">
        <v>1</v>
      </c>
      <c r="G1761">
        <v>0</v>
      </c>
      <c r="H1761">
        <v>1</v>
      </c>
      <c r="I1761" s="7">
        <v>0.56083181339430199</v>
      </c>
      <c r="J1761" s="6">
        <v>0</v>
      </c>
      <c r="K1761" s="6">
        <v>0.60348020787262302</v>
      </c>
      <c r="L1761">
        <v>-1.85865851465564</v>
      </c>
      <c r="M1761">
        <v>0.65402295581610603</v>
      </c>
    </row>
    <row r="1762" spans="1:13" x14ac:dyDescent="0.25">
      <c r="A1762">
        <v>1951</v>
      </c>
      <c r="B1762" t="str">
        <f>"TRAF7"</f>
        <v>TRAF7</v>
      </c>
      <c r="C1762" t="str">
        <f>""</f>
        <v/>
      </c>
      <c r="D1762">
        <v>66.540999999999997</v>
      </c>
      <c r="E1762">
        <v>1.7</v>
      </c>
      <c r="F1762">
        <v>1</v>
      </c>
      <c r="G1762">
        <v>0</v>
      </c>
      <c r="H1762">
        <v>1</v>
      </c>
      <c r="I1762" s="7">
        <v>0.56083181339430199</v>
      </c>
      <c r="J1762" s="6">
        <v>0</v>
      </c>
      <c r="K1762" s="6">
        <v>0.60348020787262302</v>
      </c>
      <c r="L1762">
        <v>-1.85865851465564</v>
      </c>
      <c r="M1762">
        <v>0.65402295581610603</v>
      </c>
    </row>
    <row r="1763" spans="1:13" x14ac:dyDescent="0.25">
      <c r="A1763">
        <v>1962</v>
      </c>
      <c r="B1763" t="str">
        <f>"LCLAT1"</f>
        <v>LCLAT1</v>
      </c>
      <c r="C1763" t="str">
        <f>""</f>
        <v/>
      </c>
      <c r="D1763">
        <v>44.561</v>
      </c>
      <c r="E1763">
        <v>5.6</v>
      </c>
      <c r="F1763">
        <v>1</v>
      </c>
      <c r="G1763">
        <v>0</v>
      </c>
      <c r="H1763">
        <v>1</v>
      </c>
      <c r="I1763" s="7">
        <v>0.56083181339430199</v>
      </c>
      <c r="J1763" s="6">
        <v>0</v>
      </c>
      <c r="K1763" s="6">
        <v>0.60348020787262302</v>
      </c>
      <c r="L1763">
        <v>-1.85865851465564</v>
      </c>
      <c r="M1763">
        <v>0.65402295581610603</v>
      </c>
    </row>
    <row r="1764" spans="1:13" x14ac:dyDescent="0.25">
      <c r="A1764">
        <v>2020</v>
      </c>
      <c r="B1764" t="str">
        <f>"SZRD1"</f>
        <v>SZRD1</v>
      </c>
      <c r="C1764" t="str">
        <f>""</f>
        <v/>
      </c>
      <c r="D1764">
        <v>14.603999999999999</v>
      </c>
      <c r="E1764">
        <v>15.9</v>
      </c>
      <c r="F1764">
        <v>1</v>
      </c>
      <c r="G1764">
        <v>0</v>
      </c>
      <c r="H1764">
        <v>1</v>
      </c>
      <c r="I1764" s="7">
        <v>0.56083181339430199</v>
      </c>
      <c r="J1764" s="6">
        <v>0</v>
      </c>
      <c r="K1764" s="6">
        <v>0.60348020787262302</v>
      </c>
      <c r="L1764">
        <v>-1.85865851465564</v>
      </c>
      <c r="M1764">
        <v>0.65402295581610603</v>
      </c>
    </row>
    <row r="1765" spans="1:13" x14ac:dyDescent="0.25">
      <c r="A1765">
        <v>2085</v>
      </c>
      <c r="B1765" t="str">
        <f>"CRLF3"</f>
        <v>CRLF3</v>
      </c>
      <c r="C1765" t="str">
        <f>""</f>
        <v/>
      </c>
      <c r="D1765">
        <v>49.35</v>
      </c>
      <c r="E1765">
        <v>7.3</v>
      </c>
      <c r="F1765">
        <v>1</v>
      </c>
      <c r="G1765">
        <v>0</v>
      </c>
      <c r="H1765">
        <v>1</v>
      </c>
      <c r="I1765" s="7">
        <v>0.56083181339430199</v>
      </c>
      <c r="J1765" s="6">
        <v>0</v>
      </c>
      <c r="K1765" s="6">
        <v>0.60348020787262302</v>
      </c>
      <c r="L1765">
        <v>-1.85865851465564</v>
      </c>
      <c r="M1765">
        <v>0.65402295581610603</v>
      </c>
    </row>
    <row r="1766" spans="1:13" x14ac:dyDescent="0.25">
      <c r="A1766">
        <v>2098</v>
      </c>
      <c r="B1766" t="str">
        <f>"UBR2"</f>
        <v>UBR2</v>
      </c>
      <c r="C1766" t="str">
        <f>""</f>
        <v/>
      </c>
      <c r="D1766">
        <v>49.976999999999997</v>
      </c>
      <c r="E1766">
        <v>4.5999999999999996</v>
      </c>
      <c r="F1766">
        <v>1</v>
      </c>
      <c r="G1766">
        <v>0</v>
      </c>
      <c r="H1766">
        <v>1</v>
      </c>
      <c r="I1766" s="7">
        <v>0.56083181339430199</v>
      </c>
      <c r="J1766" s="6">
        <v>0</v>
      </c>
      <c r="K1766" s="6">
        <v>0.60348020787262302</v>
      </c>
      <c r="L1766">
        <v>-1.85865851465564</v>
      </c>
      <c r="M1766">
        <v>0.65402295581610603</v>
      </c>
    </row>
    <row r="1767" spans="1:13" x14ac:dyDescent="0.25">
      <c r="A1767">
        <v>2104</v>
      </c>
      <c r="B1767" t="str">
        <f>"KBTBD2"</f>
        <v>KBTBD2</v>
      </c>
      <c r="C1767" t="str">
        <f>""</f>
        <v/>
      </c>
      <c r="D1767">
        <v>71.33</v>
      </c>
      <c r="E1767">
        <v>1.6</v>
      </c>
      <c r="F1767">
        <v>1</v>
      </c>
      <c r="G1767">
        <v>0</v>
      </c>
      <c r="H1767">
        <v>1</v>
      </c>
      <c r="I1767" s="7">
        <v>0.56083181339430199</v>
      </c>
      <c r="J1767" s="6">
        <v>0</v>
      </c>
      <c r="K1767" s="6">
        <v>0.60348020787262302</v>
      </c>
      <c r="L1767">
        <v>-1.85865851465564</v>
      </c>
      <c r="M1767">
        <v>0.65402295581610603</v>
      </c>
    </row>
    <row r="1768" spans="1:13" x14ac:dyDescent="0.25">
      <c r="A1768">
        <v>2166</v>
      </c>
      <c r="B1768" t="str">
        <f>"PRPF38A"</f>
        <v>PRPF38A</v>
      </c>
      <c r="C1768" t="str">
        <f>""</f>
        <v/>
      </c>
      <c r="D1768">
        <v>37.475999999999999</v>
      </c>
      <c r="E1768">
        <v>3.2</v>
      </c>
      <c r="F1768">
        <v>1</v>
      </c>
      <c r="G1768">
        <v>0</v>
      </c>
      <c r="H1768">
        <v>1</v>
      </c>
      <c r="I1768" s="7">
        <v>0.56083181339430199</v>
      </c>
      <c r="J1768" s="6">
        <v>0</v>
      </c>
      <c r="K1768" s="6">
        <v>0.60348020787262302</v>
      </c>
      <c r="L1768">
        <v>-1.85865851465564</v>
      </c>
      <c r="M1768">
        <v>0.65402295581610603</v>
      </c>
    </row>
    <row r="1769" spans="1:13" x14ac:dyDescent="0.25">
      <c r="A1769">
        <v>2171</v>
      </c>
      <c r="B1769" t="str">
        <f>"POGLUT1"</f>
        <v>POGLUT1</v>
      </c>
      <c r="C1769" t="str">
        <f>""</f>
        <v/>
      </c>
      <c r="D1769">
        <v>46.189</v>
      </c>
      <c r="E1769">
        <v>8.9</v>
      </c>
      <c r="F1769">
        <v>1</v>
      </c>
      <c r="G1769">
        <v>0</v>
      </c>
      <c r="H1769">
        <v>1</v>
      </c>
      <c r="I1769" s="7">
        <v>0.56083181339430199</v>
      </c>
      <c r="J1769" s="6">
        <v>0</v>
      </c>
      <c r="K1769" s="6">
        <v>0.60348020787262302</v>
      </c>
      <c r="L1769">
        <v>-1.85865851465564</v>
      </c>
      <c r="M1769">
        <v>0.65402295581610603</v>
      </c>
    </row>
    <row r="1770" spans="1:13" x14ac:dyDescent="0.25">
      <c r="A1770">
        <v>2193</v>
      </c>
      <c r="B1770" t="str">
        <f>"SYNE1"</f>
        <v>SYNE1</v>
      </c>
      <c r="C1770" t="str">
        <f>""</f>
        <v/>
      </c>
      <c r="D1770">
        <v>1005.2</v>
      </c>
      <c r="E1770">
        <v>0.3</v>
      </c>
      <c r="F1770">
        <v>1</v>
      </c>
      <c r="G1770">
        <v>0</v>
      </c>
      <c r="H1770">
        <v>1</v>
      </c>
      <c r="I1770" s="7">
        <v>0.56083181339430199</v>
      </c>
      <c r="J1770" s="6">
        <v>0</v>
      </c>
      <c r="K1770" s="6">
        <v>0.60348020787262302</v>
      </c>
      <c r="L1770">
        <v>-1.85865851465564</v>
      </c>
      <c r="M1770">
        <v>0.65402295581610603</v>
      </c>
    </row>
    <row r="1771" spans="1:13" x14ac:dyDescent="0.25">
      <c r="A1771">
        <v>2205</v>
      </c>
      <c r="B1771" t="str">
        <f>"EXOC6"</f>
        <v>EXOC6</v>
      </c>
      <c r="C1771" t="str">
        <f>""</f>
        <v/>
      </c>
      <c r="D1771">
        <v>93.406000000000006</v>
      </c>
      <c r="E1771">
        <v>1.5</v>
      </c>
      <c r="F1771">
        <v>1</v>
      </c>
      <c r="G1771">
        <v>0</v>
      </c>
      <c r="H1771">
        <v>1</v>
      </c>
      <c r="I1771" s="7">
        <v>0.56083181339430199</v>
      </c>
      <c r="J1771" s="6">
        <v>0</v>
      </c>
      <c r="K1771" s="6">
        <v>0.60348020787262302</v>
      </c>
      <c r="L1771">
        <v>-1.85865851465564</v>
      </c>
      <c r="M1771">
        <v>0.65402295581610603</v>
      </c>
    </row>
    <row r="1772" spans="1:13" x14ac:dyDescent="0.25">
      <c r="A1772">
        <v>2228</v>
      </c>
      <c r="B1772" t="str">
        <f>"RAPGEF6"</f>
        <v>RAPGEF6</v>
      </c>
      <c r="C1772" t="str">
        <f>""</f>
        <v/>
      </c>
      <c r="D1772">
        <v>168.91</v>
      </c>
      <c r="E1772">
        <v>2.2000000000000002</v>
      </c>
      <c r="F1772">
        <v>1</v>
      </c>
      <c r="G1772">
        <v>0</v>
      </c>
      <c r="H1772">
        <v>1</v>
      </c>
      <c r="I1772" s="7">
        <v>0.56083181339430199</v>
      </c>
      <c r="J1772" s="6">
        <v>0</v>
      </c>
      <c r="K1772" s="6">
        <v>0.60348020787262302</v>
      </c>
      <c r="L1772">
        <v>-1.85865851465564</v>
      </c>
      <c r="M1772">
        <v>0.65402295581610603</v>
      </c>
    </row>
    <row r="1773" spans="1:13" x14ac:dyDescent="0.25">
      <c r="A1773">
        <v>2235</v>
      </c>
      <c r="B1773" t="str">
        <f>"PPIL4"</f>
        <v>PPIL4</v>
      </c>
      <c r="C1773" t="str">
        <f>""</f>
        <v/>
      </c>
      <c r="D1773">
        <v>57.223999999999997</v>
      </c>
      <c r="E1773">
        <v>5.9</v>
      </c>
      <c r="F1773">
        <v>1</v>
      </c>
      <c r="G1773">
        <v>0</v>
      </c>
      <c r="H1773">
        <v>1</v>
      </c>
      <c r="I1773" s="7">
        <v>0.56083181339430199</v>
      </c>
      <c r="J1773" s="6">
        <v>0</v>
      </c>
      <c r="K1773" s="6">
        <v>0.60348020787262302</v>
      </c>
      <c r="L1773">
        <v>-1.85865851465564</v>
      </c>
      <c r="M1773">
        <v>0.65402295581610603</v>
      </c>
    </row>
    <row r="1774" spans="1:13" x14ac:dyDescent="0.25">
      <c r="A1774">
        <v>2314</v>
      </c>
      <c r="B1774" t="str">
        <f>"CUL5"</f>
        <v>CUL5</v>
      </c>
      <c r="C1774" t="str">
        <f>""</f>
        <v/>
      </c>
      <c r="D1774">
        <v>90.953999999999994</v>
      </c>
      <c r="E1774">
        <v>2.9</v>
      </c>
      <c r="F1774">
        <v>1</v>
      </c>
      <c r="G1774">
        <v>0</v>
      </c>
      <c r="H1774">
        <v>1</v>
      </c>
      <c r="I1774" s="7">
        <v>0.56083181339430199</v>
      </c>
      <c r="J1774" s="6">
        <v>0</v>
      </c>
      <c r="K1774" s="6">
        <v>0.60348020787262302</v>
      </c>
      <c r="L1774">
        <v>-1.85865851465564</v>
      </c>
      <c r="M1774">
        <v>0.65402295581610603</v>
      </c>
    </row>
    <row r="1775" spans="1:13" x14ac:dyDescent="0.25">
      <c r="A1775">
        <v>2329</v>
      </c>
      <c r="B1775" t="str">
        <f>"EXOC4"</f>
        <v>EXOC4</v>
      </c>
      <c r="C1775" t="str">
        <f>""</f>
        <v/>
      </c>
      <c r="D1775">
        <v>53.856000000000002</v>
      </c>
      <c r="E1775">
        <v>6.8</v>
      </c>
      <c r="F1775">
        <v>1</v>
      </c>
      <c r="G1775">
        <v>0</v>
      </c>
      <c r="H1775">
        <v>1</v>
      </c>
      <c r="I1775" s="7">
        <v>0.56083181339430199</v>
      </c>
      <c r="J1775" s="6">
        <v>0</v>
      </c>
      <c r="K1775" s="6">
        <v>0.60348020787262302</v>
      </c>
      <c r="L1775">
        <v>-1.85865851465564</v>
      </c>
      <c r="M1775">
        <v>0.65402295581610603</v>
      </c>
    </row>
    <row r="1776" spans="1:13" x14ac:dyDescent="0.25">
      <c r="A1776">
        <v>2356</v>
      </c>
      <c r="B1776" t="str">
        <f>"NMD3"</f>
        <v>NMD3</v>
      </c>
      <c r="C1776" t="str">
        <f>""</f>
        <v/>
      </c>
      <c r="D1776">
        <v>57.603000000000002</v>
      </c>
      <c r="E1776">
        <v>7.2</v>
      </c>
      <c r="F1776">
        <v>1</v>
      </c>
      <c r="G1776">
        <v>0</v>
      </c>
      <c r="H1776">
        <v>1</v>
      </c>
      <c r="I1776" s="7">
        <v>0.56083181339430199</v>
      </c>
      <c r="J1776" s="6">
        <v>0</v>
      </c>
      <c r="K1776" s="6">
        <v>0.60348020787262302</v>
      </c>
      <c r="L1776">
        <v>-1.85865851465564</v>
      </c>
      <c r="M1776">
        <v>0.65402295581610603</v>
      </c>
    </row>
    <row r="1777" spans="1:13" x14ac:dyDescent="0.25">
      <c r="A1777">
        <v>2359</v>
      </c>
      <c r="B1777" t="str">
        <f>"RMDN1"</f>
        <v>RMDN1</v>
      </c>
      <c r="C1777" t="str">
        <f>""</f>
        <v/>
      </c>
      <c r="D1777">
        <v>30.847000000000001</v>
      </c>
      <c r="E1777">
        <v>4.0999999999999996</v>
      </c>
      <c r="F1777">
        <v>1</v>
      </c>
      <c r="G1777">
        <v>0</v>
      </c>
      <c r="H1777">
        <v>1</v>
      </c>
      <c r="I1777" s="7">
        <v>0.56083181339430199</v>
      </c>
      <c r="J1777" s="6">
        <v>0</v>
      </c>
      <c r="K1777" s="6">
        <v>0.60348020787262302</v>
      </c>
      <c r="L1777">
        <v>-1.85865851465564</v>
      </c>
      <c r="M1777">
        <v>0.65402295581610603</v>
      </c>
    </row>
    <row r="1778" spans="1:13" x14ac:dyDescent="0.25">
      <c r="A1778">
        <v>2382</v>
      </c>
      <c r="B1778" t="str">
        <f>"TRIM11"</f>
        <v>TRIM11</v>
      </c>
      <c r="C1778" t="str">
        <f>""</f>
        <v/>
      </c>
      <c r="D1778">
        <v>42.973999999999997</v>
      </c>
      <c r="E1778">
        <v>2.9</v>
      </c>
      <c r="F1778">
        <v>1</v>
      </c>
      <c r="G1778">
        <v>0</v>
      </c>
      <c r="H1778">
        <v>1</v>
      </c>
      <c r="I1778" s="7">
        <v>0.56083181339430199</v>
      </c>
      <c r="J1778" s="6">
        <v>0</v>
      </c>
      <c r="K1778" s="6">
        <v>0.60348020787262302</v>
      </c>
      <c r="L1778">
        <v>-1.85865851465564</v>
      </c>
      <c r="M1778">
        <v>0.65402295581610603</v>
      </c>
    </row>
    <row r="1779" spans="1:13" x14ac:dyDescent="0.25">
      <c r="A1779">
        <v>2412</v>
      </c>
      <c r="B1779" t="str">
        <f>"CDK5RAP3"</f>
        <v>CDK5RAP3</v>
      </c>
      <c r="C1779" t="str">
        <f>""</f>
        <v/>
      </c>
      <c r="D1779">
        <v>46.35</v>
      </c>
      <c r="E1779">
        <v>12.4</v>
      </c>
      <c r="F1779">
        <v>1</v>
      </c>
      <c r="G1779">
        <v>0</v>
      </c>
      <c r="H1779">
        <v>1</v>
      </c>
      <c r="I1779" s="7">
        <v>0.56083181339430199</v>
      </c>
      <c r="J1779" s="6">
        <v>0</v>
      </c>
      <c r="K1779" s="6">
        <v>0.60348020787262302</v>
      </c>
      <c r="L1779">
        <v>-1.85865851465564</v>
      </c>
      <c r="M1779">
        <v>0.65402295581610603</v>
      </c>
    </row>
    <row r="1780" spans="1:13" x14ac:dyDescent="0.25">
      <c r="A1780">
        <v>2417</v>
      </c>
      <c r="B1780" t="str">
        <f>"RNF170"</f>
        <v>RNF170</v>
      </c>
      <c r="C1780" t="str">
        <f>""</f>
        <v/>
      </c>
      <c r="D1780">
        <v>13.081</v>
      </c>
      <c r="E1780">
        <v>12.1</v>
      </c>
      <c r="F1780">
        <v>1</v>
      </c>
      <c r="G1780">
        <v>0</v>
      </c>
      <c r="H1780">
        <v>1</v>
      </c>
      <c r="I1780" s="7">
        <v>0.56083181339430199</v>
      </c>
      <c r="J1780" s="6">
        <v>0</v>
      </c>
      <c r="K1780" s="6">
        <v>0.60348020787262302</v>
      </c>
      <c r="L1780">
        <v>-1.85865851465564</v>
      </c>
      <c r="M1780">
        <v>0.65402295581610603</v>
      </c>
    </row>
    <row r="1781" spans="1:13" x14ac:dyDescent="0.25">
      <c r="A1781">
        <v>2437</v>
      </c>
      <c r="B1781" t="str">
        <f>"RBM14"</f>
        <v>RBM14</v>
      </c>
      <c r="C1781" t="str">
        <f>""</f>
        <v/>
      </c>
      <c r="D1781">
        <v>69.491</v>
      </c>
      <c r="E1781">
        <v>1.8</v>
      </c>
      <c r="F1781">
        <v>1</v>
      </c>
      <c r="G1781">
        <v>0</v>
      </c>
      <c r="H1781">
        <v>1</v>
      </c>
      <c r="I1781" s="7">
        <v>0.56083181339430199</v>
      </c>
      <c r="J1781" s="6">
        <v>0</v>
      </c>
      <c r="K1781" s="6">
        <v>0.60348020787262302</v>
      </c>
      <c r="L1781">
        <v>-1.85865851465564</v>
      </c>
      <c r="M1781">
        <v>0.65402295581610603</v>
      </c>
    </row>
    <row r="1782" spans="1:13" x14ac:dyDescent="0.25">
      <c r="A1782">
        <v>2477</v>
      </c>
      <c r="B1782" t="str">
        <f>"MPHOSPH8"</f>
        <v>MPHOSPH8</v>
      </c>
      <c r="C1782" t="str">
        <f>""</f>
        <v/>
      </c>
      <c r="D1782">
        <v>97.180999999999997</v>
      </c>
      <c r="E1782">
        <v>1.6</v>
      </c>
      <c r="F1782">
        <v>1</v>
      </c>
      <c r="G1782">
        <v>0</v>
      </c>
      <c r="H1782">
        <v>1</v>
      </c>
      <c r="I1782" s="7">
        <v>0.56083181339430199</v>
      </c>
      <c r="J1782" s="6">
        <v>0</v>
      </c>
      <c r="K1782" s="6">
        <v>0.60348020787262302</v>
      </c>
      <c r="L1782">
        <v>-1.85865851465564</v>
      </c>
      <c r="M1782">
        <v>0.65402295581610603</v>
      </c>
    </row>
    <row r="1783" spans="1:13" x14ac:dyDescent="0.25">
      <c r="A1783">
        <v>2511</v>
      </c>
      <c r="B1783" t="str">
        <f>"C19orf43"</f>
        <v>C19orf43</v>
      </c>
      <c r="C1783" t="str">
        <f>""</f>
        <v/>
      </c>
      <c r="D1783">
        <v>18.419</v>
      </c>
      <c r="E1783">
        <v>14.8</v>
      </c>
      <c r="F1783">
        <v>1</v>
      </c>
      <c r="G1783">
        <v>0</v>
      </c>
      <c r="H1783">
        <v>1</v>
      </c>
      <c r="I1783" s="7">
        <v>0.56083181339430199</v>
      </c>
      <c r="J1783" s="6">
        <v>0</v>
      </c>
      <c r="K1783" s="6">
        <v>0.60348020787262302</v>
      </c>
      <c r="L1783">
        <v>-1.85865851465564</v>
      </c>
      <c r="M1783">
        <v>0.65402295581610603</v>
      </c>
    </row>
    <row r="1784" spans="1:13" x14ac:dyDescent="0.25">
      <c r="A1784">
        <v>2535</v>
      </c>
      <c r="B1784" t="str">
        <f>"GINS4"</f>
        <v>GINS4</v>
      </c>
      <c r="C1784" t="str">
        <f>""</f>
        <v/>
      </c>
      <c r="D1784">
        <v>26.047000000000001</v>
      </c>
      <c r="E1784">
        <v>4.9000000000000004</v>
      </c>
      <c r="F1784">
        <v>1</v>
      </c>
      <c r="G1784">
        <v>0</v>
      </c>
      <c r="H1784">
        <v>1</v>
      </c>
      <c r="I1784" s="7">
        <v>0.56083181339430199</v>
      </c>
      <c r="J1784" s="6">
        <v>0</v>
      </c>
      <c r="K1784" s="6">
        <v>0.60348020787262302</v>
      </c>
      <c r="L1784">
        <v>-1.85865851465564</v>
      </c>
      <c r="M1784">
        <v>0.65402295581610603</v>
      </c>
    </row>
    <row r="1785" spans="1:13" x14ac:dyDescent="0.25">
      <c r="A1785">
        <v>2539</v>
      </c>
      <c r="B1785" t="str">
        <f>"LXN"</f>
        <v>LXN</v>
      </c>
      <c r="C1785" t="str">
        <f>""</f>
        <v/>
      </c>
      <c r="D1785">
        <v>25.75</v>
      </c>
      <c r="E1785">
        <v>8.1</v>
      </c>
      <c r="F1785">
        <v>1</v>
      </c>
      <c r="G1785">
        <v>0</v>
      </c>
      <c r="H1785">
        <v>1</v>
      </c>
      <c r="I1785" s="7">
        <v>0.56083181339430199</v>
      </c>
      <c r="J1785" s="6">
        <v>0</v>
      </c>
      <c r="K1785" s="6">
        <v>0.60348020787262302</v>
      </c>
      <c r="L1785">
        <v>-1.85865851465564</v>
      </c>
      <c r="M1785">
        <v>0.65402295581610603</v>
      </c>
    </row>
    <row r="1786" spans="1:13" x14ac:dyDescent="0.25">
      <c r="A1786">
        <v>2587</v>
      </c>
      <c r="B1786" t="str">
        <f>"OSBPL11"</f>
        <v>OSBPL11</v>
      </c>
      <c r="C1786" t="str">
        <f>""</f>
        <v/>
      </c>
      <c r="D1786">
        <v>83.641999999999996</v>
      </c>
      <c r="E1786">
        <v>1.3</v>
      </c>
      <c r="F1786">
        <v>1</v>
      </c>
      <c r="G1786">
        <v>0</v>
      </c>
      <c r="H1786">
        <v>1</v>
      </c>
      <c r="I1786" s="7">
        <v>0.56083181339430199</v>
      </c>
      <c r="J1786" s="6">
        <v>0</v>
      </c>
      <c r="K1786" s="6">
        <v>0.60348020787262302</v>
      </c>
      <c r="L1786">
        <v>-1.85865851465564</v>
      </c>
      <c r="M1786">
        <v>0.65402295581610603</v>
      </c>
    </row>
    <row r="1787" spans="1:13" x14ac:dyDescent="0.25">
      <c r="A1787">
        <v>2653</v>
      </c>
      <c r="B1787" t="str">
        <f>"NUCKS1"</f>
        <v>NUCKS1</v>
      </c>
      <c r="C1787" t="str">
        <f>""</f>
        <v/>
      </c>
      <c r="D1787">
        <v>22.774999999999999</v>
      </c>
      <c r="E1787">
        <v>5.4</v>
      </c>
      <c r="F1787">
        <v>1</v>
      </c>
      <c r="G1787">
        <v>0</v>
      </c>
      <c r="H1787">
        <v>1</v>
      </c>
      <c r="I1787" s="7">
        <v>0.56083181339430199</v>
      </c>
      <c r="J1787" s="6">
        <v>0</v>
      </c>
      <c r="K1787" s="6">
        <v>0.60348020787262302</v>
      </c>
      <c r="L1787">
        <v>-1.85865851465564</v>
      </c>
      <c r="M1787">
        <v>0.65402295581610603</v>
      </c>
    </row>
    <row r="1788" spans="1:13" x14ac:dyDescent="0.25">
      <c r="A1788">
        <v>2833</v>
      </c>
      <c r="B1788" t="str">
        <f>"MTPAP"</f>
        <v>MTPAP</v>
      </c>
      <c r="C1788" t="str">
        <f>""</f>
        <v/>
      </c>
      <c r="D1788">
        <v>66.171000000000006</v>
      </c>
      <c r="E1788">
        <v>2.6</v>
      </c>
      <c r="F1788">
        <v>1</v>
      </c>
      <c r="G1788">
        <v>0</v>
      </c>
      <c r="H1788">
        <v>1</v>
      </c>
      <c r="I1788" s="7">
        <v>0.56083181339430199</v>
      </c>
      <c r="J1788" s="6">
        <v>0</v>
      </c>
      <c r="K1788" s="6">
        <v>0.60348020787262302</v>
      </c>
      <c r="L1788">
        <v>-1.85865851465564</v>
      </c>
      <c r="M1788">
        <v>0.65402295581610603</v>
      </c>
    </row>
    <row r="1789" spans="1:13" x14ac:dyDescent="0.25">
      <c r="A1789">
        <v>2895</v>
      </c>
      <c r="B1789" t="str">
        <f>"BCCIP"</f>
        <v>BCCIP</v>
      </c>
      <c r="C1789" t="str">
        <f>""</f>
        <v/>
      </c>
      <c r="D1789">
        <v>33.241999999999997</v>
      </c>
      <c r="E1789">
        <v>10.6</v>
      </c>
      <c r="F1789">
        <v>1</v>
      </c>
      <c r="G1789">
        <v>0</v>
      </c>
      <c r="H1789">
        <v>1</v>
      </c>
      <c r="I1789" s="7">
        <v>0.56083181339430199</v>
      </c>
      <c r="J1789" s="6">
        <v>0</v>
      </c>
      <c r="K1789" s="6">
        <v>0.60348020787262302</v>
      </c>
      <c r="L1789">
        <v>-1.85865851465564</v>
      </c>
      <c r="M1789">
        <v>0.65402295581610603</v>
      </c>
    </row>
    <row r="1790" spans="1:13" x14ac:dyDescent="0.25">
      <c r="A1790">
        <v>2933</v>
      </c>
      <c r="B1790" t="str">
        <f>"LRWD1"</f>
        <v>LRWD1</v>
      </c>
      <c r="C1790" t="str">
        <f>""</f>
        <v/>
      </c>
      <c r="D1790">
        <v>70.86</v>
      </c>
      <c r="E1790">
        <v>3.7</v>
      </c>
      <c r="F1790">
        <v>1</v>
      </c>
      <c r="G1790">
        <v>0</v>
      </c>
      <c r="H1790">
        <v>1</v>
      </c>
      <c r="I1790" s="7">
        <v>0.56083181339430199</v>
      </c>
      <c r="J1790" s="6">
        <v>0</v>
      </c>
      <c r="K1790" s="6">
        <v>0.60348020787262302</v>
      </c>
      <c r="L1790">
        <v>-1.85865851465564</v>
      </c>
      <c r="M1790">
        <v>0.65402295581610603</v>
      </c>
    </row>
    <row r="1791" spans="1:13" x14ac:dyDescent="0.25">
      <c r="A1791">
        <v>2969</v>
      </c>
      <c r="B1791" t="str">
        <f>"GGA2"</f>
        <v>GGA2</v>
      </c>
      <c r="C1791" t="str">
        <f>""</f>
        <v/>
      </c>
      <c r="D1791">
        <v>67.150000000000006</v>
      </c>
      <c r="E1791">
        <v>4.9000000000000004</v>
      </c>
      <c r="F1791">
        <v>1</v>
      </c>
      <c r="G1791">
        <v>0</v>
      </c>
      <c r="H1791">
        <v>1</v>
      </c>
      <c r="I1791" s="7">
        <v>0.56083181339430199</v>
      </c>
      <c r="J1791" s="6">
        <v>0</v>
      </c>
      <c r="K1791" s="6">
        <v>0.60348020787262302</v>
      </c>
      <c r="L1791">
        <v>-1.85865851465564</v>
      </c>
      <c r="M1791">
        <v>0.65402295581610603</v>
      </c>
    </row>
    <row r="1792" spans="1:13" x14ac:dyDescent="0.25">
      <c r="A1792">
        <v>3008</v>
      </c>
      <c r="B1792" t="str">
        <f>"MAGED2"</f>
        <v>MAGED2</v>
      </c>
      <c r="C1792" t="str">
        <f>""</f>
        <v/>
      </c>
      <c r="D1792">
        <v>63.167000000000002</v>
      </c>
      <c r="E1792">
        <v>2.2000000000000002</v>
      </c>
      <c r="F1792">
        <v>1</v>
      </c>
      <c r="G1792">
        <v>0</v>
      </c>
      <c r="H1792">
        <v>1</v>
      </c>
      <c r="I1792" s="7">
        <v>0.56083181339430199</v>
      </c>
      <c r="J1792" s="6">
        <v>0</v>
      </c>
      <c r="K1792" s="6">
        <v>0.60348020787262302</v>
      </c>
      <c r="L1792">
        <v>-1.85865851465564</v>
      </c>
      <c r="M1792">
        <v>0.65402295581610603</v>
      </c>
    </row>
    <row r="1793" spans="1:13" x14ac:dyDescent="0.25">
      <c r="A1793">
        <v>3017</v>
      </c>
      <c r="B1793" t="str">
        <f>"COPS3"</f>
        <v>COPS3</v>
      </c>
      <c r="C1793" t="str">
        <f>""</f>
        <v/>
      </c>
      <c r="D1793">
        <v>45.725999999999999</v>
      </c>
      <c r="E1793">
        <v>3.7</v>
      </c>
      <c r="F1793">
        <v>1</v>
      </c>
      <c r="G1793">
        <v>0</v>
      </c>
      <c r="H1793">
        <v>1</v>
      </c>
      <c r="I1793" s="7">
        <v>0.56083181339430199</v>
      </c>
      <c r="J1793" s="6">
        <v>0</v>
      </c>
      <c r="K1793" s="6">
        <v>0.60348020787262302</v>
      </c>
      <c r="L1793">
        <v>-1.85865851465564</v>
      </c>
      <c r="M1793">
        <v>0.65402295581610603</v>
      </c>
    </row>
    <row r="1794" spans="1:13" x14ac:dyDescent="0.25">
      <c r="A1794">
        <v>3028</v>
      </c>
      <c r="B1794" t="str">
        <f>"USP24"</f>
        <v>USP24</v>
      </c>
      <c r="C1794" t="str">
        <f>""</f>
        <v/>
      </c>
      <c r="D1794">
        <v>294.36</v>
      </c>
      <c r="E1794">
        <v>1.2</v>
      </c>
      <c r="F1794">
        <v>1</v>
      </c>
      <c r="G1794">
        <v>0</v>
      </c>
      <c r="H1794">
        <v>1</v>
      </c>
      <c r="I1794" s="7">
        <v>0.56083181339430199</v>
      </c>
      <c r="J1794" s="6">
        <v>0</v>
      </c>
      <c r="K1794" s="6">
        <v>0.60348020787262302</v>
      </c>
      <c r="L1794">
        <v>-1.85865851465564</v>
      </c>
      <c r="M1794">
        <v>0.65402295581610603</v>
      </c>
    </row>
    <row r="1795" spans="1:13" x14ac:dyDescent="0.25">
      <c r="A1795">
        <v>3071</v>
      </c>
      <c r="B1795" t="str">
        <f>"MED16"</f>
        <v>MED16</v>
      </c>
      <c r="C1795" t="str">
        <f>""</f>
        <v/>
      </c>
      <c r="D1795">
        <v>72.966999999999999</v>
      </c>
      <c r="E1795">
        <v>1.7</v>
      </c>
      <c r="F1795">
        <v>1</v>
      </c>
      <c r="G1795">
        <v>0</v>
      </c>
      <c r="H1795">
        <v>1</v>
      </c>
      <c r="I1795" s="7">
        <v>0.56083181339430199</v>
      </c>
      <c r="J1795" s="6">
        <v>0</v>
      </c>
      <c r="K1795" s="6">
        <v>0.60348020787262302</v>
      </c>
      <c r="L1795">
        <v>-1.85865851465564</v>
      </c>
      <c r="M1795">
        <v>0.65402295581610603</v>
      </c>
    </row>
    <row r="1796" spans="1:13" x14ac:dyDescent="0.25">
      <c r="A1796">
        <v>3095</v>
      </c>
      <c r="B1796" t="str">
        <f>"FAM96B"</f>
        <v>FAM96B</v>
      </c>
      <c r="C1796" t="str">
        <f>""</f>
        <v/>
      </c>
      <c r="D1796">
        <v>17.663</v>
      </c>
      <c r="E1796">
        <v>12.9</v>
      </c>
      <c r="F1796">
        <v>1</v>
      </c>
      <c r="G1796">
        <v>0</v>
      </c>
      <c r="H1796">
        <v>1</v>
      </c>
      <c r="I1796" s="7">
        <v>0.56083181339430199</v>
      </c>
      <c r="J1796" s="6">
        <v>0</v>
      </c>
      <c r="K1796" s="6">
        <v>0.60348020787262302</v>
      </c>
      <c r="L1796">
        <v>-1.85865851465564</v>
      </c>
      <c r="M1796">
        <v>0.65402295581610603</v>
      </c>
    </row>
    <row r="1797" spans="1:13" x14ac:dyDescent="0.25">
      <c r="A1797">
        <v>3109</v>
      </c>
      <c r="B1797" t="str">
        <f>"TCAF1"</f>
        <v>TCAF1</v>
      </c>
      <c r="C1797" t="str">
        <f>""</f>
        <v/>
      </c>
      <c r="D1797">
        <v>102.12</v>
      </c>
      <c r="E1797">
        <v>3.3</v>
      </c>
      <c r="F1797">
        <v>1</v>
      </c>
      <c r="G1797">
        <v>0</v>
      </c>
      <c r="H1797">
        <v>1</v>
      </c>
      <c r="I1797" s="7">
        <v>0.56083181339430199</v>
      </c>
      <c r="J1797" s="6">
        <v>0</v>
      </c>
      <c r="K1797" s="6">
        <v>0.60348020787262302</v>
      </c>
      <c r="L1797">
        <v>-1.85865851465564</v>
      </c>
      <c r="M1797">
        <v>0.65402295581610603</v>
      </c>
    </row>
    <row r="1798" spans="1:13" x14ac:dyDescent="0.25">
      <c r="A1798">
        <v>3115</v>
      </c>
      <c r="B1798" t="str">
        <f>"RNF115"</f>
        <v>RNF115</v>
      </c>
      <c r="C1798" t="str">
        <f>""</f>
        <v/>
      </c>
      <c r="D1798">
        <v>33.703000000000003</v>
      </c>
      <c r="E1798">
        <v>5.9</v>
      </c>
      <c r="F1798">
        <v>1</v>
      </c>
      <c r="G1798">
        <v>0</v>
      </c>
      <c r="H1798">
        <v>1</v>
      </c>
      <c r="I1798" s="7">
        <v>0.56083181339430199</v>
      </c>
      <c r="J1798" s="6">
        <v>0</v>
      </c>
      <c r="K1798" s="6">
        <v>0.60348020787262302</v>
      </c>
      <c r="L1798">
        <v>-1.85865851465564</v>
      </c>
      <c r="M1798">
        <v>0.65402295581610603</v>
      </c>
    </row>
    <row r="1799" spans="1:13" x14ac:dyDescent="0.25">
      <c r="A1799">
        <v>3160</v>
      </c>
      <c r="B1799" t="str">
        <f>"PIAS3"</f>
        <v>PIAS3</v>
      </c>
      <c r="C1799" t="str">
        <f>""</f>
        <v/>
      </c>
      <c r="D1799">
        <v>68.016999999999996</v>
      </c>
      <c r="E1799">
        <v>2.4</v>
      </c>
      <c r="F1799">
        <v>1</v>
      </c>
      <c r="G1799">
        <v>0</v>
      </c>
      <c r="H1799">
        <v>1</v>
      </c>
      <c r="I1799" s="7">
        <v>0.56083181339430199</v>
      </c>
      <c r="J1799" s="6">
        <v>0</v>
      </c>
      <c r="K1799" s="6">
        <v>0.60348020787262302</v>
      </c>
      <c r="L1799">
        <v>-1.85865851465564</v>
      </c>
      <c r="M1799">
        <v>0.65402295581610603</v>
      </c>
    </row>
    <row r="1800" spans="1:13" x14ac:dyDescent="0.25">
      <c r="A1800">
        <v>647</v>
      </c>
      <c r="B1800" t="str">
        <f>"TOP1"</f>
        <v>TOP1</v>
      </c>
      <c r="C1800" t="str">
        <f>""</f>
        <v/>
      </c>
      <c r="D1800">
        <v>90.724999999999994</v>
      </c>
      <c r="E1800">
        <v>5.2</v>
      </c>
      <c r="F1800">
        <v>5</v>
      </c>
      <c r="G1800">
        <v>4</v>
      </c>
      <c r="H1800">
        <v>8</v>
      </c>
      <c r="I1800" s="7">
        <v>2.80415906697151</v>
      </c>
      <c r="J1800" s="6">
        <v>2.32484958202439</v>
      </c>
      <c r="K1800" s="6">
        <v>4.8278416629809797</v>
      </c>
      <c r="L1800">
        <v>1.2753718805135901</v>
      </c>
      <c r="M1800">
        <v>0.65416595779537401</v>
      </c>
    </row>
    <row r="1801" spans="1:13" x14ac:dyDescent="0.25">
      <c r="A1801">
        <v>1614</v>
      </c>
      <c r="B1801" t="str">
        <f>"CKAP5"</f>
        <v>CKAP5</v>
      </c>
      <c r="C1801" t="str">
        <f>""</f>
        <v/>
      </c>
      <c r="D1801">
        <v>218.52</v>
      </c>
      <c r="E1801">
        <v>4.8</v>
      </c>
      <c r="F1801">
        <v>13</v>
      </c>
      <c r="G1801">
        <v>12</v>
      </c>
      <c r="H1801">
        <v>9</v>
      </c>
      <c r="I1801" s="7">
        <v>7.2908135741259299</v>
      </c>
      <c r="J1801" s="6">
        <v>6.9745487460731601</v>
      </c>
      <c r="K1801" s="6">
        <v>5.4313218708536004</v>
      </c>
      <c r="L1801">
        <v>-1.1753812044723799</v>
      </c>
      <c r="M1801">
        <v>0.655379138484112</v>
      </c>
    </row>
    <row r="1802" spans="1:13" x14ac:dyDescent="0.25">
      <c r="A1802">
        <v>1694</v>
      </c>
      <c r="B1802" t="str">
        <f>"EFTUD2"</f>
        <v>EFTUD2</v>
      </c>
      <c r="C1802" t="str">
        <f>""</f>
        <v/>
      </c>
      <c r="D1802">
        <v>105.38</v>
      </c>
      <c r="E1802">
        <v>10.5</v>
      </c>
      <c r="F1802">
        <v>6</v>
      </c>
      <c r="G1802">
        <v>6</v>
      </c>
      <c r="H1802">
        <v>3</v>
      </c>
      <c r="I1802" s="7">
        <v>3.3649908803658102</v>
      </c>
      <c r="J1802" s="6">
        <v>3.4872743730365801</v>
      </c>
      <c r="K1802" s="6">
        <v>1.8104406236178701</v>
      </c>
      <c r="L1802">
        <v>-1.27035557121923</v>
      </c>
      <c r="M1802">
        <v>0.66171278165756597</v>
      </c>
    </row>
    <row r="1803" spans="1:13" x14ac:dyDescent="0.25">
      <c r="A1803">
        <v>1206</v>
      </c>
      <c r="B1803" t="str">
        <f>"HCCS"</f>
        <v>HCCS</v>
      </c>
      <c r="C1803" t="str">
        <f>""</f>
        <v/>
      </c>
      <c r="D1803">
        <v>30.600999999999999</v>
      </c>
      <c r="E1803">
        <v>11.9</v>
      </c>
      <c r="F1803">
        <v>6</v>
      </c>
      <c r="G1803">
        <v>6</v>
      </c>
      <c r="H1803">
        <v>3</v>
      </c>
      <c r="I1803" s="7">
        <v>3.3649908803658102</v>
      </c>
      <c r="J1803" s="6">
        <v>3.4872743730365801</v>
      </c>
      <c r="K1803" s="6">
        <v>1.8104406236178701</v>
      </c>
      <c r="L1803">
        <v>-1.27035557121923</v>
      </c>
      <c r="M1803">
        <v>0.66171278165756597</v>
      </c>
    </row>
    <row r="1804" spans="1:13" x14ac:dyDescent="0.25">
      <c r="A1804">
        <v>984</v>
      </c>
      <c r="B1804" t="str">
        <f>"ATP6V1A"</f>
        <v>ATP6V1A</v>
      </c>
      <c r="C1804" t="str">
        <f>""</f>
        <v/>
      </c>
      <c r="D1804">
        <v>64.734999999999999</v>
      </c>
      <c r="E1804">
        <v>10.6</v>
      </c>
      <c r="F1804">
        <v>6</v>
      </c>
      <c r="G1804">
        <v>3</v>
      </c>
      <c r="H1804">
        <v>6</v>
      </c>
      <c r="I1804" s="7">
        <v>3.3649908803658102</v>
      </c>
      <c r="J1804" s="6">
        <v>1.74363718651829</v>
      </c>
      <c r="K1804" s="6">
        <v>3.6208812472357401</v>
      </c>
      <c r="L1804">
        <v>-1.25453604901159</v>
      </c>
      <c r="M1804">
        <v>0.661712855734224</v>
      </c>
    </row>
    <row r="1805" spans="1:13" x14ac:dyDescent="0.25">
      <c r="A1805">
        <v>676</v>
      </c>
      <c r="B1805" t="str">
        <f>"P4HA1"</f>
        <v>P4HA1</v>
      </c>
      <c r="C1805" t="str">
        <f>""</f>
        <v/>
      </c>
      <c r="D1805">
        <v>58.957000000000001</v>
      </c>
      <c r="E1805">
        <v>5</v>
      </c>
      <c r="F1805">
        <v>6</v>
      </c>
      <c r="G1805">
        <v>5</v>
      </c>
      <c r="H1805">
        <v>4</v>
      </c>
      <c r="I1805" s="7">
        <v>3.3649908803658102</v>
      </c>
      <c r="J1805" s="6">
        <v>2.9060619775304799</v>
      </c>
      <c r="K1805" s="6">
        <v>2.4139208314904899</v>
      </c>
      <c r="L1805">
        <v>-1.2650382533792699</v>
      </c>
      <c r="M1805">
        <v>0.66234709280542003</v>
      </c>
    </row>
    <row r="1806" spans="1:13" x14ac:dyDescent="0.25">
      <c r="A1806">
        <v>1731</v>
      </c>
      <c r="B1806" t="str">
        <f>"SEC23B"</f>
        <v>SEC23B</v>
      </c>
      <c r="C1806" t="str">
        <f>""</f>
        <v/>
      </c>
      <c r="D1806">
        <v>86.477999999999994</v>
      </c>
      <c r="E1806">
        <v>4.8</v>
      </c>
      <c r="F1806">
        <v>6</v>
      </c>
      <c r="G1806">
        <v>4</v>
      </c>
      <c r="H1806">
        <v>5</v>
      </c>
      <c r="I1806" s="7">
        <v>3.3649908803658102</v>
      </c>
      <c r="J1806" s="6">
        <v>2.32484958202439</v>
      </c>
      <c r="K1806" s="6">
        <v>3.0174010393631101</v>
      </c>
      <c r="L1806">
        <v>-1.2597652633121299</v>
      </c>
      <c r="M1806">
        <v>0.66234711446266603</v>
      </c>
    </row>
    <row r="1807" spans="1:13" x14ac:dyDescent="0.25">
      <c r="A1807">
        <v>92</v>
      </c>
      <c r="B1807" t="str">
        <f>"STXBP3"</f>
        <v>STXBP3</v>
      </c>
      <c r="C1807" t="str">
        <f>""</f>
        <v/>
      </c>
      <c r="D1807">
        <v>67.763999999999996</v>
      </c>
      <c r="E1807">
        <v>7.1</v>
      </c>
      <c r="F1807">
        <v>6</v>
      </c>
      <c r="G1807">
        <v>4</v>
      </c>
      <c r="H1807">
        <v>5</v>
      </c>
      <c r="I1807" s="7">
        <v>3.3649908803658102</v>
      </c>
      <c r="J1807" s="6">
        <v>2.32484958202439</v>
      </c>
      <c r="K1807" s="6">
        <v>3.0174010393631101</v>
      </c>
      <c r="L1807">
        <v>-1.2597652633121299</v>
      </c>
      <c r="M1807">
        <v>0.66234711446266603</v>
      </c>
    </row>
    <row r="1808" spans="1:13" x14ac:dyDescent="0.25">
      <c r="A1808">
        <v>1238</v>
      </c>
      <c r="B1808" t="str">
        <f>"SEC13"</f>
        <v>SEC13</v>
      </c>
      <c r="C1808" t="str">
        <f>""</f>
        <v/>
      </c>
      <c r="D1808">
        <v>34.011000000000003</v>
      </c>
      <c r="E1808">
        <v>11</v>
      </c>
      <c r="F1808">
        <v>6</v>
      </c>
      <c r="G1808">
        <v>4</v>
      </c>
      <c r="H1808">
        <v>5</v>
      </c>
      <c r="I1808" s="7">
        <v>3.3649908803658102</v>
      </c>
      <c r="J1808" s="6">
        <v>2.32484958202439</v>
      </c>
      <c r="K1808" s="6">
        <v>3.0174010393631101</v>
      </c>
      <c r="L1808">
        <v>-1.2597652633121299</v>
      </c>
      <c r="M1808">
        <v>0.66234711446266603</v>
      </c>
    </row>
    <row r="1809" spans="1:13" x14ac:dyDescent="0.25">
      <c r="A1809">
        <v>1536</v>
      </c>
      <c r="B1809" t="str">
        <f>"GPS1"</f>
        <v>GPS1</v>
      </c>
      <c r="C1809" t="str">
        <f>""</f>
        <v/>
      </c>
      <c r="D1809">
        <v>55.091999999999999</v>
      </c>
      <c r="E1809">
        <v>13.1</v>
      </c>
      <c r="F1809">
        <v>6</v>
      </c>
      <c r="G1809">
        <v>4</v>
      </c>
      <c r="H1809">
        <v>5</v>
      </c>
      <c r="I1809" s="7">
        <v>3.3649908803658102</v>
      </c>
      <c r="J1809" s="6">
        <v>2.32484958202439</v>
      </c>
      <c r="K1809" s="6">
        <v>3.0174010393631101</v>
      </c>
      <c r="L1809">
        <v>-1.2597652633121299</v>
      </c>
      <c r="M1809">
        <v>0.66234711446266603</v>
      </c>
    </row>
    <row r="1810" spans="1:13" x14ac:dyDescent="0.25">
      <c r="A1810">
        <v>2105</v>
      </c>
      <c r="B1810" t="str">
        <f>"RAVER1"</f>
        <v>RAVER1</v>
      </c>
      <c r="C1810" t="str">
        <f>""</f>
        <v/>
      </c>
      <c r="D1810">
        <v>63.875999999999998</v>
      </c>
      <c r="E1810">
        <v>3.6</v>
      </c>
      <c r="F1810">
        <v>6</v>
      </c>
      <c r="G1810">
        <v>4</v>
      </c>
      <c r="H1810">
        <v>5</v>
      </c>
      <c r="I1810" s="7">
        <v>3.3649908803658102</v>
      </c>
      <c r="J1810" s="6">
        <v>2.32484958202439</v>
      </c>
      <c r="K1810" s="6">
        <v>3.0174010393631101</v>
      </c>
      <c r="L1810">
        <v>-1.2597652633121299</v>
      </c>
      <c r="M1810">
        <v>0.66234711446266603</v>
      </c>
    </row>
    <row r="1811" spans="1:13" x14ac:dyDescent="0.25">
      <c r="A1811">
        <v>2624</v>
      </c>
      <c r="B1811" t="str">
        <f>"LNP"</f>
        <v>LNP</v>
      </c>
      <c r="C1811" t="str">
        <f>""</f>
        <v/>
      </c>
      <c r="D1811">
        <v>33</v>
      </c>
      <c r="E1811">
        <v>4.3</v>
      </c>
      <c r="F1811">
        <v>6</v>
      </c>
      <c r="G1811">
        <v>4</v>
      </c>
      <c r="H1811">
        <v>5</v>
      </c>
      <c r="I1811" s="7">
        <v>3.3649908803658102</v>
      </c>
      <c r="J1811" s="6">
        <v>2.32484958202439</v>
      </c>
      <c r="K1811" s="6">
        <v>3.0174010393631101</v>
      </c>
      <c r="L1811">
        <v>-1.2597652633121299</v>
      </c>
      <c r="M1811">
        <v>0.66234711446266603</v>
      </c>
    </row>
    <row r="1812" spans="1:13" x14ac:dyDescent="0.25">
      <c r="A1812">
        <v>1460</v>
      </c>
      <c r="B1812" t="str">
        <f>"CALD1"</f>
        <v>CALD1</v>
      </c>
      <c r="C1812" t="str">
        <f>""</f>
        <v/>
      </c>
      <c r="D1812">
        <v>64.254999999999995</v>
      </c>
      <c r="E1812">
        <v>6.3</v>
      </c>
      <c r="F1812">
        <v>6</v>
      </c>
      <c r="G1812">
        <v>7</v>
      </c>
      <c r="H1812">
        <v>7</v>
      </c>
      <c r="I1812" s="7">
        <v>3.3649908803658102</v>
      </c>
      <c r="J1812" s="6">
        <v>4.0684867685426802</v>
      </c>
      <c r="K1812" s="6">
        <v>4.2243614551083599</v>
      </c>
      <c r="L1812">
        <v>1.2322244722918101</v>
      </c>
      <c r="M1812">
        <v>0.66664753842302704</v>
      </c>
    </row>
    <row r="1813" spans="1:13" x14ac:dyDescent="0.25">
      <c r="A1813">
        <v>2451</v>
      </c>
      <c r="B1813" t="str">
        <f>"GFM1"</f>
        <v>GFM1</v>
      </c>
      <c r="C1813" t="str">
        <f>""</f>
        <v/>
      </c>
      <c r="D1813">
        <v>83.471000000000004</v>
      </c>
      <c r="E1813">
        <v>7.7</v>
      </c>
      <c r="F1813">
        <v>6</v>
      </c>
      <c r="G1813">
        <v>6</v>
      </c>
      <c r="H1813">
        <v>8</v>
      </c>
      <c r="I1813" s="7">
        <v>3.3649908803658102</v>
      </c>
      <c r="J1813" s="6">
        <v>3.4872743730365801</v>
      </c>
      <c r="K1813" s="6">
        <v>4.8278416629809797</v>
      </c>
      <c r="L1813">
        <v>1.23553322009503</v>
      </c>
      <c r="M1813">
        <v>0.66682046321016997</v>
      </c>
    </row>
    <row r="1814" spans="1:13" x14ac:dyDescent="0.25">
      <c r="A1814">
        <v>2004</v>
      </c>
      <c r="B1814" t="str">
        <f>"EIF3M"</f>
        <v>EIF3M</v>
      </c>
      <c r="C1814" t="str">
        <f>""</f>
        <v/>
      </c>
      <c r="D1814">
        <v>42.502000000000002</v>
      </c>
      <c r="E1814">
        <v>20.100000000000001</v>
      </c>
      <c r="F1814">
        <v>6</v>
      </c>
      <c r="G1814">
        <v>9</v>
      </c>
      <c r="H1814">
        <v>5</v>
      </c>
      <c r="I1814" s="7">
        <v>3.3649908803658102</v>
      </c>
      <c r="J1814" s="6">
        <v>5.2309115595548699</v>
      </c>
      <c r="K1814" s="6">
        <v>3.0174010393631101</v>
      </c>
      <c r="L1814">
        <v>1.2256069766853701</v>
      </c>
      <c r="M1814">
        <v>0.66733978556926998</v>
      </c>
    </row>
    <row r="1815" spans="1:13" x14ac:dyDescent="0.25">
      <c r="A1815">
        <v>412</v>
      </c>
      <c r="B1815" t="str">
        <f>"ACSL3"</f>
        <v>ACSL3</v>
      </c>
      <c r="C1815" t="str">
        <f>""</f>
        <v/>
      </c>
      <c r="D1815">
        <v>80.418999999999997</v>
      </c>
      <c r="E1815">
        <v>11</v>
      </c>
      <c r="F1815">
        <v>18</v>
      </c>
      <c r="G1815">
        <v>15</v>
      </c>
      <c r="H1815">
        <v>15</v>
      </c>
      <c r="I1815" s="7">
        <v>10.094972641097399</v>
      </c>
      <c r="J1815" s="6">
        <v>8.7181859325914495</v>
      </c>
      <c r="K1815" s="6">
        <v>9.0522031180893396</v>
      </c>
      <c r="L1815">
        <v>-1.1361566268815799</v>
      </c>
      <c r="M1815">
        <v>0.67090817462055996</v>
      </c>
    </row>
    <row r="1816" spans="1:13" x14ac:dyDescent="0.25">
      <c r="A1816">
        <v>961</v>
      </c>
      <c r="B1816" t="str">
        <f>"PPM1A"</f>
        <v>PPM1A</v>
      </c>
      <c r="C1816" t="str">
        <f>""</f>
        <v/>
      </c>
      <c r="D1816">
        <v>51.366</v>
      </c>
      <c r="E1816">
        <v>11.4</v>
      </c>
      <c r="F1816">
        <v>7</v>
      </c>
      <c r="G1816">
        <v>8</v>
      </c>
      <c r="H1816">
        <v>8</v>
      </c>
      <c r="I1816" s="7">
        <v>3.9258226937601099</v>
      </c>
      <c r="J1816" s="6">
        <v>4.6496991640487702</v>
      </c>
      <c r="K1816" s="6">
        <v>4.8278416629809797</v>
      </c>
      <c r="L1816">
        <v>1.20707703408177</v>
      </c>
      <c r="M1816">
        <v>0.67644237542046404</v>
      </c>
    </row>
    <row r="1817" spans="1:13" x14ac:dyDescent="0.25">
      <c r="A1817">
        <v>1417</v>
      </c>
      <c r="B1817" t="str">
        <f>"SORD"</f>
        <v>SORD</v>
      </c>
      <c r="C1817" t="str">
        <f>""</f>
        <v/>
      </c>
      <c r="D1817">
        <v>38.323999999999998</v>
      </c>
      <c r="E1817">
        <v>8.4</v>
      </c>
      <c r="F1817">
        <v>7</v>
      </c>
      <c r="G1817">
        <v>8</v>
      </c>
      <c r="H1817">
        <v>8</v>
      </c>
      <c r="I1817" s="7">
        <v>3.9258226937601099</v>
      </c>
      <c r="J1817" s="6">
        <v>4.6496991640487702</v>
      </c>
      <c r="K1817" s="6">
        <v>4.8278416629809797</v>
      </c>
      <c r="L1817">
        <v>1.20707703408177</v>
      </c>
      <c r="M1817">
        <v>0.67644237542046404</v>
      </c>
    </row>
    <row r="1818" spans="1:13" x14ac:dyDescent="0.25">
      <c r="A1818">
        <v>1518</v>
      </c>
      <c r="B1818" t="str">
        <f>"ILF3"</f>
        <v>ILF3</v>
      </c>
      <c r="C1818" t="str">
        <f>""</f>
        <v/>
      </c>
      <c r="D1818">
        <v>74.605999999999995</v>
      </c>
      <c r="E1818">
        <v>8.6</v>
      </c>
      <c r="F1818">
        <v>7</v>
      </c>
      <c r="G1818">
        <v>6</v>
      </c>
      <c r="H1818">
        <v>10</v>
      </c>
      <c r="I1818" s="7">
        <v>3.9258226937601099</v>
      </c>
      <c r="J1818" s="6">
        <v>3.4872743730365801</v>
      </c>
      <c r="K1818" s="6">
        <v>6.03480207872623</v>
      </c>
      <c r="L1818">
        <v>1.21274917317301</v>
      </c>
      <c r="M1818">
        <v>0.67701087091687895</v>
      </c>
    </row>
    <row r="1819" spans="1:13" x14ac:dyDescent="0.25">
      <c r="A1819">
        <v>2381</v>
      </c>
      <c r="B1819" t="str">
        <f>"CYFIP2"</f>
        <v>CYFIP2</v>
      </c>
      <c r="C1819" t="str">
        <f>""</f>
        <v/>
      </c>
      <c r="D1819">
        <v>145.66999999999999</v>
      </c>
      <c r="E1819">
        <v>4.5</v>
      </c>
      <c r="F1819">
        <v>14</v>
      </c>
      <c r="G1819">
        <v>10</v>
      </c>
      <c r="H1819">
        <v>13</v>
      </c>
      <c r="I1819" s="7">
        <v>7.8516453875202297</v>
      </c>
      <c r="J1819" s="6">
        <v>5.8121239550609696</v>
      </c>
      <c r="K1819" s="6">
        <v>7.8452427023441</v>
      </c>
      <c r="L1819">
        <v>-1.14980370440052</v>
      </c>
      <c r="M1819">
        <v>0.67764467165926101</v>
      </c>
    </row>
    <row r="1820" spans="1:13" x14ac:dyDescent="0.25">
      <c r="A1820">
        <v>1424</v>
      </c>
      <c r="B1820" t="str">
        <f>"FABP5"</f>
        <v>FABP5</v>
      </c>
      <c r="C1820" t="str">
        <f>""</f>
        <v/>
      </c>
      <c r="D1820">
        <v>15.164</v>
      </c>
      <c r="E1820">
        <v>49.6</v>
      </c>
      <c r="F1820">
        <v>14</v>
      </c>
      <c r="G1820">
        <v>11</v>
      </c>
      <c r="H1820">
        <v>12</v>
      </c>
      <c r="I1820" s="7">
        <v>7.8516453875202297</v>
      </c>
      <c r="J1820" s="6">
        <v>6.3933363505670604</v>
      </c>
      <c r="K1820" s="6">
        <v>7.2417624944714696</v>
      </c>
      <c r="L1820">
        <v>-1.15168147686399</v>
      </c>
      <c r="M1820">
        <v>0.67780331072467703</v>
      </c>
    </row>
    <row r="1821" spans="1:13" x14ac:dyDescent="0.25">
      <c r="A1821">
        <v>381</v>
      </c>
      <c r="B1821" t="str">
        <f>"SEC31A"</f>
        <v>SEC31A</v>
      </c>
      <c r="C1821" t="str">
        <f>""</f>
        <v/>
      </c>
      <c r="D1821">
        <v>56.731000000000002</v>
      </c>
      <c r="E1821">
        <v>8.8000000000000007</v>
      </c>
      <c r="F1821">
        <v>10</v>
      </c>
      <c r="G1821">
        <v>6</v>
      </c>
      <c r="H1821">
        <v>10</v>
      </c>
      <c r="I1821" s="7">
        <v>5.6083181339430199</v>
      </c>
      <c r="J1821" s="6">
        <v>3.4872743730365801</v>
      </c>
      <c r="K1821" s="6">
        <v>6.03480207872623</v>
      </c>
      <c r="L1821">
        <v>-1.1779611647425401</v>
      </c>
      <c r="M1821">
        <v>0.67851013801417903</v>
      </c>
    </row>
    <row r="1822" spans="1:13" x14ac:dyDescent="0.25">
      <c r="A1822">
        <v>1609</v>
      </c>
      <c r="B1822" t="str">
        <f>"TUBB2A;TUBB2B"</f>
        <v>TUBB2A;TUBB2B</v>
      </c>
      <c r="C1822" t="str">
        <f>""</f>
        <v/>
      </c>
      <c r="D1822">
        <v>49.905999999999999</v>
      </c>
      <c r="E1822">
        <v>32.4</v>
      </c>
      <c r="F1822">
        <v>10</v>
      </c>
      <c r="G1822">
        <v>9</v>
      </c>
      <c r="H1822">
        <v>7</v>
      </c>
      <c r="I1822" s="7">
        <v>5.6083181339430199</v>
      </c>
      <c r="J1822" s="6">
        <v>5.2309115595548699</v>
      </c>
      <c r="K1822" s="6">
        <v>4.2243614551083599</v>
      </c>
      <c r="L1822">
        <v>-1.18628370122061</v>
      </c>
      <c r="M1822">
        <v>0.67891913461435704</v>
      </c>
    </row>
    <row r="1823" spans="1:13" x14ac:dyDescent="0.25">
      <c r="A1823">
        <v>1541</v>
      </c>
      <c r="B1823" t="str">
        <f>"PPFIA1"</f>
        <v>PPFIA1</v>
      </c>
      <c r="C1823" t="str">
        <f>""</f>
        <v/>
      </c>
      <c r="D1823">
        <v>133.97</v>
      </c>
      <c r="E1823">
        <v>5.7</v>
      </c>
      <c r="F1823">
        <v>1</v>
      </c>
      <c r="G1823">
        <v>1</v>
      </c>
      <c r="H1823">
        <v>2</v>
      </c>
      <c r="I1823" s="7">
        <v>0.56083181339430199</v>
      </c>
      <c r="J1823" s="6">
        <v>0.58121239550609605</v>
      </c>
      <c r="K1823" s="6">
        <v>1.20696041574525</v>
      </c>
      <c r="L1823">
        <v>1.59421485064199</v>
      </c>
      <c r="M1823">
        <v>0.68193092775673503</v>
      </c>
    </row>
    <row r="1824" spans="1:13" x14ac:dyDescent="0.25">
      <c r="A1824">
        <v>1550</v>
      </c>
      <c r="B1824" t="str">
        <f>"DNAJC3"</f>
        <v>DNAJC3</v>
      </c>
      <c r="C1824" t="str">
        <f>""</f>
        <v/>
      </c>
      <c r="D1824">
        <v>57.579000000000001</v>
      </c>
      <c r="E1824">
        <v>5.2</v>
      </c>
      <c r="F1824">
        <v>1</v>
      </c>
      <c r="G1824">
        <v>1</v>
      </c>
      <c r="H1824">
        <v>2</v>
      </c>
      <c r="I1824" s="7">
        <v>0.56083181339430199</v>
      </c>
      <c r="J1824" s="6">
        <v>0.58121239550609605</v>
      </c>
      <c r="K1824" s="6">
        <v>1.20696041574525</v>
      </c>
      <c r="L1824">
        <v>1.59421485064199</v>
      </c>
      <c r="M1824">
        <v>0.68193092775673503</v>
      </c>
    </row>
    <row r="1825" spans="1:13" x14ac:dyDescent="0.25">
      <c r="A1825">
        <v>139</v>
      </c>
      <c r="B1825" t="str">
        <f>"APAF1"</f>
        <v>APAF1</v>
      </c>
      <c r="C1825" t="str">
        <f>""</f>
        <v/>
      </c>
      <c r="D1825">
        <v>133.35</v>
      </c>
      <c r="E1825">
        <v>3.3</v>
      </c>
      <c r="F1825">
        <v>1</v>
      </c>
      <c r="G1825">
        <v>1</v>
      </c>
      <c r="H1825">
        <v>2</v>
      </c>
      <c r="I1825" s="7">
        <v>0.56083181339430199</v>
      </c>
      <c r="J1825" s="6">
        <v>0.58121239550609605</v>
      </c>
      <c r="K1825" s="6">
        <v>1.20696041574525</v>
      </c>
      <c r="L1825">
        <v>1.59421485064199</v>
      </c>
      <c r="M1825">
        <v>0.68193092775673503</v>
      </c>
    </row>
    <row r="1826" spans="1:13" x14ac:dyDescent="0.25">
      <c r="A1826">
        <v>286</v>
      </c>
      <c r="B1826" t="str">
        <f>"DKC1"</f>
        <v>DKC1</v>
      </c>
      <c r="C1826" t="str">
        <f>""</f>
        <v/>
      </c>
      <c r="D1826">
        <v>47.601999999999997</v>
      </c>
      <c r="E1826">
        <v>5</v>
      </c>
      <c r="F1826">
        <v>1</v>
      </c>
      <c r="G1826">
        <v>1</v>
      </c>
      <c r="H1826">
        <v>2</v>
      </c>
      <c r="I1826" s="7">
        <v>0.56083181339430199</v>
      </c>
      <c r="J1826" s="6">
        <v>0.58121239550609605</v>
      </c>
      <c r="K1826" s="6">
        <v>1.20696041574525</v>
      </c>
      <c r="L1826">
        <v>1.59421485064199</v>
      </c>
      <c r="M1826">
        <v>0.68193092775673503</v>
      </c>
    </row>
    <row r="1827" spans="1:13" x14ac:dyDescent="0.25">
      <c r="A1827">
        <v>186</v>
      </c>
      <c r="B1827" t="str">
        <f>"PMM2"</f>
        <v>PMM2</v>
      </c>
      <c r="C1827" t="str">
        <f>""</f>
        <v/>
      </c>
      <c r="D1827">
        <v>28.082000000000001</v>
      </c>
      <c r="E1827">
        <v>8.9</v>
      </c>
      <c r="F1827">
        <v>1</v>
      </c>
      <c r="G1827">
        <v>1</v>
      </c>
      <c r="H1827">
        <v>2</v>
      </c>
      <c r="I1827" s="7">
        <v>0.56083181339430199</v>
      </c>
      <c r="J1827" s="6">
        <v>0.58121239550609605</v>
      </c>
      <c r="K1827" s="6">
        <v>1.20696041574525</v>
      </c>
      <c r="L1827">
        <v>1.59421485064199</v>
      </c>
      <c r="M1827">
        <v>0.68193092775673503</v>
      </c>
    </row>
    <row r="1828" spans="1:13" x14ac:dyDescent="0.25">
      <c r="A1828">
        <v>1377</v>
      </c>
      <c r="B1828" t="str">
        <f>"SRPK2"</f>
        <v>SRPK2</v>
      </c>
      <c r="C1828" t="str">
        <f>"SRPK2"</f>
        <v>SRPK2</v>
      </c>
      <c r="D1828">
        <v>77.525999999999996</v>
      </c>
      <c r="E1828">
        <v>1.3</v>
      </c>
      <c r="F1828">
        <v>1</v>
      </c>
      <c r="G1828">
        <v>1</v>
      </c>
      <c r="H1828">
        <v>2</v>
      </c>
      <c r="I1828" s="7">
        <v>0.56083181339430199</v>
      </c>
      <c r="J1828" s="6">
        <v>0.58121239550609605</v>
      </c>
      <c r="K1828" s="6">
        <v>1.20696041574525</v>
      </c>
      <c r="L1828">
        <v>1.59421485064199</v>
      </c>
      <c r="M1828">
        <v>0.68193092775673503</v>
      </c>
    </row>
    <row r="1829" spans="1:13" x14ac:dyDescent="0.25">
      <c r="A1829">
        <v>2059</v>
      </c>
      <c r="B1829" t="str">
        <f>"LUZP1"</f>
        <v>LUZP1</v>
      </c>
      <c r="C1829" t="str">
        <f>""</f>
        <v/>
      </c>
      <c r="D1829">
        <v>114.59</v>
      </c>
      <c r="E1829">
        <v>1.7</v>
      </c>
      <c r="F1829">
        <v>1</v>
      </c>
      <c r="G1829">
        <v>1</v>
      </c>
      <c r="H1829">
        <v>2</v>
      </c>
      <c r="I1829" s="7">
        <v>0.56083181339430199</v>
      </c>
      <c r="J1829" s="6">
        <v>0.58121239550609605</v>
      </c>
      <c r="K1829" s="6">
        <v>1.20696041574525</v>
      </c>
      <c r="L1829">
        <v>1.59421485064199</v>
      </c>
      <c r="M1829">
        <v>0.68193092775673503</v>
      </c>
    </row>
    <row r="1830" spans="1:13" x14ac:dyDescent="0.25">
      <c r="A1830">
        <v>2709</v>
      </c>
      <c r="B1830" t="str">
        <f>"ANKZF1"</f>
        <v>ANKZF1</v>
      </c>
      <c r="C1830" t="str">
        <f>""</f>
        <v/>
      </c>
      <c r="D1830">
        <v>80.926000000000002</v>
      </c>
      <c r="E1830">
        <v>2.1</v>
      </c>
      <c r="F1830">
        <v>1</v>
      </c>
      <c r="G1830">
        <v>1</v>
      </c>
      <c r="H1830">
        <v>2</v>
      </c>
      <c r="I1830" s="7">
        <v>0.56083181339430199</v>
      </c>
      <c r="J1830" s="6">
        <v>0.58121239550609605</v>
      </c>
      <c r="K1830" s="6">
        <v>1.20696041574525</v>
      </c>
      <c r="L1830">
        <v>1.59421485064199</v>
      </c>
      <c r="M1830">
        <v>0.68193092775673503</v>
      </c>
    </row>
    <row r="1831" spans="1:13" x14ac:dyDescent="0.25">
      <c r="A1831">
        <v>27</v>
      </c>
      <c r="B1831" t="str">
        <f>"NUDT19"</f>
        <v>NUDT19</v>
      </c>
      <c r="C1831" t="str">
        <f>""</f>
        <v/>
      </c>
      <c r="D1831">
        <v>42.232999999999997</v>
      </c>
      <c r="E1831">
        <v>9.6</v>
      </c>
      <c r="F1831">
        <v>1</v>
      </c>
      <c r="G1831">
        <v>1</v>
      </c>
      <c r="H1831">
        <v>2</v>
      </c>
      <c r="I1831" s="7">
        <v>0.56083181339430199</v>
      </c>
      <c r="J1831" s="6">
        <v>0.58121239550609605</v>
      </c>
      <c r="K1831" s="6">
        <v>1.20696041574525</v>
      </c>
      <c r="L1831">
        <v>1.59421485064199</v>
      </c>
      <c r="M1831">
        <v>0.68193092775673503</v>
      </c>
    </row>
    <row r="1832" spans="1:13" x14ac:dyDescent="0.25">
      <c r="A1832">
        <v>131</v>
      </c>
      <c r="B1832" t="str">
        <f>"UBFD1"</f>
        <v>UBFD1</v>
      </c>
      <c r="C1832" t="str">
        <f>""</f>
        <v/>
      </c>
      <c r="D1832">
        <v>33.381999999999998</v>
      </c>
      <c r="E1832">
        <v>7.4</v>
      </c>
      <c r="F1832">
        <v>1</v>
      </c>
      <c r="G1832">
        <v>1</v>
      </c>
      <c r="H1832">
        <v>2</v>
      </c>
      <c r="I1832" s="7">
        <v>0.56083181339430199</v>
      </c>
      <c r="J1832" s="6">
        <v>0.58121239550609605</v>
      </c>
      <c r="K1832" s="6">
        <v>1.20696041574525</v>
      </c>
      <c r="L1832">
        <v>1.59421485064199</v>
      </c>
      <c r="M1832">
        <v>0.68193092775673503</v>
      </c>
    </row>
    <row r="1833" spans="1:13" x14ac:dyDescent="0.25">
      <c r="A1833">
        <v>132</v>
      </c>
      <c r="B1833" t="str">
        <f>"CIT"</f>
        <v>CIT</v>
      </c>
      <c r="C1833" t="str">
        <f>"CIT"</f>
        <v>CIT</v>
      </c>
      <c r="D1833">
        <v>177.03</v>
      </c>
      <c r="E1833">
        <v>0.5</v>
      </c>
      <c r="F1833">
        <v>1</v>
      </c>
      <c r="G1833">
        <v>1</v>
      </c>
      <c r="H1833">
        <v>2</v>
      </c>
      <c r="I1833" s="7">
        <v>0.56083181339430199</v>
      </c>
      <c r="J1833" s="6">
        <v>0.58121239550609605</v>
      </c>
      <c r="K1833" s="6">
        <v>1.20696041574525</v>
      </c>
      <c r="L1833">
        <v>1.59421485064199</v>
      </c>
      <c r="M1833">
        <v>0.68193092775673503</v>
      </c>
    </row>
    <row r="1834" spans="1:13" x14ac:dyDescent="0.25">
      <c r="A1834">
        <v>198</v>
      </c>
      <c r="B1834" t="str">
        <f>"PDPK2P;PDPK1"</f>
        <v>PDPK2P;PDPK1</v>
      </c>
      <c r="C1834" t="str">
        <f>"PDPK1"</f>
        <v>PDPK1</v>
      </c>
      <c r="D1834">
        <v>44.765000000000001</v>
      </c>
      <c r="E1834">
        <v>2.5</v>
      </c>
      <c r="F1834">
        <v>1</v>
      </c>
      <c r="G1834">
        <v>1</v>
      </c>
      <c r="H1834">
        <v>2</v>
      </c>
      <c r="I1834" s="7">
        <v>0.56083181339430199</v>
      </c>
      <c r="J1834" s="6">
        <v>0.58121239550609605</v>
      </c>
      <c r="K1834" s="6">
        <v>1.20696041574525</v>
      </c>
      <c r="L1834">
        <v>1.59421485064199</v>
      </c>
      <c r="M1834">
        <v>0.68193092775673503</v>
      </c>
    </row>
    <row r="1835" spans="1:13" x14ac:dyDescent="0.25">
      <c r="A1835">
        <v>230</v>
      </c>
      <c r="B1835" t="str">
        <f>"NDUFA2"</f>
        <v>NDUFA2</v>
      </c>
      <c r="C1835" t="str">
        <f>""</f>
        <v/>
      </c>
      <c r="D1835">
        <v>10.920999999999999</v>
      </c>
      <c r="E1835">
        <v>21.2</v>
      </c>
      <c r="F1835">
        <v>1</v>
      </c>
      <c r="G1835">
        <v>1</v>
      </c>
      <c r="H1835">
        <v>2</v>
      </c>
      <c r="I1835" s="7">
        <v>0.56083181339430199</v>
      </c>
      <c r="J1835" s="6">
        <v>0.58121239550609605</v>
      </c>
      <c r="K1835" s="6">
        <v>1.20696041574525</v>
      </c>
      <c r="L1835">
        <v>1.59421485064199</v>
      </c>
      <c r="M1835">
        <v>0.68193092775673503</v>
      </c>
    </row>
    <row r="1836" spans="1:13" x14ac:dyDescent="0.25">
      <c r="A1836">
        <v>289</v>
      </c>
      <c r="B1836" t="str">
        <f>"KIN"</f>
        <v>KIN</v>
      </c>
      <c r="C1836" t="str">
        <f>""</f>
        <v/>
      </c>
      <c r="D1836">
        <v>43.261000000000003</v>
      </c>
      <c r="E1836">
        <v>4.3</v>
      </c>
      <c r="F1836">
        <v>1</v>
      </c>
      <c r="G1836">
        <v>1</v>
      </c>
      <c r="H1836">
        <v>2</v>
      </c>
      <c r="I1836" s="7">
        <v>0.56083181339430199</v>
      </c>
      <c r="J1836" s="6">
        <v>0.58121239550609605</v>
      </c>
      <c r="K1836" s="6">
        <v>1.20696041574525</v>
      </c>
      <c r="L1836">
        <v>1.59421485064199</v>
      </c>
      <c r="M1836">
        <v>0.68193092775673503</v>
      </c>
    </row>
    <row r="1837" spans="1:13" x14ac:dyDescent="0.25">
      <c r="A1837">
        <v>327</v>
      </c>
      <c r="B1837" t="str">
        <f>"MED24"</f>
        <v>MED24</v>
      </c>
      <c r="C1837" t="str">
        <f>""</f>
        <v/>
      </c>
      <c r="D1837">
        <v>108.94</v>
      </c>
      <c r="E1837">
        <v>1.8</v>
      </c>
      <c r="F1837">
        <v>1</v>
      </c>
      <c r="G1837">
        <v>1</v>
      </c>
      <c r="H1837">
        <v>2</v>
      </c>
      <c r="I1837" s="7">
        <v>0.56083181339430199</v>
      </c>
      <c r="J1837" s="6">
        <v>0.58121239550609605</v>
      </c>
      <c r="K1837" s="6">
        <v>1.20696041574525</v>
      </c>
      <c r="L1837">
        <v>1.59421485064199</v>
      </c>
      <c r="M1837">
        <v>0.68193092775673503</v>
      </c>
    </row>
    <row r="1838" spans="1:13" x14ac:dyDescent="0.25">
      <c r="A1838">
        <v>543</v>
      </c>
      <c r="B1838" t="str">
        <f>"UROD"</f>
        <v>UROD</v>
      </c>
      <c r="C1838" t="str">
        <f>""</f>
        <v/>
      </c>
      <c r="D1838">
        <v>40.786000000000001</v>
      </c>
      <c r="E1838">
        <v>5.4</v>
      </c>
      <c r="F1838">
        <v>1</v>
      </c>
      <c r="G1838">
        <v>1</v>
      </c>
      <c r="H1838">
        <v>2</v>
      </c>
      <c r="I1838" s="7">
        <v>0.56083181339430199</v>
      </c>
      <c r="J1838" s="6">
        <v>0.58121239550609605</v>
      </c>
      <c r="K1838" s="6">
        <v>1.20696041574525</v>
      </c>
      <c r="L1838">
        <v>1.59421485064199</v>
      </c>
      <c r="M1838">
        <v>0.68193092775673503</v>
      </c>
    </row>
    <row r="1839" spans="1:13" x14ac:dyDescent="0.25">
      <c r="A1839">
        <v>812</v>
      </c>
      <c r="B1839" t="str">
        <f>"CPT2"</f>
        <v>CPT2</v>
      </c>
      <c r="C1839" t="str">
        <f>""</f>
        <v/>
      </c>
      <c r="D1839">
        <v>73.775999999999996</v>
      </c>
      <c r="E1839">
        <v>1.8</v>
      </c>
      <c r="F1839">
        <v>1</v>
      </c>
      <c r="G1839">
        <v>1</v>
      </c>
      <c r="H1839">
        <v>2</v>
      </c>
      <c r="I1839" s="7">
        <v>0.56083181339430199</v>
      </c>
      <c r="J1839" s="6">
        <v>0.58121239550609605</v>
      </c>
      <c r="K1839" s="6">
        <v>1.20696041574525</v>
      </c>
      <c r="L1839">
        <v>1.59421485064199</v>
      </c>
      <c r="M1839">
        <v>0.68193092775673503</v>
      </c>
    </row>
    <row r="1840" spans="1:13" x14ac:dyDescent="0.25">
      <c r="A1840">
        <v>1201</v>
      </c>
      <c r="B1840" t="str">
        <f>"PGGT1B"</f>
        <v>PGGT1B</v>
      </c>
      <c r="C1840" t="str">
        <f>""</f>
        <v/>
      </c>
      <c r="D1840">
        <v>33.829000000000001</v>
      </c>
      <c r="E1840">
        <v>3</v>
      </c>
      <c r="F1840">
        <v>1</v>
      </c>
      <c r="G1840">
        <v>1</v>
      </c>
      <c r="H1840">
        <v>2</v>
      </c>
      <c r="I1840" s="7">
        <v>0.56083181339430199</v>
      </c>
      <c r="J1840" s="6">
        <v>0.58121239550609605</v>
      </c>
      <c r="K1840" s="6">
        <v>1.20696041574525</v>
      </c>
      <c r="L1840">
        <v>1.59421485064199</v>
      </c>
      <c r="M1840">
        <v>0.68193092775673503</v>
      </c>
    </row>
    <row r="1841" spans="1:13" x14ac:dyDescent="0.25">
      <c r="A1841">
        <v>1257</v>
      </c>
      <c r="B1841" t="str">
        <f>"SESN2"</f>
        <v>SESN2</v>
      </c>
      <c r="C1841" t="str">
        <f>""</f>
        <v/>
      </c>
      <c r="D1841">
        <v>54.493000000000002</v>
      </c>
      <c r="E1841">
        <v>8.5</v>
      </c>
      <c r="F1841">
        <v>1</v>
      </c>
      <c r="G1841">
        <v>1</v>
      </c>
      <c r="H1841">
        <v>2</v>
      </c>
      <c r="I1841" s="7">
        <v>0.56083181339430199</v>
      </c>
      <c r="J1841" s="6">
        <v>0.58121239550609605</v>
      </c>
      <c r="K1841" s="6">
        <v>1.20696041574525</v>
      </c>
      <c r="L1841">
        <v>1.59421485064199</v>
      </c>
      <c r="M1841">
        <v>0.68193092775673503</v>
      </c>
    </row>
    <row r="1842" spans="1:13" x14ac:dyDescent="0.25">
      <c r="A1842">
        <v>1272</v>
      </c>
      <c r="B1842" t="str">
        <f>"SRP54"</f>
        <v>SRP54</v>
      </c>
      <c r="C1842" t="str">
        <f>""</f>
        <v/>
      </c>
      <c r="D1842">
        <v>50.369</v>
      </c>
      <c r="E1842">
        <v>5.9</v>
      </c>
      <c r="F1842">
        <v>1</v>
      </c>
      <c r="G1842">
        <v>1</v>
      </c>
      <c r="H1842">
        <v>2</v>
      </c>
      <c r="I1842" s="7">
        <v>0.56083181339430199</v>
      </c>
      <c r="J1842" s="6">
        <v>0.58121239550609605</v>
      </c>
      <c r="K1842" s="6">
        <v>1.20696041574525</v>
      </c>
      <c r="L1842">
        <v>1.59421485064199</v>
      </c>
      <c r="M1842">
        <v>0.68193092775673503</v>
      </c>
    </row>
    <row r="1843" spans="1:13" x14ac:dyDescent="0.25">
      <c r="A1843">
        <v>1575</v>
      </c>
      <c r="B1843" t="str">
        <f>"PDAP1"</f>
        <v>PDAP1</v>
      </c>
      <c r="C1843" t="str">
        <f>""</f>
        <v/>
      </c>
      <c r="D1843">
        <v>20.63</v>
      </c>
      <c r="E1843">
        <v>6.1</v>
      </c>
      <c r="F1843">
        <v>1</v>
      </c>
      <c r="G1843">
        <v>1</v>
      </c>
      <c r="H1843">
        <v>2</v>
      </c>
      <c r="I1843" s="7">
        <v>0.56083181339430199</v>
      </c>
      <c r="J1843" s="6">
        <v>0.58121239550609605</v>
      </c>
      <c r="K1843" s="6">
        <v>1.20696041574525</v>
      </c>
      <c r="L1843">
        <v>1.59421485064199</v>
      </c>
      <c r="M1843">
        <v>0.68193092775673503</v>
      </c>
    </row>
    <row r="1844" spans="1:13" x14ac:dyDescent="0.25">
      <c r="A1844">
        <v>1599</v>
      </c>
      <c r="B1844" t="str">
        <f>"FHL1"</f>
        <v>FHL1</v>
      </c>
      <c r="C1844" t="str">
        <f>""</f>
        <v/>
      </c>
      <c r="D1844">
        <v>22.016999999999999</v>
      </c>
      <c r="E1844">
        <v>12.4</v>
      </c>
      <c r="F1844">
        <v>1</v>
      </c>
      <c r="G1844">
        <v>1</v>
      </c>
      <c r="H1844">
        <v>2</v>
      </c>
      <c r="I1844" s="7">
        <v>0.56083181339430199</v>
      </c>
      <c r="J1844" s="6">
        <v>0.58121239550609605</v>
      </c>
      <c r="K1844" s="6">
        <v>1.20696041574525</v>
      </c>
      <c r="L1844">
        <v>1.59421485064199</v>
      </c>
      <c r="M1844">
        <v>0.68193092775673503</v>
      </c>
    </row>
    <row r="1845" spans="1:13" x14ac:dyDescent="0.25">
      <c r="A1845">
        <v>1705</v>
      </c>
      <c r="B1845" t="str">
        <f>"PMVK"</f>
        <v>PMVK</v>
      </c>
      <c r="C1845" t="str">
        <f>""</f>
        <v/>
      </c>
      <c r="D1845">
        <v>21.995000000000001</v>
      </c>
      <c r="E1845">
        <v>12.5</v>
      </c>
      <c r="F1845">
        <v>1</v>
      </c>
      <c r="G1845">
        <v>1</v>
      </c>
      <c r="H1845">
        <v>2</v>
      </c>
      <c r="I1845" s="7">
        <v>0.56083181339430199</v>
      </c>
      <c r="J1845" s="6">
        <v>0.58121239550609605</v>
      </c>
      <c r="K1845" s="6">
        <v>1.20696041574525</v>
      </c>
      <c r="L1845">
        <v>1.59421485064199</v>
      </c>
      <c r="M1845">
        <v>0.68193092775673503</v>
      </c>
    </row>
    <row r="1846" spans="1:13" x14ac:dyDescent="0.25">
      <c r="A1846">
        <v>1798</v>
      </c>
      <c r="B1846" t="str">
        <f>"QRICH1"</f>
        <v>QRICH1</v>
      </c>
      <c r="C1846" t="str">
        <f>""</f>
        <v/>
      </c>
      <c r="D1846">
        <v>86.435000000000002</v>
      </c>
      <c r="E1846">
        <v>2.2000000000000002</v>
      </c>
      <c r="F1846">
        <v>1</v>
      </c>
      <c r="G1846">
        <v>1</v>
      </c>
      <c r="H1846">
        <v>2</v>
      </c>
      <c r="I1846" s="7">
        <v>0.56083181339430199</v>
      </c>
      <c r="J1846" s="6">
        <v>0.58121239550609605</v>
      </c>
      <c r="K1846" s="6">
        <v>1.20696041574525</v>
      </c>
      <c r="L1846">
        <v>1.59421485064199</v>
      </c>
      <c r="M1846">
        <v>0.68193092775673503</v>
      </c>
    </row>
    <row r="1847" spans="1:13" x14ac:dyDescent="0.25">
      <c r="A1847">
        <v>1805</v>
      </c>
      <c r="B1847" t="str">
        <f>"EDRF1"</f>
        <v>EDRF1</v>
      </c>
      <c r="C1847" t="str">
        <f>""</f>
        <v/>
      </c>
      <c r="D1847">
        <v>138.53</v>
      </c>
      <c r="E1847">
        <v>3.6</v>
      </c>
      <c r="F1847">
        <v>1</v>
      </c>
      <c r="G1847">
        <v>1</v>
      </c>
      <c r="H1847">
        <v>2</v>
      </c>
      <c r="I1847" s="7">
        <v>0.56083181339430199</v>
      </c>
      <c r="J1847" s="6">
        <v>0.58121239550609605</v>
      </c>
      <c r="K1847" s="6">
        <v>1.20696041574525</v>
      </c>
      <c r="L1847">
        <v>1.59421485064199</v>
      </c>
      <c r="M1847">
        <v>0.68193092775673503</v>
      </c>
    </row>
    <row r="1848" spans="1:13" x14ac:dyDescent="0.25">
      <c r="A1848">
        <v>1826</v>
      </c>
      <c r="B1848" t="str">
        <f>"C17orf85"</f>
        <v>C17orf85</v>
      </c>
      <c r="C1848" t="str">
        <f>""</f>
        <v/>
      </c>
      <c r="D1848">
        <v>38.92</v>
      </c>
      <c r="E1848">
        <v>6.5</v>
      </c>
      <c r="F1848">
        <v>1</v>
      </c>
      <c r="G1848">
        <v>1</v>
      </c>
      <c r="H1848">
        <v>2</v>
      </c>
      <c r="I1848" s="7">
        <v>0.56083181339430199</v>
      </c>
      <c r="J1848" s="6">
        <v>0.58121239550609605</v>
      </c>
      <c r="K1848" s="6">
        <v>1.20696041574525</v>
      </c>
      <c r="L1848">
        <v>1.59421485064199</v>
      </c>
      <c r="M1848">
        <v>0.68193092775673503</v>
      </c>
    </row>
    <row r="1849" spans="1:13" x14ac:dyDescent="0.25">
      <c r="A1849">
        <v>1838</v>
      </c>
      <c r="B1849" t="str">
        <f>"MIA3"</f>
        <v>MIA3</v>
      </c>
      <c r="C1849" t="str">
        <f>""</f>
        <v/>
      </c>
      <c r="D1849">
        <v>213.7</v>
      </c>
      <c r="E1849">
        <v>1.6</v>
      </c>
      <c r="F1849">
        <v>1</v>
      </c>
      <c r="G1849">
        <v>1</v>
      </c>
      <c r="H1849">
        <v>2</v>
      </c>
      <c r="I1849" s="7">
        <v>0.56083181339430199</v>
      </c>
      <c r="J1849" s="6">
        <v>0.58121239550609605</v>
      </c>
      <c r="K1849" s="6">
        <v>1.20696041574525</v>
      </c>
      <c r="L1849">
        <v>1.59421485064199</v>
      </c>
      <c r="M1849">
        <v>0.68193092775673503</v>
      </c>
    </row>
    <row r="1850" spans="1:13" x14ac:dyDescent="0.25">
      <c r="A1850">
        <v>1915</v>
      </c>
      <c r="B1850" t="str">
        <f>"SDE2"</f>
        <v>SDE2</v>
      </c>
      <c r="C1850" t="str">
        <f>""</f>
        <v/>
      </c>
      <c r="D1850">
        <v>39.366999999999997</v>
      </c>
      <c r="E1850">
        <v>7.3</v>
      </c>
      <c r="F1850">
        <v>1</v>
      </c>
      <c r="G1850">
        <v>1</v>
      </c>
      <c r="H1850">
        <v>2</v>
      </c>
      <c r="I1850" s="7">
        <v>0.56083181339430199</v>
      </c>
      <c r="J1850" s="6">
        <v>0.58121239550609605</v>
      </c>
      <c r="K1850" s="6">
        <v>1.20696041574525</v>
      </c>
      <c r="L1850">
        <v>1.59421485064199</v>
      </c>
      <c r="M1850">
        <v>0.68193092775673503</v>
      </c>
    </row>
    <row r="1851" spans="1:13" x14ac:dyDescent="0.25">
      <c r="A1851">
        <v>2010</v>
      </c>
      <c r="B1851" t="str">
        <f>"KDM3B"</f>
        <v>KDM3B</v>
      </c>
      <c r="C1851" t="str">
        <f>""</f>
        <v/>
      </c>
      <c r="D1851">
        <v>191.58</v>
      </c>
      <c r="E1851">
        <v>1.4</v>
      </c>
      <c r="F1851">
        <v>1</v>
      </c>
      <c r="G1851">
        <v>1</v>
      </c>
      <c r="H1851">
        <v>2</v>
      </c>
      <c r="I1851" s="7">
        <v>0.56083181339430199</v>
      </c>
      <c r="J1851" s="6">
        <v>0.58121239550609605</v>
      </c>
      <c r="K1851" s="6">
        <v>1.20696041574525</v>
      </c>
      <c r="L1851">
        <v>1.59421485064199</v>
      </c>
      <c r="M1851">
        <v>0.68193092775673503</v>
      </c>
    </row>
    <row r="1852" spans="1:13" x14ac:dyDescent="0.25">
      <c r="A1852">
        <v>2054</v>
      </c>
      <c r="B1852" t="str">
        <f>"ZFHX4"</f>
        <v>ZFHX4</v>
      </c>
      <c r="C1852" t="str">
        <f>""</f>
        <v/>
      </c>
      <c r="D1852">
        <v>397.31</v>
      </c>
      <c r="E1852">
        <v>1</v>
      </c>
      <c r="F1852">
        <v>1</v>
      </c>
      <c r="G1852">
        <v>1</v>
      </c>
      <c r="H1852">
        <v>2</v>
      </c>
      <c r="I1852" s="7">
        <v>0.56083181339430199</v>
      </c>
      <c r="J1852" s="6">
        <v>0.58121239550609605</v>
      </c>
      <c r="K1852" s="6">
        <v>1.20696041574525</v>
      </c>
      <c r="L1852">
        <v>1.59421485064199</v>
      </c>
      <c r="M1852">
        <v>0.68193092775673503</v>
      </c>
    </row>
    <row r="1853" spans="1:13" x14ac:dyDescent="0.25">
      <c r="A1853">
        <v>2116</v>
      </c>
      <c r="B1853" t="str">
        <f>"TRMT2A"</f>
        <v>TRMT2A</v>
      </c>
      <c r="C1853" t="str">
        <f>""</f>
        <v/>
      </c>
      <c r="D1853">
        <v>61.978000000000002</v>
      </c>
      <c r="E1853">
        <v>1.4</v>
      </c>
      <c r="F1853">
        <v>1</v>
      </c>
      <c r="G1853">
        <v>1</v>
      </c>
      <c r="H1853">
        <v>2</v>
      </c>
      <c r="I1853" s="7">
        <v>0.56083181339430199</v>
      </c>
      <c r="J1853" s="6">
        <v>0.58121239550609605</v>
      </c>
      <c r="K1853" s="6">
        <v>1.20696041574525</v>
      </c>
      <c r="L1853">
        <v>1.59421485064199</v>
      </c>
      <c r="M1853">
        <v>0.68193092775673503</v>
      </c>
    </row>
    <row r="1854" spans="1:13" x14ac:dyDescent="0.25">
      <c r="A1854">
        <v>2157</v>
      </c>
      <c r="B1854" t="str">
        <f>"ARFGAP1"</f>
        <v>ARFGAP1</v>
      </c>
      <c r="C1854" t="str">
        <f>""</f>
        <v/>
      </c>
      <c r="D1854">
        <v>31.475999999999999</v>
      </c>
      <c r="E1854">
        <v>10.6</v>
      </c>
      <c r="F1854">
        <v>1</v>
      </c>
      <c r="G1854">
        <v>1</v>
      </c>
      <c r="H1854">
        <v>2</v>
      </c>
      <c r="I1854" s="7">
        <v>0.56083181339430199</v>
      </c>
      <c r="J1854" s="6">
        <v>0.58121239550609605</v>
      </c>
      <c r="K1854" s="6">
        <v>1.20696041574525</v>
      </c>
      <c r="L1854">
        <v>1.59421485064199</v>
      </c>
      <c r="M1854">
        <v>0.68193092775673503</v>
      </c>
    </row>
    <row r="1855" spans="1:13" x14ac:dyDescent="0.25">
      <c r="A1855">
        <v>2364</v>
      </c>
      <c r="B1855" t="str">
        <f>"ZBTB10"</f>
        <v>ZBTB10</v>
      </c>
      <c r="C1855" t="str">
        <f>""</f>
        <v/>
      </c>
      <c r="D1855">
        <v>94.893000000000001</v>
      </c>
      <c r="E1855">
        <v>4.4000000000000004</v>
      </c>
      <c r="F1855">
        <v>1</v>
      </c>
      <c r="G1855">
        <v>1</v>
      </c>
      <c r="H1855">
        <v>2</v>
      </c>
      <c r="I1855" s="7">
        <v>0.56083181339430199</v>
      </c>
      <c r="J1855" s="6">
        <v>0.58121239550609605</v>
      </c>
      <c r="K1855" s="6">
        <v>1.20696041574525</v>
      </c>
      <c r="L1855">
        <v>1.59421485064199</v>
      </c>
      <c r="M1855">
        <v>0.68193092775673503</v>
      </c>
    </row>
    <row r="1856" spans="1:13" x14ac:dyDescent="0.25">
      <c r="A1856">
        <v>2465</v>
      </c>
      <c r="B1856" t="str">
        <f>"SPEN"</f>
        <v>SPEN</v>
      </c>
      <c r="C1856" t="str">
        <f>""</f>
        <v/>
      </c>
      <c r="D1856">
        <v>402.24</v>
      </c>
      <c r="E1856">
        <v>1.1000000000000001</v>
      </c>
      <c r="F1856">
        <v>1</v>
      </c>
      <c r="G1856">
        <v>1</v>
      </c>
      <c r="H1856">
        <v>2</v>
      </c>
      <c r="I1856" s="7">
        <v>0.56083181339430199</v>
      </c>
      <c r="J1856" s="6">
        <v>0.58121239550609605</v>
      </c>
      <c r="K1856" s="6">
        <v>1.20696041574525</v>
      </c>
      <c r="L1856">
        <v>1.59421485064199</v>
      </c>
      <c r="M1856">
        <v>0.68193092775673503</v>
      </c>
    </row>
    <row r="1857" spans="1:13" x14ac:dyDescent="0.25">
      <c r="A1857">
        <v>2531</v>
      </c>
      <c r="B1857" t="str">
        <f>"AIFM2"</f>
        <v>AIFM2</v>
      </c>
      <c r="C1857" t="str">
        <f>""</f>
        <v/>
      </c>
      <c r="D1857">
        <v>36.520000000000003</v>
      </c>
      <c r="E1857">
        <v>3.9</v>
      </c>
      <c r="F1857">
        <v>1</v>
      </c>
      <c r="G1857">
        <v>1</v>
      </c>
      <c r="H1857">
        <v>2</v>
      </c>
      <c r="I1857" s="7">
        <v>0.56083181339430199</v>
      </c>
      <c r="J1857" s="6">
        <v>0.58121239550609605</v>
      </c>
      <c r="K1857" s="6">
        <v>1.20696041574525</v>
      </c>
      <c r="L1857">
        <v>1.59421485064199</v>
      </c>
      <c r="M1857">
        <v>0.68193092775673503</v>
      </c>
    </row>
    <row r="1858" spans="1:13" x14ac:dyDescent="0.25">
      <c r="A1858">
        <v>2537</v>
      </c>
      <c r="B1858" t="str">
        <f>"FAM213A"</f>
        <v>FAM213A</v>
      </c>
      <c r="C1858" t="str">
        <f>""</f>
        <v/>
      </c>
      <c r="D1858">
        <v>24.462</v>
      </c>
      <c r="E1858">
        <v>11</v>
      </c>
      <c r="F1858">
        <v>1</v>
      </c>
      <c r="G1858">
        <v>1</v>
      </c>
      <c r="H1858">
        <v>2</v>
      </c>
      <c r="I1858" s="7">
        <v>0.56083181339430199</v>
      </c>
      <c r="J1858" s="6">
        <v>0.58121239550609605</v>
      </c>
      <c r="K1858" s="6">
        <v>1.20696041574525</v>
      </c>
      <c r="L1858">
        <v>1.59421485064199</v>
      </c>
      <c r="M1858">
        <v>0.68193092775673503</v>
      </c>
    </row>
    <row r="1859" spans="1:13" x14ac:dyDescent="0.25">
      <c r="A1859">
        <v>2548</v>
      </c>
      <c r="B1859" t="str">
        <f>"MCMBP"</f>
        <v>MCMBP</v>
      </c>
      <c r="C1859" t="str">
        <f>""</f>
        <v/>
      </c>
      <c r="D1859">
        <v>72.978999999999999</v>
      </c>
      <c r="E1859">
        <v>4</v>
      </c>
      <c r="F1859">
        <v>1</v>
      </c>
      <c r="G1859">
        <v>1</v>
      </c>
      <c r="H1859">
        <v>2</v>
      </c>
      <c r="I1859" s="7">
        <v>0.56083181339430199</v>
      </c>
      <c r="J1859" s="6">
        <v>0.58121239550609605</v>
      </c>
      <c r="K1859" s="6">
        <v>1.20696041574525</v>
      </c>
      <c r="L1859">
        <v>1.59421485064199</v>
      </c>
      <c r="M1859">
        <v>0.68193092775673503</v>
      </c>
    </row>
    <row r="1860" spans="1:13" x14ac:dyDescent="0.25">
      <c r="A1860">
        <v>2603</v>
      </c>
      <c r="B1860" t="str">
        <f>"FAM126A"</f>
        <v>FAM126A</v>
      </c>
      <c r="C1860" t="str">
        <f>""</f>
        <v/>
      </c>
      <c r="D1860">
        <v>46.918999999999997</v>
      </c>
      <c r="E1860">
        <v>1.9</v>
      </c>
      <c r="F1860">
        <v>1</v>
      </c>
      <c r="G1860">
        <v>1</v>
      </c>
      <c r="H1860">
        <v>2</v>
      </c>
      <c r="I1860" s="7">
        <v>0.56083181339430199</v>
      </c>
      <c r="J1860" s="6">
        <v>0.58121239550609605</v>
      </c>
      <c r="K1860" s="6">
        <v>1.20696041574525</v>
      </c>
      <c r="L1860">
        <v>1.59421485064199</v>
      </c>
      <c r="M1860">
        <v>0.68193092775673503</v>
      </c>
    </row>
    <row r="1861" spans="1:13" x14ac:dyDescent="0.25">
      <c r="A1861">
        <v>2606</v>
      </c>
      <c r="B1861" t="str">
        <f>"MRPS26"</f>
        <v>MRPS26</v>
      </c>
      <c r="C1861" t="str">
        <f>""</f>
        <v/>
      </c>
      <c r="D1861">
        <v>24.210999999999999</v>
      </c>
      <c r="E1861">
        <v>14.6</v>
      </c>
      <c r="F1861">
        <v>1</v>
      </c>
      <c r="G1861">
        <v>1</v>
      </c>
      <c r="H1861">
        <v>2</v>
      </c>
      <c r="I1861" s="7">
        <v>0.56083181339430199</v>
      </c>
      <c r="J1861" s="6">
        <v>0.58121239550609605</v>
      </c>
      <c r="K1861" s="6">
        <v>1.20696041574525</v>
      </c>
      <c r="L1861">
        <v>1.59421485064199</v>
      </c>
      <c r="M1861">
        <v>0.68193092775673503</v>
      </c>
    </row>
    <row r="1862" spans="1:13" x14ac:dyDescent="0.25">
      <c r="A1862">
        <v>2623</v>
      </c>
      <c r="B1862" t="str">
        <f>"ZYG11B"</f>
        <v>ZYG11B</v>
      </c>
      <c r="C1862" t="str">
        <f>""</f>
        <v/>
      </c>
      <c r="D1862">
        <v>83.92</v>
      </c>
      <c r="E1862">
        <v>1.9</v>
      </c>
      <c r="F1862">
        <v>1</v>
      </c>
      <c r="G1862">
        <v>1</v>
      </c>
      <c r="H1862">
        <v>2</v>
      </c>
      <c r="I1862" s="7">
        <v>0.56083181339430199</v>
      </c>
      <c r="J1862" s="6">
        <v>0.58121239550609605</v>
      </c>
      <c r="K1862" s="6">
        <v>1.20696041574525</v>
      </c>
      <c r="L1862">
        <v>1.59421485064199</v>
      </c>
      <c r="M1862">
        <v>0.68193092775673503</v>
      </c>
    </row>
    <row r="1863" spans="1:13" x14ac:dyDescent="0.25">
      <c r="A1863">
        <v>2799</v>
      </c>
      <c r="B1863" t="str">
        <f>"CENPM"</f>
        <v>CENPM</v>
      </c>
      <c r="C1863" t="str">
        <f>""</f>
        <v/>
      </c>
      <c r="D1863">
        <v>11.686999999999999</v>
      </c>
      <c r="E1863">
        <v>10.3</v>
      </c>
      <c r="F1863">
        <v>1</v>
      </c>
      <c r="G1863">
        <v>1</v>
      </c>
      <c r="H1863">
        <v>2</v>
      </c>
      <c r="I1863" s="7">
        <v>0.56083181339430199</v>
      </c>
      <c r="J1863" s="6">
        <v>0.58121239550609605</v>
      </c>
      <c r="K1863" s="6">
        <v>1.20696041574525</v>
      </c>
      <c r="L1863">
        <v>1.59421485064199</v>
      </c>
      <c r="M1863">
        <v>0.68193092775673503</v>
      </c>
    </row>
    <row r="1864" spans="1:13" x14ac:dyDescent="0.25">
      <c r="A1864">
        <v>2921</v>
      </c>
      <c r="B1864" t="str">
        <f>"VPS29"</f>
        <v>VPS29</v>
      </c>
      <c r="C1864" t="str">
        <f>""</f>
        <v/>
      </c>
      <c r="D1864">
        <v>20.504999999999999</v>
      </c>
      <c r="E1864">
        <v>7.1</v>
      </c>
      <c r="F1864">
        <v>1</v>
      </c>
      <c r="G1864">
        <v>1</v>
      </c>
      <c r="H1864">
        <v>2</v>
      </c>
      <c r="I1864" s="7">
        <v>0.56083181339430199</v>
      </c>
      <c r="J1864" s="6">
        <v>0.58121239550609605</v>
      </c>
      <c r="K1864" s="6">
        <v>1.20696041574525</v>
      </c>
      <c r="L1864">
        <v>1.59421485064199</v>
      </c>
      <c r="M1864">
        <v>0.68193092775673503</v>
      </c>
    </row>
    <row r="1865" spans="1:13" x14ac:dyDescent="0.25">
      <c r="A1865">
        <v>507</v>
      </c>
      <c r="B1865" t="str">
        <f>"ANXA1"</f>
        <v>ANXA1</v>
      </c>
      <c r="C1865" t="str">
        <f>""</f>
        <v/>
      </c>
      <c r="D1865">
        <v>38.713999999999999</v>
      </c>
      <c r="E1865">
        <v>11.8</v>
      </c>
      <c r="F1865">
        <v>1</v>
      </c>
      <c r="G1865">
        <v>2</v>
      </c>
      <c r="H1865">
        <v>1</v>
      </c>
      <c r="I1865" s="7">
        <v>0.56083181339430199</v>
      </c>
      <c r="J1865" s="6">
        <v>1.1624247910121901</v>
      </c>
      <c r="K1865" s="6">
        <v>0.60348020787262302</v>
      </c>
      <c r="L1865">
        <v>1.57436236382267</v>
      </c>
      <c r="M1865">
        <v>0.68193093442518204</v>
      </c>
    </row>
    <row r="1866" spans="1:13" x14ac:dyDescent="0.25">
      <c r="A1866">
        <v>503</v>
      </c>
      <c r="B1866" t="str">
        <f>"CAT"</f>
        <v>CAT</v>
      </c>
      <c r="C1866" t="str">
        <f>""</f>
        <v/>
      </c>
      <c r="D1866">
        <v>59.755000000000003</v>
      </c>
      <c r="E1866">
        <v>7.6</v>
      </c>
      <c r="F1866">
        <v>1</v>
      </c>
      <c r="G1866">
        <v>2</v>
      </c>
      <c r="H1866">
        <v>1</v>
      </c>
      <c r="I1866" s="7">
        <v>0.56083181339430199</v>
      </c>
      <c r="J1866" s="6">
        <v>1.1624247910121901</v>
      </c>
      <c r="K1866" s="6">
        <v>0.60348020787262302</v>
      </c>
      <c r="L1866">
        <v>1.57436236382267</v>
      </c>
      <c r="M1866">
        <v>0.68193093442518204</v>
      </c>
    </row>
    <row r="1867" spans="1:13" x14ac:dyDescent="0.25">
      <c r="A1867">
        <v>1362</v>
      </c>
      <c r="B1867" t="str">
        <f>"TPM4"</f>
        <v>TPM4</v>
      </c>
      <c r="C1867" t="str">
        <f>""</f>
        <v/>
      </c>
      <c r="D1867">
        <v>28.521000000000001</v>
      </c>
      <c r="E1867">
        <v>4</v>
      </c>
      <c r="F1867">
        <v>1</v>
      </c>
      <c r="G1867">
        <v>2</v>
      </c>
      <c r="H1867">
        <v>1</v>
      </c>
      <c r="I1867" s="7">
        <v>0.56083181339430199</v>
      </c>
      <c r="J1867" s="6">
        <v>1.1624247910121901</v>
      </c>
      <c r="K1867" s="6">
        <v>0.60348020787262302</v>
      </c>
      <c r="L1867">
        <v>1.57436236382267</v>
      </c>
      <c r="M1867">
        <v>0.68193093442518204</v>
      </c>
    </row>
    <row r="1868" spans="1:13" x14ac:dyDescent="0.25">
      <c r="A1868">
        <v>2373</v>
      </c>
      <c r="B1868" t="str">
        <f>"MRPL53"</f>
        <v>MRPL53</v>
      </c>
      <c r="C1868" t="str">
        <f>""</f>
        <v/>
      </c>
      <c r="D1868">
        <v>12.106999999999999</v>
      </c>
      <c r="E1868">
        <v>8.9</v>
      </c>
      <c r="F1868">
        <v>1</v>
      </c>
      <c r="G1868">
        <v>2</v>
      </c>
      <c r="H1868">
        <v>1</v>
      </c>
      <c r="I1868" s="7">
        <v>0.56083181339430199</v>
      </c>
      <c r="J1868" s="6">
        <v>1.1624247910121901</v>
      </c>
      <c r="K1868" s="6">
        <v>0.60348020787262302</v>
      </c>
      <c r="L1868">
        <v>1.57436236382267</v>
      </c>
      <c r="M1868">
        <v>0.68193093442518204</v>
      </c>
    </row>
    <row r="1869" spans="1:13" x14ac:dyDescent="0.25">
      <c r="A1869">
        <v>2837</v>
      </c>
      <c r="B1869" t="str">
        <f>"SLTM"</f>
        <v>SLTM</v>
      </c>
      <c r="C1869" t="str">
        <f>""</f>
        <v/>
      </c>
      <c r="D1869">
        <v>117.15</v>
      </c>
      <c r="E1869">
        <v>1.8</v>
      </c>
      <c r="F1869">
        <v>1</v>
      </c>
      <c r="G1869">
        <v>2</v>
      </c>
      <c r="H1869">
        <v>1</v>
      </c>
      <c r="I1869" s="7">
        <v>0.56083181339430199</v>
      </c>
      <c r="J1869" s="6">
        <v>1.1624247910121901</v>
      </c>
      <c r="K1869" s="6">
        <v>0.60348020787262302</v>
      </c>
      <c r="L1869">
        <v>1.57436236382267</v>
      </c>
      <c r="M1869">
        <v>0.68193093442518204</v>
      </c>
    </row>
    <row r="1870" spans="1:13" x14ac:dyDescent="0.25">
      <c r="A1870">
        <v>2289</v>
      </c>
      <c r="B1870" t="str">
        <f>"ARPC1A"</f>
        <v>ARPC1A</v>
      </c>
      <c r="C1870" t="str">
        <f>""</f>
        <v/>
      </c>
      <c r="D1870">
        <v>38.603000000000002</v>
      </c>
      <c r="E1870">
        <v>4.9000000000000004</v>
      </c>
      <c r="F1870">
        <v>1</v>
      </c>
      <c r="G1870">
        <v>2</v>
      </c>
      <c r="H1870">
        <v>1</v>
      </c>
      <c r="I1870" s="7">
        <v>0.56083181339430199</v>
      </c>
      <c r="J1870" s="6">
        <v>1.1624247910121901</v>
      </c>
      <c r="K1870" s="6">
        <v>0.60348020787262302</v>
      </c>
      <c r="L1870">
        <v>1.57436236382267</v>
      </c>
      <c r="M1870">
        <v>0.68193093442518204</v>
      </c>
    </row>
    <row r="1871" spans="1:13" x14ac:dyDescent="0.25">
      <c r="A1871">
        <v>1239</v>
      </c>
      <c r="B1871" t="str">
        <f>"NHP2L1"</f>
        <v>NHP2L1</v>
      </c>
      <c r="C1871" t="str">
        <f>""</f>
        <v/>
      </c>
      <c r="D1871">
        <v>14.173</v>
      </c>
      <c r="E1871">
        <v>8.6</v>
      </c>
      <c r="F1871">
        <v>1</v>
      </c>
      <c r="G1871">
        <v>2</v>
      </c>
      <c r="H1871">
        <v>1</v>
      </c>
      <c r="I1871" s="7">
        <v>0.56083181339430199</v>
      </c>
      <c r="J1871" s="6">
        <v>1.1624247910121901</v>
      </c>
      <c r="K1871" s="6">
        <v>0.60348020787262302</v>
      </c>
      <c r="L1871">
        <v>1.57436236382267</v>
      </c>
      <c r="M1871">
        <v>0.68193093442518204</v>
      </c>
    </row>
    <row r="1872" spans="1:13" x14ac:dyDescent="0.25">
      <c r="A1872">
        <v>1995</v>
      </c>
      <c r="B1872" t="str">
        <f>"RPS27L"</f>
        <v>RPS27L</v>
      </c>
      <c r="C1872" t="str">
        <f>""</f>
        <v/>
      </c>
      <c r="D1872">
        <v>9.4771000000000001</v>
      </c>
      <c r="E1872">
        <v>25</v>
      </c>
      <c r="F1872">
        <v>1</v>
      </c>
      <c r="G1872">
        <v>2</v>
      </c>
      <c r="H1872">
        <v>1</v>
      </c>
      <c r="I1872" s="7">
        <v>0.56083181339430199</v>
      </c>
      <c r="J1872" s="6">
        <v>1.1624247910121901</v>
      </c>
      <c r="K1872" s="6">
        <v>0.60348020787262302</v>
      </c>
      <c r="L1872">
        <v>1.57436236382267</v>
      </c>
      <c r="M1872">
        <v>0.68193093442518204</v>
      </c>
    </row>
    <row r="1873" spans="1:13" x14ac:dyDescent="0.25">
      <c r="A1873">
        <v>2706</v>
      </c>
      <c r="B1873" t="str">
        <f>"METTL7A"</f>
        <v>METTL7A</v>
      </c>
      <c r="C1873" t="str">
        <f>""</f>
        <v/>
      </c>
      <c r="D1873">
        <v>28.318999999999999</v>
      </c>
      <c r="E1873">
        <v>6.1</v>
      </c>
      <c r="F1873">
        <v>1</v>
      </c>
      <c r="G1873">
        <v>2</v>
      </c>
      <c r="H1873">
        <v>1</v>
      </c>
      <c r="I1873" s="7">
        <v>0.56083181339430199</v>
      </c>
      <c r="J1873" s="6">
        <v>1.1624247910121901</v>
      </c>
      <c r="K1873" s="6">
        <v>0.60348020787262302</v>
      </c>
      <c r="L1873">
        <v>1.57436236382267</v>
      </c>
      <c r="M1873">
        <v>0.68193093442518204</v>
      </c>
    </row>
    <row r="1874" spans="1:13" x14ac:dyDescent="0.25">
      <c r="A1874">
        <v>98</v>
      </c>
      <c r="B1874" t="str">
        <f>"PSMD11"</f>
        <v>PSMD11</v>
      </c>
      <c r="C1874" t="str">
        <f>""</f>
        <v/>
      </c>
      <c r="D1874">
        <v>47.463000000000001</v>
      </c>
      <c r="E1874">
        <v>4.7</v>
      </c>
      <c r="F1874">
        <v>1</v>
      </c>
      <c r="G1874">
        <v>2</v>
      </c>
      <c r="H1874">
        <v>1</v>
      </c>
      <c r="I1874" s="7">
        <v>0.56083181339430199</v>
      </c>
      <c r="J1874" s="6">
        <v>1.1624247910121901</v>
      </c>
      <c r="K1874" s="6">
        <v>0.60348020787262302</v>
      </c>
      <c r="L1874">
        <v>1.57436236382267</v>
      </c>
      <c r="M1874">
        <v>0.68193093442518204</v>
      </c>
    </row>
    <row r="1875" spans="1:13" x14ac:dyDescent="0.25">
      <c r="A1875">
        <v>235</v>
      </c>
      <c r="B1875" t="str">
        <f>"GATC"</f>
        <v>GATC</v>
      </c>
      <c r="C1875" t="str">
        <f>""</f>
        <v/>
      </c>
      <c r="D1875">
        <v>15.086</v>
      </c>
      <c r="E1875">
        <v>6.6</v>
      </c>
      <c r="F1875">
        <v>1</v>
      </c>
      <c r="G1875">
        <v>2</v>
      </c>
      <c r="H1875">
        <v>1</v>
      </c>
      <c r="I1875" s="7">
        <v>0.56083181339430199</v>
      </c>
      <c r="J1875" s="6">
        <v>1.1624247910121901</v>
      </c>
      <c r="K1875" s="6">
        <v>0.60348020787262302</v>
      </c>
      <c r="L1875">
        <v>1.57436236382267</v>
      </c>
      <c r="M1875">
        <v>0.68193093442518204</v>
      </c>
    </row>
    <row r="1876" spans="1:13" x14ac:dyDescent="0.25">
      <c r="A1876">
        <v>333</v>
      </c>
      <c r="B1876" t="str">
        <f>"ECI2"</f>
        <v>ECI2</v>
      </c>
      <c r="C1876" t="str">
        <f>""</f>
        <v/>
      </c>
      <c r="D1876">
        <v>39.609000000000002</v>
      </c>
      <c r="E1876">
        <v>4.7</v>
      </c>
      <c r="F1876">
        <v>1</v>
      </c>
      <c r="G1876">
        <v>2</v>
      </c>
      <c r="H1876">
        <v>1</v>
      </c>
      <c r="I1876" s="7">
        <v>0.56083181339430199</v>
      </c>
      <c r="J1876" s="6">
        <v>1.1624247910121901</v>
      </c>
      <c r="K1876" s="6">
        <v>0.60348020787262302</v>
      </c>
      <c r="L1876">
        <v>1.57436236382267</v>
      </c>
      <c r="M1876">
        <v>0.68193093442518204</v>
      </c>
    </row>
    <row r="1877" spans="1:13" x14ac:dyDescent="0.25">
      <c r="A1877">
        <v>536</v>
      </c>
      <c r="B1877" t="str">
        <f>"PCCB"</f>
        <v>PCCB</v>
      </c>
      <c r="C1877" t="str">
        <f>""</f>
        <v/>
      </c>
      <c r="D1877">
        <v>58.215000000000003</v>
      </c>
      <c r="E1877">
        <v>5.9</v>
      </c>
      <c r="F1877">
        <v>1</v>
      </c>
      <c r="G1877">
        <v>2</v>
      </c>
      <c r="H1877">
        <v>1</v>
      </c>
      <c r="I1877" s="7">
        <v>0.56083181339430199</v>
      </c>
      <c r="J1877" s="6">
        <v>1.1624247910121901</v>
      </c>
      <c r="K1877" s="6">
        <v>0.60348020787262302</v>
      </c>
      <c r="L1877">
        <v>1.57436236382267</v>
      </c>
      <c r="M1877">
        <v>0.68193093442518204</v>
      </c>
    </row>
    <row r="1878" spans="1:13" x14ac:dyDescent="0.25">
      <c r="A1878">
        <v>759</v>
      </c>
      <c r="B1878" t="str">
        <f>"ANXA7"</f>
        <v>ANXA7</v>
      </c>
      <c r="C1878" t="str">
        <f>""</f>
        <v/>
      </c>
      <c r="D1878">
        <v>50.314999999999998</v>
      </c>
      <c r="E1878">
        <v>15.2</v>
      </c>
      <c r="F1878">
        <v>1</v>
      </c>
      <c r="G1878">
        <v>2</v>
      </c>
      <c r="H1878">
        <v>1</v>
      </c>
      <c r="I1878" s="7">
        <v>0.56083181339430199</v>
      </c>
      <c r="J1878" s="6">
        <v>1.1624247910121901</v>
      </c>
      <c r="K1878" s="6">
        <v>0.60348020787262302</v>
      </c>
      <c r="L1878">
        <v>1.57436236382267</v>
      </c>
      <c r="M1878">
        <v>0.68193093442518204</v>
      </c>
    </row>
    <row r="1879" spans="1:13" x14ac:dyDescent="0.25">
      <c r="A1879">
        <v>778</v>
      </c>
      <c r="B1879" t="str">
        <f>"NF1"</f>
        <v>NF1</v>
      </c>
      <c r="C1879" t="str">
        <f>""</f>
        <v/>
      </c>
      <c r="D1879">
        <v>317.02999999999997</v>
      </c>
      <c r="E1879">
        <v>1.2</v>
      </c>
      <c r="F1879">
        <v>1</v>
      </c>
      <c r="G1879">
        <v>2</v>
      </c>
      <c r="H1879">
        <v>1</v>
      </c>
      <c r="I1879" s="7">
        <v>0.56083181339430199</v>
      </c>
      <c r="J1879" s="6">
        <v>1.1624247910121901</v>
      </c>
      <c r="K1879" s="6">
        <v>0.60348020787262302</v>
      </c>
      <c r="L1879">
        <v>1.57436236382267</v>
      </c>
      <c r="M1879">
        <v>0.68193093442518204</v>
      </c>
    </row>
    <row r="1880" spans="1:13" x14ac:dyDescent="0.25">
      <c r="A1880">
        <v>1231</v>
      </c>
      <c r="B1880" t="str">
        <f>"MANF"</f>
        <v>MANF</v>
      </c>
      <c r="C1880" t="str">
        <f>""</f>
        <v/>
      </c>
      <c r="D1880">
        <v>20.7</v>
      </c>
      <c r="E1880">
        <v>5.5</v>
      </c>
      <c r="F1880">
        <v>1</v>
      </c>
      <c r="G1880">
        <v>2</v>
      </c>
      <c r="H1880">
        <v>1</v>
      </c>
      <c r="I1880" s="7">
        <v>0.56083181339430199</v>
      </c>
      <c r="J1880" s="6">
        <v>1.1624247910121901</v>
      </c>
      <c r="K1880" s="6">
        <v>0.60348020787262302</v>
      </c>
      <c r="L1880">
        <v>1.57436236382267</v>
      </c>
      <c r="M1880">
        <v>0.68193093442518204</v>
      </c>
    </row>
    <row r="1881" spans="1:13" x14ac:dyDescent="0.25">
      <c r="A1881">
        <v>1621</v>
      </c>
      <c r="B1881" t="str">
        <f>"URB2"</f>
        <v>URB2</v>
      </c>
      <c r="C1881" t="str">
        <f>""</f>
        <v/>
      </c>
      <c r="D1881">
        <v>170.54</v>
      </c>
      <c r="E1881">
        <v>1.1000000000000001</v>
      </c>
      <c r="F1881">
        <v>1</v>
      </c>
      <c r="G1881">
        <v>2</v>
      </c>
      <c r="H1881">
        <v>1</v>
      </c>
      <c r="I1881" s="7">
        <v>0.56083181339430199</v>
      </c>
      <c r="J1881" s="6">
        <v>1.1624247910121901</v>
      </c>
      <c r="K1881" s="6">
        <v>0.60348020787262302</v>
      </c>
      <c r="L1881">
        <v>1.57436236382267</v>
      </c>
      <c r="M1881">
        <v>0.68193093442518204</v>
      </c>
    </row>
    <row r="1882" spans="1:13" x14ac:dyDescent="0.25">
      <c r="A1882">
        <v>1736</v>
      </c>
      <c r="B1882" t="str">
        <f>"SLC9A3R2"</f>
        <v>SLC9A3R2</v>
      </c>
      <c r="C1882" t="str">
        <f>""</f>
        <v/>
      </c>
      <c r="D1882">
        <v>36.152999999999999</v>
      </c>
      <c r="E1882">
        <v>4</v>
      </c>
      <c r="F1882">
        <v>1</v>
      </c>
      <c r="G1882">
        <v>2</v>
      </c>
      <c r="H1882">
        <v>1</v>
      </c>
      <c r="I1882" s="7">
        <v>0.56083181339430199</v>
      </c>
      <c r="J1882" s="6">
        <v>1.1624247910121901</v>
      </c>
      <c r="K1882" s="6">
        <v>0.60348020787262302</v>
      </c>
      <c r="L1882">
        <v>1.57436236382267</v>
      </c>
      <c r="M1882">
        <v>0.68193093442518204</v>
      </c>
    </row>
    <row r="1883" spans="1:13" x14ac:dyDescent="0.25">
      <c r="A1883">
        <v>1827</v>
      </c>
      <c r="B1883" t="str">
        <f>"C11orf73"</f>
        <v>C11orf73</v>
      </c>
      <c r="C1883" t="str">
        <f>""</f>
        <v/>
      </c>
      <c r="D1883">
        <v>21.626999999999999</v>
      </c>
      <c r="E1883">
        <v>3.6</v>
      </c>
      <c r="F1883">
        <v>1</v>
      </c>
      <c r="G1883">
        <v>2</v>
      </c>
      <c r="H1883">
        <v>1</v>
      </c>
      <c r="I1883" s="7">
        <v>0.56083181339430199</v>
      </c>
      <c r="J1883" s="6">
        <v>1.1624247910121901</v>
      </c>
      <c r="K1883" s="6">
        <v>0.60348020787262302</v>
      </c>
      <c r="L1883">
        <v>1.57436236382267</v>
      </c>
      <c r="M1883">
        <v>0.68193093442518204</v>
      </c>
    </row>
    <row r="1884" spans="1:13" x14ac:dyDescent="0.25">
      <c r="A1884">
        <v>1940</v>
      </c>
      <c r="B1884" t="str">
        <f>"WDR73"</f>
        <v>WDR73</v>
      </c>
      <c r="C1884" t="str">
        <f>""</f>
        <v/>
      </c>
      <c r="D1884">
        <v>41.685000000000002</v>
      </c>
      <c r="E1884">
        <v>2.6</v>
      </c>
      <c r="F1884">
        <v>1</v>
      </c>
      <c r="G1884">
        <v>2</v>
      </c>
      <c r="H1884">
        <v>1</v>
      </c>
      <c r="I1884" s="7">
        <v>0.56083181339430199</v>
      </c>
      <c r="J1884" s="6">
        <v>1.1624247910121901</v>
      </c>
      <c r="K1884" s="6">
        <v>0.60348020787262302</v>
      </c>
      <c r="L1884">
        <v>1.57436236382267</v>
      </c>
      <c r="M1884">
        <v>0.68193093442518204</v>
      </c>
    </row>
    <row r="1885" spans="1:13" x14ac:dyDescent="0.25">
      <c r="A1885">
        <v>2001</v>
      </c>
      <c r="B1885" t="str">
        <f>"BZW1"</f>
        <v>BZW1</v>
      </c>
      <c r="C1885" t="str">
        <f>""</f>
        <v/>
      </c>
      <c r="D1885">
        <v>48.042999999999999</v>
      </c>
      <c r="E1885">
        <v>5.5</v>
      </c>
      <c r="F1885">
        <v>1</v>
      </c>
      <c r="G1885">
        <v>2</v>
      </c>
      <c r="H1885">
        <v>1</v>
      </c>
      <c r="I1885" s="7">
        <v>0.56083181339430199</v>
      </c>
      <c r="J1885" s="6">
        <v>1.1624247910121901</v>
      </c>
      <c r="K1885" s="6">
        <v>0.60348020787262302</v>
      </c>
      <c r="L1885">
        <v>1.57436236382267</v>
      </c>
      <c r="M1885">
        <v>0.68193093442518204</v>
      </c>
    </row>
    <row r="1886" spans="1:13" x14ac:dyDescent="0.25">
      <c r="A1886">
        <v>2038</v>
      </c>
      <c r="B1886" t="str">
        <f>"CMC1"</f>
        <v>CMC1</v>
      </c>
      <c r="C1886" t="str">
        <f>""</f>
        <v/>
      </c>
      <c r="D1886">
        <v>12.49</v>
      </c>
      <c r="E1886">
        <v>9.4</v>
      </c>
      <c r="F1886">
        <v>1</v>
      </c>
      <c r="G1886">
        <v>2</v>
      </c>
      <c r="H1886">
        <v>1</v>
      </c>
      <c r="I1886" s="7">
        <v>0.56083181339430199</v>
      </c>
      <c r="J1886" s="6">
        <v>1.1624247910121901</v>
      </c>
      <c r="K1886" s="6">
        <v>0.60348020787262302</v>
      </c>
      <c r="L1886">
        <v>1.57436236382267</v>
      </c>
      <c r="M1886">
        <v>0.68193093442518204</v>
      </c>
    </row>
    <row r="1887" spans="1:13" x14ac:dyDescent="0.25">
      <c r="A1887">
        <v>2068</v>
      </c>
      <c r="B1887" t="str">
        <f>"PARG"</f>
        <v>PARG</v>
      </c>
      <c r="C1887" t="str">
        <f>""</f>
        <v/>
      </c>
      <c r="D1887">
        <v>54.792999999999999</v>
      </c>
      <c r="E1887">
        <v>4.5999999999999996</v>
      </c>
      <c r="F1887">
        <v>1</v>
      </c>
      <c r="G1887">
        <v>2</v>
      </c>
      <c r="H1887">
        <v>1</v>
      </c>
      <c r="I1887" s="7">
        <v>0.56083181339430199</v>
      </c>
      <c r="J1887" s="6">
        <v>1.1624247910121901</v>
      </c>
      <c r="K1887" s="6">
        <v>0.60348020787262302</v>
      </c>
      <c r="L1887">
        <v>1.57436236382267</v>
      </c>
      <c r="M1887">
        <v>0.68193093442518204</v>
      </c>
    </row>
    <row r="1888" spans="1:13" x14ac:dyDescent="0.25">
      <c r="A1888">
        <v>2112</v>
      </c>
      <c r="B1888" t="str">
        <f>"THNSL1"</f>
        <v>THNSL1</v>
      </c>
      <c r="C1888" t="str">
        <f>""</f>
        <v/>
      </c>
      <c r="D1888">
        <v>83.069000000000003</v>
      </c>
      <c r="E1888">
        <v>2</v>
      </c>
      <c r="F1888">
        <v>1</v>
      </c>
      <c r="G1888">
        <v>2</v>
      </c>
      <c r="H1888">
        <v>1</v>
      </c>
      <c r="I1888" s="7">
        <v>0.56083181339430199</v>
      </c>
      <c r="J1888" s="6">
        <v>1.1624247910121901</v>
      </c>
      <c r="K1888" s="6">
        <v>0.60348020787262302</v>
      </c>
      <c r="L1888">
        <v>1.57436236382267</v>
      </c>
      <c r="M1888">
        <v>0.68193093442518204</v>
      </c>
    </row>
    <row r="1889" spans="1:13" x14ac:dyDescent="0.25">
      <c r="A1889">
        <v>2115</v>
      </c>
      <c r="B1889" t="str">
        <f>"PHACTR4"</f>
        <v>PHACTR4</v>
      </c>
      <c r="C1889" t="str">
        <f>""</f>
        <v/>
      </c>
      <c r="D1889">
        <v>76.435000000000002</v>
      </c>
      <c r="E1889">
        <v>5.4</v>
      </c>
      <c r="F1889">
        <v>1</v>
      </c>
      <c r="G1889">
        <v>2</v>
      </c>
      <c r="H1889">
        <v>1</v>
      </c>
      <c r="I1889" s="7">
        <v>0.56083181339430199</v>
      </c>
      <c r="J1889" s="6">
        <v>1.1624247910121901</v>
      </c>
      <c r="K1889" s="6">
        <v>0.60348020787262302</v>
      </c>
      <c r="L1889">
        <v>1.57436236382267</v>
      </c>
      <c r="M1889">
        <v>0.68193093442518204</v>
      </c>
    </row>
    <row r="1890" spans="1:13" x14ac:dyDescent="0.25">
      <c r="A1890">
        <v>2199</v>
      </c>
      <c r="B1890" t="str">
        <f>"CMAS"</f>
        <v>CMAS</v>
      </c>
      <c r="C1890" t="str">
        <f>""</f>
        <v/>
      </c>
      <c r="D1890">
        <v>48.378999999999998</v>
      </c>
      <c r="E1890">
        <v>3.9</v>
      </c>
      <c r="F1890">
        <v>1</v>
      </c>
      <c r="G1890">
        <v>2</v>
      </c>
      <c r="H1890">
        <v>1</v>
      </c>
      <c r="I1890" s="7">
        <v>0.56083181339430199</v>
      </c>
      <c r="J1890" s="6">
        <v>1.1624247910121901</v>
      </c>
      <c r="K1890" s="6">
        <v>0.60348020787262302</v>
      </c>
      <c r="L1890">
        <v>1.57436236382267</v>
      </c>
      <c r="M1890">
        <v>0.68193093442518204</v>
      </c>
    </row>
    <row r="1891" spans="1:13" x14ac:dyDescent="0.25">
      <c r="A1891">
        <v>2240</v>
      </c>
      <c r="B1891" t="str">
        <f>"CHTF18"</f>
        <v>CHTF18</v>
      </c>
      <c r="C1891" t="str">
        <f>""</f>
        <v/>
      </c>
      <c r="D1891">
        <v>61.868000000000002</v>
      </c>
      <c r="E1891">
        <v>5.6</v>
      </c>
      <c r="F1891">
        <v>1</v>
      </c>
      <c r="G1891">
        <v>2</v>
      </c>
      <c r="H1891">
        <v>1</v>
      </c>
      <c r="I1891" s="7">
        <v>0.56083181339430199</v>
      </c>
      <c r="J1891" s="6">
        <v>1.1624247910121901</v>
      </c>
      <c r="K1891" s="6">
        <v>0.60348020787262302</v>
      </c>
      <c r="L1891">
        <v>1.57436236382267</v>
      </c>
      <c r="M1891">
        <v>0.68193093442518204</v>
      </c>
    </row>
    <row r="1892" spans="1:13" x14ac:dyDescent="0.25">
      <c r="A1892">
        <v>2272</v>
      </c>
      <c r="B1892" t="str">
        <f>"MRPS27"</f>
        <v>MRPS27</v>
      </c>
      <c r="C1892" t="str">
        <f>""</f>
        <v/>
      </c>
      <c r="D1892">
        <v>47.610999999999997</v>
      </c>
      <c r="E1892">
        <v>6.3</v>
      </c>
      <c r="F1892">
        <v>1</v>
      </c>
      <c r="G1892">
        <v>2</v>
      </c>
      <c r="H1892">
        <v>1</v>
      </c>
      <c r="I1892" s="7">
        <v>0.56083181339430199</v>
      </c>
      <c r="J1892" s="6">
        <v>1.1624247910121901</v>
      </c>
      <c r="K1892" s="6">
        <v>0.60348020787262302</v>
      </c>
      <c r="L1892">
        <v>1.57436236382267</v>
      </c>
      <c r="M1892">
        <v>0.68193093442518204</v>
      </c>
    </row>
    <row r="1893" spans="1:13" x14ac:dyDescent="0.25">
      <c r="A1893">
        <v>2309</v>
      </c>
      <c r="B1893" t="str">
        <f>"ARHGEF2"</f>
        <v>ARHGEF2</v>
      </c>
      <c r="C1893" t="str">
        <f>""</f>
        <v/>
      </c>
      <c r="D1893">
        <v>108.24</v>
      </c>
      <c r="E1893">
        <v>2.2000000000000002</v>
      </c>
      <c r="F1893">
        <v>1</v>
      </c>
      <c r="G1893">
        <v>2</v>
      </c>
      <c r="H1893">
        <v>1</v>
      </c>
      <c r="I1893" s="7">
        <v>0.56083181339430199</v>
      </c>
      <c r="J1893" s="6">
        <v>1.1624247910121901</v>
      </c>
      <c r="K1893" s="6">
        <v>0.60348020787262302</v>
      </c>
      <c r="L1893">
        <v>1.57436236382267</v>
      </c>
      <c r="M1893">
        <v>0.68193093442518204</v>
      </c>
    </row>
    <row r="1894" spans="1:13" x14ac:dyDescent="0.25">
      <c r="A1894">
        <v>2347</v>
      </c>
      <c r="B1894" t="str">
        <f>"PYCR2"</f>
        <v>PYCR2</v>
      </c>
      <c r="C1894" t="str">
        <f>""</f>
        <v/>
      </c>
      <c r="D1894">
        <v>33.637</v>
      </c>
      <c r="E1894">
        <v>6.9</v>
      </c>
      <c r="F1894">
        <v>1</v>
      </c>
      <c r="G1894">
        <v>2</v>
      </c>
      <c r="H1894">
        <v>1</v>
      </c>
      <c r="I1894" s="7">
        <v>0.56083181339430199</v>
      </c>
      <c r="J1894" s="6">
        <v>1.1624247910121901</v>
      </c>
      <c r="K1894" s="6">
        <v>0.60348020787262302</v>
      </c>
      <c r="L1894">
        <v>1.57436236382267</v>
      </c>
      <c r="M1894">
        <v>0.68193093442518204</v>
      </c>
    </row>
    <row r="1895" spans="1:13" x14ac:dyDescent="0.25">
      <c r="A1895">
        <v>2374</v>
      </c>
      <c r="B1895" t="str">
        <f>"DAZAP1"</f>
        <v>DAZAP1</v>
      </c>
      <c r="C1895" t="str">
        <f>""</f>
        <v/>
      </c>
      <c r="D1895">
        <v>40.529000000000003</v>
      </c>
      <c r="E1895">
        <v>6.6</v>
      </c>
      <c r="F1895">
        <v>1</v>
      </c>
      <c r="G1895">
        <v>2</v>
      </c>
      <c r="H1895">
        <v>1</v>
      </c>
      <c r="I1895" s="7">
        <v>0.56083181339430199</v>
      </c>
      <c r="J1895" s="6">
        <v>1.1624247910121901</v>
      </c>
      <c r="K1895" s="6">
        <v>0.60348020787262302</v>
      </c>
      <c r="L1895">
        <v>1.57436236382267</v>
      </c>
      <c r="M1895">
        <v>0.68193093442518204</v>
      </c>
    </row>
    <row r="1896" spans="1:13" x14ac:dyDescent="0.25">
      <c r="A1896">
        <v>2386</v>
      </c>
      <c r="B1896" t="str">
        <f>"THOC1"</f>
        <v>THOC1</v>
      </c>
      <c r="C1896" t="str">
        <f>""</f>
        <v/>
      </c>
      <c r="D1896">
        <v>75.665000000000006</v>
      </c>
      <c r="E1896">
        <v>4.5999999999999996</v>
      </c>
      <c r="F1896">
        <v>1</v>
      </c>
      <c r="G1896">
        <v>2</v>
      </c>
      <c r="H1896">
        <v>1</v>
      </c>
      <c r="I1896" s="7">
        <v>0.56083181339430199</v>
      </c>
      <c r="J1896" s="6">
        <v>1.1624247910121901</v>
      </c>
      <c r="K1896" s="6">
        <v>0.60348020787262302</v>
      </c>
      <c r="L1896">
        <v>1.57436236382267</v>
      </c>
      <c r="M1896">
        <v>0.68193093442518204</v>
      </c>
    </row>
    <row r="1897" spans="1:13" x14ac:dyDescent="0.25">
      <c r="A1897">
        <v>2404</v>
      </c>
      <c r="B1897" t="str">
        <f>"REEP6"</f>
        <v>REEP6</v>
      </c>
      <c r="C1897" t="str">
        <f>""</f>
        <v/>
      </c>
      <c r="D1897">
        <v>20.733000000000001</v>
      </c>
      <c r="E1897">
        <v>5.4</v>
      </c>
      <c r="F1897">
        <v>1</v>
      </c>
      <c r="G1897">
        <v>2</v>
      </c>
      <c r="H1897">
        <v>1</v>
      </c>
      <c r="I1897" s="7">
        <v>0.56083181339430199</v>
      </c>
      <c r="J1897" s="6">
        <v>1.1624247910121901</v>
      </c>
      <c r="K1897" s="6">
        <v>0.60348020787262302</v>
      </c>
      <c r="L1897">
        <v>1.57436236382267</v>
      </c>
      <c r="M1897">
        <v>0.68193093442518204</v>
      </c>
    </row>
    <row r="1898" spans="1:13" x14ac:dyDescent="0.25">
      <c r="A1898">
        <v>2491</v>
      </c>
      <c r="B1898" t="str">
        <f>"NAP1L4"</f>
        <v>NAP1L4</v>
      </c>
      <c r="C1898" t="str">
        <f>""</f>
        <v/>
      </c>
      <c r="D1898">
        <v>42.823</v>
      </c>
      <c r="E1898">
        <v>2.7</v>
      </c>
      <c r="F1898">
        <v>1</v>
      </c>
      <c r="G1898">
        <v>2</v>
      </c>
      <c r="H1898">
        <v>1</v>
      </c>
      <c r="I1898" s="7">
        <v>0.56083181339430199</v>
      </c>
      <c r="J1898" s="6">
        <v>1.1624247910121901</v>
      </c>
      <c r="K1898" s="6">
        <v>0.60348020787262302</v>
      </c>
      <c r="L1898">
        <v>1.57436236382267</v>
      </c>
      <c r="M1898">
        <v>0.68193093442518204</v>
      </c>
    </row>
    <row r="1899" spans="1:13" x14ac:dyDescent="0.25">
      <c r="A1899">
        <v>2597</v>
      </c>
      <c r="B1899" t="str">
        <f>"HDAC8"</f>
        <v>HDAC8</v>
      </c>
      <c r="C1899" t="str">
        <f>""</f>
        <v/>
      </c>
      <c r="D1899">
        <v>31.934000000000001</v>
      </c>
      <c r="E1899">
        <v>3.1</v>
      </c>
      <c r="F1899">
        <v>1</v>
      </c>
      <c r="G1899">
        <v>2</v>
      </c>
      <c r="H1899">
        <v>1</v>
      </c>
      <c r="I1899" s="7">
        <v>0.56083181339430199</v>
      </c>
      <c r="J1899" s="6">
        <v>1.1624247910121901</v>
      </c>
      <c r="K1899" s="6">
        <v>0.60348020787262302</v>
      </c>
      <c r="L1899">
        <v>1.57436236382267</v>
      </c>
      <c r="M1899">
        <v>0.68193093442518204</v>
      </c>
    </row>
    <row r="1900" spans="1:13" x14ac:dyDescent="0.25">
      <c r="A1900">
        <v>2613</v>
      </c>
      <c r="B1900" t="str">
        <f>"UACA"</f>
        <v>UACA</v>
      </c>
      <c r="C1900" t="str">
        <f>""</f>
        <v/>
      </c>
      <c r="D1900">
        <v>161.51</v>
      </c>
      <c r="E1900">
        <v>2.4</v>
      </c>
      <c r="F1900">
        <v>1</v>
      </c>
      <c r="G1900">
        <v>2</v>
      </c>
      <c r="H1900">
        <v>1</v>
      </c>
      <c r="I1900" s="7">
        <v>0.56083181339430199</v>
      </c>
      <c r="J1900" s="6">
        <v>1.1624247910121901</v>
      </c>
      <c r="K1900" s="6">
        <v>0.60348020787262302</v>
      </c>
      <c r="L1900">
        <v>1.57436236382267</v>
      </c>
      <c r="M1900">
        <v>0.68193093442518204</v>
      </c>
    </row>
    <row r="1901" spans="1:13" x14ac:dyDescent="0.25">
      <c r="A1901">
        <v>2696</v>
      </c>
      <c r="B1901" t="str">
        <f>"RPF2"</f>
        <v>RPF2</v>
      </c>
      <c r="C1901" t="str">
        <f>""</f>
        <v/>
      </c>
      <c r="D1901">
        <v>35.582000000000001</v>
      </c>
      <c r="E1901">
        <v>6.9</v>
      </c>
      <c r="F1901">
        <v>1</v>
      </c>
      <c r="G1901">
        <v>2</v>
      </c>
      <c r="H1901">
        <v>1</v>
      </c>
      <c r="I1901" s="7">
        <v>0.56083181339430199</v>
      </c>
      <c r="J1901" s="6">
        <v>1.1624247910121901</v>
      </c>
      <c r="K1901" s="6">
        <v>0.60348020787262302</v>
      </c>
      <c r="L1901">
        <v>1.57436236382267</v>
      </c>
      <c r="M1901">
        <v>0.68193093442518204</v>
      </c>
    </row>
    <row r="1902" spans="1:13" x14ac:dyDescent="0.25">
      <c r="A1902">
        <v>2774</v>
      </c>
      <c r="B1902" t="str">
        <f>"DIABLO"</f>
        <v>DIABLO</v>
      </c>
      <c r="C1902" t="str">
        <f>""</f>
        <v/>
      </c>
      <c r="D1902">
        <v>21.231999999999999</v>
      </c>
      <c r="E1902">
        <v>14.5</v>
      </c>
      <c r="F1902">
        <v>1</v>
      </c>
      <c r="G1902">
        <v>2</v>
      </c>
      <c r="H1902">
        <v>1</v>
      </c>
      <c r="I1902" s="7">
        <v>0.56083181339430199</v>
      </c>
      <c r="J1902" s="6">
        <v>1.1624247910121901</v>
      </c>
      <c r="K1902" s="6">
        <v>0.60348020787262302</v>
      </c>
      <c r="L1902">
        <v>1.57436236382267</v>
      </c>
      <c r="M1902">
        <v>0.68193093442518204</v>
      </c>
    </row>
    <row r="1903" spans="1:13" x14ac:dyDescent="0.25">
      <c r="A1903">
        <v>2794</v>
      </c>
      <c r="B1903" t="str">
        <f>"HELLS"</f>
        <v>HELLS</v>
      </c>
      <c r="C1903" t="str">
        <f>""</f>
        <v/>
      </c>
      <c r="D1903">
        <v>90.765000000000001</v>
      </c>
      <c r="E1903">
        <v>3.8</v>
      </c>
      <c r="F1903">
        <v>1</v>
      </c>
      <c r="G1903">
        <v>2</v>
      </c>
      <c r="H1903">
        <v>1</v>
      </c>
      <c r="I1903" s="7">
        <v>0.56083181339430199</v>
      </c>
      <c r="J1903" s="6">
        <v>1.1624247910121901</v>
      </c>
      <c r="K1903" s="6">
        <v>0.60348020787262302</v>
      </c>
      <c r="L1903">
        <v>1.57436236382267</v>
      </c>
      <c r="M1903">
        <v>0.68193093442518204</v>
      </c>
    </row>
    <row r="1904" spans="1:13" x14ac:dyDescent="0.25">
      <c r="A1904">
        <v>2830</v>
      </c>
      <c r="B1904" t="str">
        <f>"ARMC1"</f>
        <v>ARMC1</v>
      </c>
      <c r="C1904" t="str">
        <f>""</f>
        <v/>
      </c>
      <c r="D1904">
        <v>20.312000000000001</v>
      </c>
      <c r="E1904">
        <v>6.7</v>
      </c>
      <c r="F1904">
        <v>1</v>
      </c>
      <c r="G1904">
        <v>2</v>
      </c>
      <c r="H1904">
        <v>1</v>
      </c>
      <c r="I1904" s="7">
        <v>0.56083181339430199</v>
      </c>
      <c r="J1904" s="6">
        <v>1.1624247910121901</v>
      </c>
      <c r="K1904" s="6">
        <v>0.60348020787262302</v>
      </c>
      <c r="L1904">
        <v>1.57436236382267</v>
      </c>
      <c r="M1904">
        <v>0.68193093442518204</v>
      </c>
    </row>
    <row r="1905" spans="1:13" x14ac:dyDescent="0.25">
      <c r="A1905">
        <v>2904</v>
      </c>
      <c r="B1905" t="str">
        <f>"LARS"</f>
        <v>LARS</v>
      </c>
      <c r="C1905" t="str">
        <f>""</f>
        <v/>
      </c>
      <c r="D1905">
        <v>134.46</v>
      </c>
      <c r="E1905">
        <v>6.8</v>
      </c>
      <c r="F1905">
        <v>1</v>
      </c>
      <c r="G1905">
        <v>2</v>
      </c>
      <c r="H1905">
        <v>1</v>
      </c>
      <c r="I1905" s="7">
        <v>0.56083181339430199</v>
      </c>
      <c r="J1905" s="6">
        <v>1.1624247910121901</v>
      </c>
      <c r="K1905" s="6">
        <v>0.60348020787262302</v>
      </c>
      <c r="L1905">
        <v>1.57436236382267</v>
      </c>
      <c r="M1905">
        <v>0.68193093442518204</v>
      </c>
    </row>
    <row r="1906" spans="1:13" x14ac:dyDescent="0.25">
      <c r="A1906">
        <v>2905</v>
      </c>
      <c r="B1906" t="str">
        <f>"RCOR3;RCOR1"</f>
        <v>RCOR3;RCOR1</v>
      </c>
      <c r="C1906" t="str">
        <f>""</f>
        <v/>
      </c>
      <c r="D1906">
        <v>47.759</v>
      </c>
      <c r="E1906">
        <v>4.5999999999999996</v>
      </c>
      <c r="F1906">
        <v>1</v>
      </c>
      <c r="G1906">
        <v>2</v>
      </c>
      <c r="H1906">
        <v>1</v>
      </c>
      <c r="I1906" s="7">
        <v>0.56083181339430199</v>
      </c>
      <c r="J1906" s="6">
        <v>1.1624247910121901</v>
      </c>
      <c r="K1906" s="6">
        <v>0.60348020787262302</v>
      </c>
      <c r="L1906">
        <v>1.57436236382267</v>
      </c>
      <c r="M1906">
        <v>0.68193093442518204</v>
      </c>
    </row>
    <row r="1907" spans="1:13" x14ac:dyDescent="0.25">
      <c r="A1907">
        <v>2909</v>
      </c>
      <c r="B1907" t="str">
        <f>"DPM3"</f>
        <v>DPM3</v>
      </c>
      <c r="C1907" t="str">
        <f>""</f>
        <v/>
      </c>
      <c r="D1907">
        <v>10.093999999999999</v>
      </c>
      <c r="E1907">
        <v>10.9</v>
      </c>
      <c r="F1907">
        <v>1</v>
      </c>
      <c r="G1907">
        <v>2</v>
      </c>
      <c r="H1907">
        <v>1</v>
      </c>
      <c r="I1907" s="7">
        <v>0.56083181339430199</v>
      </c>
      <c r="J1907" s="6">
        <v>1.1624247910121901</v>
      </c>
      <c r="K1907" s="6">
        <v>0.60348020787262302</v>
      </c>
      <c r="L1907">
        <v>1.57436236382267</v>
      </c>
      <c r="M1907">
        <v>0.68193093442518204</v>
      </c>
    </row>
    <row r="1908" spans="1:13" x14ac:dyDescent="0.25">
      <c r="A1908">
        <v>3023</v>
      </c>
      <c r="B1908" t="str">
        <f>"TRIM33"</f>
        <v>TRIM33</v>
      </c>
      <c r="C1908" t="str">
        <f>"TRIM33"</f>
        <v>TRIM33</v>
      </c>
      <c r="D1908">
        <v>120.54</v>
      </c>
      <c r="E1908">
        <v>2.2000000000000002</v>
      </c>
      <c r="F1908">
        <v>1</v>
      </c>
      <c r="G1908">
        <v>2</v>
      </c>
      <c r="H1908">
        <v>1</v>
      </c>
      <c r="I1908" s="7">
        <v>0.56083181339430199</v>
      </c>
      <c r="J1908" s="6">
        <v>1.1624247910121901</v>
      </c>
      <c r="K1908" s="6">
        <v>0.60348020787262302</v>
      </c>
      <c r="L1908">
        <v>1.57436236382267</v>
      </c>
      <c r="M1908">
        <v>0.68193093442518204</v>
      </c>
    </row>
    <row r="1909" spans="1:13" x14ac:dyDescent="0.25">
      <c r="A1909">
        <v>3025</v>
      </c>
      <c r="B1909" t="str">
        <f>"TNRC6B"</f>
        <v>TNRC6B</v>
      </c>
      <c r="C1909" t="str">
        <f>""</f>
        <v/>
      </c>
      <c r="D1909">
        <v>182.81</v>
      </c>
      <c r="E1909">
        <v>1.3</v>
      </c>
      <c r="F1909">
        <v>1</v>
      </c>
      <c r="G1909">
        <v>2</v>
      </c>
      <c r="H1909">
        <v>1</v>
      </c>
      <c r="I1909" s="7">
        <v>0.56083181339430199</v>
      </c>
      <c r="J1909" s="6">
        <v>1.1624247910121901</v>
      </c>
      <c r="K1909" s="6">
        <v>0.60348020787262302</v>
      </c>
      <c r="L1909">
        <v>1.57436236382267</v>
      </c>
      <c r="M1909">
        <v>0.68193093442518204</v>
      </c>
    </row>
    <row r="1910" spans="1:13" x14ac:dyDescent="0.25">
      <c r="A1910">
        <v>3072</v>
      </c>
      <c r="B1910" t="str">
        <f>"GIT1"</f>
        <v>GIT1</v>
      </c>
      <c r="C1910" t="str">
        <f>""</f>
        <v/>
      </c>
      <c r="D1910">
        <v>84.34</v>
      </c>
      <c r="E1910">
        <v>3.2</v>
      </c>
      <c r="F1910">
        <v>1</v>
      </c>
      <c r="G1910">
        <v>2</v>
      </c>
      <c r="H1910">
        <v>1</v>
      </c>
      <c r="I1910" s="7">
        <v>0.56083181339430199</v>
      </c>
      <c r="J1910" s="6">
        <v>1.1624247910121901</v>
      </c>
      <c r="K1910" s="6">
        <v>0.60348020787262302</v>
      </c>
      <c r="L1910">
        <v>1.57436236382267</v>
      </c>
      <c r="M1910">
        <v>0.68193093442518204</v>
      </c>
    </row>
    <row r="1911" spans="1:13" x14ac:dyDescent="0.25">
      <c r="A1911">
        <v>952</v>
      </c>
      <c r="B1911" t="str">
        <f>"AGL"</f>
        <v>AGL</v>
      </c>
      <c r="C1911" t="str">
        <f>""</f>
        <v/>
      </c>
      <c r="D1911">
        <v>174.76</v>
      </c>
      <c r="E1911">
        <v>5.9</v>
      </c>
      <c r="F1911">
        <v>8</v>
      </c>
      <c r="G1911">
        <v>9</v>
      </c>
      <c r="H1911">
        <v>9</v>
      </c>
      <c r="I1911" s="7">
        <v>4.4866545071544204</v>
      </c>
      <c r="J1911" s="6">
        <v>5.2309115595548699</v>
      </c>
      <c r="K1911" s="6">
        <v>5.4313218708536004</v>
      </c>
      <c r="L1911">
        <v>1.18821645542425</v>
      </c>
      <c r="M1911">
        <v>0.68378377362022502</v>
      </c>
    </row>
    <row r="1912" spans="1:13" x14ac:dyDescent="0.25">
      <c r="A1912">
        <v>1091</v>
      </c>
      <c r="B1912" t="str">
        <f>"ALDH9A1"</f>
        <v>ALDH9A1</v>
      </c>
      <c r="C1912" t="str">
        <f>""</f>
        <v/>
      </c>
      <c r="D1912">
        <v>56.290999999999997</v>
      </c>
      <c r="E1912">
        <v>9.8000000000000007</v>
      </c>
      <c r="F1912">
        <v>8</v>
      </c>
      <c r="G1912">
        <v>9</v>
      </c>
      <c r="H1912">
        <v>9</v>
      </c>
      <c r="I1912" s="7">
        <v>4.4866545071544204</v>
      </c>
      <c r="J1912" s="6">
        <v>5.2309115595548699</v>
      </c>
      <c r="K1912" s="6">
        <v>5.4313218708536004</v>
      </c>
      <c r="L1912">
        <v>1.18821645542425</v>
      </c>
      <c r="M1912">
        <v>0.68378377362022502</v>
      </c>
    </row>
    <row r="1913" spans="1:13" x14ac:dyDescent="0.25">
      <c r="A1913">
        <v>1743</v>
      </c>
      <c r="B1913" t="str">
        <f>"MAPRE1"</f>
        <v>MAPRE1</v>
      </c>
      <c r="C1913" t="str">
        <f>""</f>
        <v/>
      </c>
      <c r="D1913">
        <v>29.998999999999999</v>
      </c>
      <c r="E1913">
        <v>20.9</v>
      </c>
      <c r="F1913">
        <v>8</v>
      </c>
      <c r="G1913">
        <v>9</v>
      </c>
      <c r="H1913">
        <v>9</v>
      </c>
      <c r="I1913" s="7">
        <v>4.4866545071544204</v>
      </c>
      <c r="J1913" s="6">
        <v>5.2309115595548699</v>
      </c>
      <c r="K1913" s="6">
        <v>5.4313218708536004</v>
      </c>
      <c r="L1913">
        <v>1.18821645542425</v>
      </c>
      <c r="M1913">
        <v>0.68378377362022502</v>
      </c>
    </row>
    <row r="1914" spans="1:13" x14ac:dyDescent="0.25">
      <c r="A1914">
        <v>1945</v>
      </c>
      <c r="B1914" t="str">
        <f>"DARS2"</f>
        <v>DARS2</v>
      </c>
      <c r="C1914" t="str">
        <f>""</f>
        <v/>
      </c>
      <c r="D1914">
        <v>73.561999999999998</v>
      </c>
      <c r="E1914">
        <v>7.3</v>
      </c>
      <c r="F1914">
        <v>8</v>
      </c>
      <c r="G1914">
        <v>8</v>
      </c>
      <c r="H1914">
        <v>10</v>
      </c>
      <c r="I1914" s="7">
        <v>4.4866545071544204</v>
      </c>
      <c r="J1914" s="6">
        <v>4.6496991640487702</v>
      </c>
      <c r="K1914" s="6">
        <v>6.03480207872623</v>
      </c>
      <c r="L1914">
        <v>1.1906980162766601</v>
      </c>
      <c r="M1914">
        <v>0.68390312018594601</v>
      </c>
    </row>
    <row r="1915" spans="1:13" x14ac:dyDescent="0.25">
      <c r="A1915">
        <v>2268</v>
      </c>
      <c r="B1915" t="str">
        <f>"GBF1"</f>
        <v>GBF1</v>
      </c>
      <c r="C1915" t="str">
        <f>""</f>
        <v/>
      </c>
      <c r="D1915">
        <v>206.01</v>
      </c>
      <c r="E1915">
        <v>3.4</v>
      </c>
      <c r="F1915">
        <v>8</v>
      </c>
      <c r="G1915">
        <v>7</v>
      </c>
      <c r="H1915">
        <v>11</v>
      </c>
      <c r="I1915" s="7">
        <v>4.4866545071544204</v>
      </c>
      <c r="J1915" s="6">
        <v>4.0684867685426802</v>
      </c>
      <c r="K1915" s="6">
        <v>6.6382822865988498</v>
      </c>
      <c r="L1915">
        <v>1.1931795771290701</v>
      </c>
      <c r="M1915">
        <v>0.68426138245124601</v>
      </c>
    </row>
    <row r="1916" spans="1:13" x14ac:dyDescent="0.25">
      <c r="A1916">
        <v>1131</v>
      </c>
      <c r="B1916" t="str">
        <f>"GDI2"</f>
        <v>GDI2</v>
      </c>
      <c r="C1916" t="str">
        <f>""</f>
        <v/>
      </c>
      <c r="D1916">
        <v>50.662999999999997</v>
      </c>
      <c r="E1916">
        <v>25.2</v>
      </c>
      <c r="F1916">
        <v>8</v>
      </c>
      <c r="G1916">
        <v>7</v>
      </c>
      <c r="H1916">
        <v>11</v>
      </c>
      <c r="I1916" s="7">
        <v>4.4866545071544204</v>
      </c>
      <c r="J1916" s="6">
        <v>4.0684867685426802</v>
      </c>
      <c r="K1916" s="6">
        <v>6.6382822865988498</v>
      </c>
      <c r="L1916">
        <v>1.1931795771290701</v>
      </c>
      <c r="M1916">
        <v>0.68426138245124601</v>
      </c>
    </row>
    <row r="1917" spans="1:13" x14ac:dyDescent="0.25">
      <c r="A1917">
        <v>1365</v>
      </c>
      <c r="B1917" t="str">
        <f>"TUBA1B;TUBA1A;TUBA4A;TUBA1C;TUBA3E"</f>
        <v>TUBA1B;TUBA1A;TUBA4A;TUBA1C;TUBA3E</v>
      </c>
      <c r="C1917" t="str">
        <f>""</f>
        <v/>
      </c>
      <c r="D1917">
        <v>50.151000000000003</v>
      </c>
      <c r="E1917">
        <v>14.2</v>
      </c>
      <c r="F1917">
        <v>19</v>
      </c>
      <c r="G1917">
        <v>15</v>
      </c>
      <c r="H1917">
        <v>17</v>
      </c>
      <c r="I1917" s="7">
        <v>10.655804454491699</v>
      </c>
      <c r="J1917" s="6">
        <v>8.7181859325914495</v>
      </c>
      <c r="K1917" s="6">
        <v>10.259163533834601</v>
      </c>
      <c r="L1917">
        <v>-1.12300239539179</v>
      </c>
      <c r="M1917">
        <v>0.687785764460773</v>
      </c>
    </row>
    <row r="1918" spans="1:13" x14ac:dyDescent="0.25">
      <c r="A1918">
        <v>238</v>
      </c>
      <c r="B1918" t="str">
        <f>"AP1G1"</f>
        <v>AP1G1</v>
      </c>
      <c r="C1918" t="str">
        <f>""</f>
        <v/>
      </c>
      <c r="D1918">
        <v>91.35</v>
      </c>
      <c r="E1918">
        <v>5.6</v>
      </c>
      <c r="F1918">
        <v>9</v>
      </c>
      <c r="G1918">
        <v>10</v>
      </c>
      <c r="H1918">
        <v>10</v>
      </c>
      <c r="I1918" s="7">
        <v>5.0474863205487202</v>
      </c>
      <c r="J1918" s="6">
        <v>5.8121239550609696</v>
      </c>
      <c r="K1918" s="6">
        <v>6.03480207872623</v>
      </c>
      <c r="L1918">
        <v>1.1735471164683899</v>
      </c>
      <c r="M1918">
        <v>0.68935750255209605</v>
      </c>
    </row>
    <row r="1919" spans="1:13" x14ac:dyDescent="0.25">
      <c r="A1919">
        <v>1399</v>
      </c>
      <c r="B1919" t="str">
        <f>"RBM10"</f>
        <v>RBM10</v>
      </c>
      <c r="C1919" t="str">
        <f>""</f>
        <v/>
      </c>
      <c r="D1919">
        <v>94.369</v>
      </c>
      <c r="E1919">
        <v>7.6</v>
      </c>
      <c r="F1919">
        <v>9</v>
      </c>
      <c r="G1919">
        <v>8</v>
      </c>
      <c r="H1919">
        <v>12</v>
      </c>
      <c r="I1919" s="7">
        <v>5.0474863205487202</v>
      </c>
      <c r="J1919" s="6">
        <v>4.6496991640487702</v>
      </c>
      <c r="K1919" s="6">
        <v>7.2417624944714696</v>
      </c>
      <c r="L1919">
        <v>1.1779587802060201</v>
      </c>
      <c r="M1919">
        <v>0.68976598606460904</v>
      </c>
    </row>
    <row r="1920" spans="1:13" x14ac:dyDescent="0.25">
      <c r="A1920">
        <v>400</v>
      </c>
      <c r="B1920" t="str">
        <f>"SMC2"</f>
        <v>SMC2</v>
      </c>
      <c r="C1920" t="str">
        <f>""</f>
        <v/>
      </c>
      <c r="D1920">
        <v>124.92</v>
      </c>
      <c r="E1920">
        <v>9.6</v>
      </c>
      <c r="F1920">
        <v>9</v>
      </c>
      <c r="G1920">
        <v>12</v>
      </c>
      <c r="H1920">
        <v>8</v>
      </c>
      <c r="I1920" s="7">
        <v>5.0474863205487202</v>
      </c>
      <c r="J1920" s="6">
        <v>6.9745487460731601</v>
      </c>
      <c r="K1920" s="6">
        <v>4.8278416629809797</v>
      </c>
      <c r="L1920">
        <v>1.16913545273077</v>
      </c>
      <c r="M1920">
        <v>0.68976612358576805</v>
      </c>
    </row>
    <row r="1921" spans="1:13" x14ac:dyDescent="0.25">
      <c r="A1921">
        <v>204</v>
      </c>
      <c r="B1921" t="str">
        <f>"PHGDH"</f>
        <v>PHGDH</v>
      </c>
      <c r="C1921" t="str">
        <f>""</f>
        <v/>
      </c>
      <c r="D1921">
        <v>56.65</v>
      </c>
      <c r="E1921">
        <v>12.8</v>
      </c>
      <c r="F1921">
        <v>10</v>
      </c>
      <c r="G1921">
        <v>14</v>
      </c>
      <c r="H1921">
        <v>8</v>
      </c>
      <c r="I1921" s="7">
        <v>5.6083181339430199</v>
      </c>
      <c r="J1921" s="6">
        <v>8.1369735370853498</v>
      </c>
      <c r="K1921" s="6">
        <v>4.8278416629809797</v>
      </c>
      <c r="L1921">
        <v>1.15585589925791</v>
      </c>
      <c r="M1921">
        <v>0.69441281615627204</v>
      </c>
    </row>
    <row r="1922" spans="1:13" x14ac:dyDescent="0.25">
      <c r="A1922">
        <v>1345</v>
      </c>
      <c r="B1922" t="str">
        <f>"RPL11"</f>
        <v>RPL11</v>
      </c>
      <c r="C1922" t="str">
        <f>""</f>
        <v/>
      </c>
      <c r="D1922">
        <v>20.123999999999999</v>
      </c>
      <c r="E1922">
        <v>18.600000000000001</v>
      </c>
      <c r="F1922">
        <v>11</v>
      </c>
      <c r="G1922">
        <v>11</v>
      </c>
      <c r="H1922">
        <v>13</v>
      </c>
      <c r="I1922" s="7">
        <v>6.1691499473373197</v>
      </c>
      <c r="J1922" s="6">
        <v>6.3933363505670604</v>
      </c>
      <c r="K1922" s="6">
        <v>7.8452427023441</v>
      </c>
      <c r="L1922">
        <v>1.1540146676979901</v>
      </c>
      <c r="M1922">
        <v>0.696942892136307</v>
      </c>
    </row>
    <row r="1923" spans="1:13" x14ac:dyDescent="0.25">
      <c r="A1923">
        <v>341</v>
      </c>
      <c r="B1923" t="str">
        <f>"SNRNP200"</f>
        <v>SNRNP200</v>
      </c>
      <c r="C1923" t="str">
        <f>""</f>
        <v/>
      </c>
      <c r="D1923">
        <v>244.5</v>
      </c>
      <c r="E1923">
        <v>5.9</v>
      </c>
      <c r="F1923">
        <v>15</v>
      </c>
      <c r="G1923">
        <v>13</v>
      </c>
      <c r="H1923">
        <v>12</v>
      </c>
      <c r="I1923" s="7">
        <v>8.4124772009145303</v>
      </c>
      <c r="J1923" s="6">
        <v>7.5557611415792598</v>
      </c>
      <c r="K1923" s="6">
        <v>7.2417624944714696</v>
      </c>
      <c r="L1923">
        <v>-1.13701149027659</v>
      </c>
      <c r="M1923">
        <v>0.69812280291235296</v>
      </c>
    </row>
    <row r="1924" spans="1:13" x14ac:dyDescent="0.25">
      <c r="A1924">
        <v>706</v>
      </c>
      <c r="B1924" t="str">
        <f>"EZR;RDX"</f>
        <v>EZR;RDX</v>
      </c>
      <c r="C1924" t="str">
        <f>""</f>
        <v/>
      </c>
      <c r="D1924">
        <v>69.412000000000006</v>
      </c>
      <c r="E1924">
        <v>10.8</v>
      </c>
      <c r="F1924">
        <v>12</v>
      </c>
      <c r="G1924">
        <v>13</v>
      </c>
      <c r="H1924">
        <v>13</v>
      </c>
      <c r="I1924" s="7">
        <v>6.7299817607316301</v>
      </c>
      <c r="J1924" s="6">
        <v>7.5557611415792598</v>
      </c>
      <c r="K1924" s="6">
        <v>7.8452427023441</v>
      </c>
      <c r="L1924">
        <v>1.14420843855668</v>
      </c>
      <c r="M1924">
        <v>0.69932881886055298</v>
      </c>
    </row>
    <row r="1925" spans="1:13" x14ac:dyDescent="0.25">
      <c r="A1925">
        <v>841</v>
      </c>
      <c r="B1925" t="str">
        <f>"VARS"</f>
        <v>VARS</v>
      </c>
      <c r="C1925" t="str">
        <f>""</f>
        <v/>
      </c>
      <c r="D1925">
        <v>140.47</v>
      </c>
      <c r="E1925">
        <v>9.6</v>
      </c>
      <c r="F1925">
        <v>24</v>
      </c>
      <c r="G1925">
        <v>21</v>
      </c>
      <c r="H1925">
        <v>29</v>
      </c>
      <c r="I1925" s="7">
        <v>13.459963521463299</v>
      </c>
      <c r="J1925" s="6">
        <v>12.205460305628</v>
      </c>
      <c r="K1925" s="6">
        <v>17.5009260283061</v>
      </c>
      <c r="L1925">
        <v>1.10350916949234</v>
      </c>
      <c r="M1925">
        <v>0.70170290546528702</v>
      </c>
    </row>
    <row r="1926" spans="1:13" x14ac:dyDescent="0.25">
      <c r="A1926">
        <v>2218</v>
      </c>
      <c r="B1926" t="str">
        <f>"NEK9"</f>
        <v>NEK9</v>
      </c>
      <c r="C1926" t="str">
        <f>"NEK9"</f>
        <v>NEK9</v>
      </c>
      <c r="D1926">
        <v>107.17</v>
      </c>
      <c r="E1926">
        <v>5.9</v>
      </c>
      <c r="F1926">
        <v>7</v>
      </c>
      <c r="G1926">
        <v>4</v>
      </c>
      <c r="H1926">
        <v>7</v>
      </c>
      <c r="I1926" s="7">
        <v>3.9258226937601099</v>
      </c>
      <c r="J1926" s="6">
        <v>2.32484958202439</v>
      </c>
      <c r="K1926" s="6">
        <v>4.2243614551083599</v>
      </c>
      <c r="L1926">
        <v>-1.1988688932152201</v>
      </c>
      <c r="M1926">
        <v>0.70227173635812901</v>
      </c>
    </row>
    <row r="1927" spans="1:13" x14ac:dyDescent="0.25">
      <c r="A1927">
        <v>2505</v>
      </c>
      <c r="B1927" t="str">
        <f>"NIPSNAP1"</f>
        <v>NIPSNAP1</v>
      </c>
      <c r="C1927" t="str">
        <f>""</f>
        <v/>
      </c>
      <c r="D1927">
        <v>33.31</v>
      </c>
      <c r="E1927">
        <v>21.5</v>
      </c>
      <c r="F1927">
        <v>7</v>
      </c>
      <c r="G1927">
        <v>4</v>
      </c>
      <c r="H1927">
        <v>7</v>
      </c>
      <c r="I1927" s="7">
        <v>3.9258226937601099</v>
      </c>
      <c r="J1927" s="6">
        <v>2.32484958202439</v>
      </c>
      <c r="K1927" s="6">
        <v>4.2243614551083599</v>
      </c>
      <c r="L1927">
        <v>-1.1988688932152201</v>
      </c>
      <c r="M1927">
        <v>0.70227173635812901</v>
      </c>
    </row>
    <row r="1928" spans="1:13" x14ac:dyDescent="0.25">
      <c r="A1928">
        <v>662</v>
      </c>
      <c r="B1928" t="str">
        <f>"IMPDH2"</f>
        <v>IMPDH2</v>
      </c>
      <c r="C1928" t="str">
        <f>""</f>
        <v/>
      </c>
      <c r="D1928">
        <v>55.804000000000002</v>
      </c>
      <c r="E1928">
        <v>11.9</v>
      </c>
      <c r="F1928">
        <v>14</v>
      </c>
      <c r="G1928">
        <v>14</v>
      </c>
      <c r="H1928">
        <v>16</v>
      </c>
      <c r="I1928" s="7">
        <v>7.8516453875202297</v>
      </c>
      <c r="J1928" s="6">
        <v>8.1369735370853498</v>
      </c>
      <c r="K1928" s="6">
        <v>9.6556833259619594</v>
      </c>
      <c r="L1928">
        <v>1.1330527542244699</v>
      </c>
      <c r="M1928">
        <v>0.70255558286929198</v>
      </c>
    </row>
    <row r="1929" spans="1:13" x14ac:dyDescent="0.25">
      <c r="A1929">
        <v>897</v>
      </c>
      <c r="B1929" t="str">
        <f>"ADSS"</f>
        <v>ADSS</v>
      </c>
      <c r="C1929" t="str">
        <f>""</f>
        <v/>
      </c>
      <c r="D1929">
        <v>50.097000000000001</v>
      </c>
      <c r="E1929">
        <v>16.2</v>
      </c>
      <c r="F1929">
        <v>14</v>
      </c>
      <c r="G1929">
        <v>17</v>
      </c>
      <c r="H1929">
        <v>13</v>
      </c>
      <c r="I1929" s="7">
        <v>7.8516453875202297</v>
      </c>
      <c r="J1929" s="6">
        <v>9.88061072360364</v>
      </c>
      <c r="K1929" s="6">
        <v>7.8452427023441</v>
      </c>
      <c r="L1929">
        <v>1.1287986499060501</v>
      </c>
      <c r="M1929">
        <v>0.70272298211912698</v>
      </c>
    </row>
    <row r="1930" spans="1:13" x14ac:dyDescent="0.25">
      <c r="A1930">
        <v>959</v>
      </c>
      <c r="B1930" t="str">
        <f>"NUP214"</f>
        <v>NUP214</v>
      </c>
      <c r="C1930" t="str">
        <f>""</f>
        <v/>
      </c>
      <c r="D1930">
        <v>212.57</v>
      </c>
      <c r="E1930">
        <v>3.8</v>
      </c>
      <c r="F1930">
        <v>7</v>
      </c>
      <c r="G1930">
        <v>6</v>
      </c>
      <c r="H1930">
        <v>5</v>
      </c>
      <c r="I1930" s="7">
        <v>3.9258226937601099</v>
      </c>
      <c r="J1930" s="6">
        <v>3.4872743730365801</v>
      </c>
      <c r="K1930" s="6">
        <v>3.0174010393631101</v>
      </c>
      <c r="L1930">
        <v>-1.20707720058603</v>
      </c>
      <c r="M1930">
        <v>0.70275511333210505</v>
      </c>
    </row>
    <row r="1931" spans="1:13" x14ac:dyDescent="0.25">
      <c r="A1931">
        <v>2579</v>
      </c>
      <c r="B1931" t="str">
        <f>"ACAT2"</f>
        <v>ACAT2</v>
      </c>
      <c r="C1931" t="str">
        <f>""</f>
        <v/>
      </c>
      <c r="D1931">
        <v>41.35</v>
      </c>
      <c r="E1931">
        <v>15.9</v>
      </c>
      <c r="F1931">
        <v>7</v>
      </c>
      <c r="G1931">
        <v>5</v>
      </c>
      <c r="H1931">
        <v>6</v>
      </c>
      <c r="I1931" s="7">
        <v>3.9258226937601099</v>
      </c>
      <c r="J1931" s="6">
        <v>2.9060619775304799</v>
      </c>
      <c r="K1931" s="6">
        <v>3.6208812472357401</v>
      </c>
      <c r="L1931">
        <v>-1.20295904486</v>
      </c>
      <c r="M1931">
        <v>0.70275514230060099</v>
      </c>
    </row>
    <row r="1932" spans="1:13" x14ac:dyDescent="0.25">
      <c r="A1932">
        <v>215</v>
      </c>
      <c r="B1932" t="str">
        <f>"HNRNPR"</f>
        <v>HNRNPR</v>
      </c>
      <c r="C1932" t="str">
        <f>""</f>
        <v/>
      </c>
      <c r="D1932">
        <v>70.941999999999993</v>
      </c>
      <c r="E1932">
        <v>10</v>
      </c>
      <c r="F1932">
        <v>7</v>
      </c>
      <c r="G1932">
        <v>5</v>
      </c>
      <c r="H1932">
        <v>6</v>
      </c>
      <c r="I1932" s="7">
        <v>3.9258226937601099</v>
      </c>
      <c r="J1932" s="6">
        <v>2.9060619775304799</v>
      </c>
      <c r="K1932" s="6">
        <v>3.6208812472357401</v>
      </c>
      <c r="L1932">
        <v>-1.20295904486</v>
      </c>
      <c r="M1932">
        <v>0.70275514230060099</v>
      </c>
    </row>
    <row r="1933" spans="1:13" x14ac:dyDescent="0.25">
      <c r="A1933">
        <v>658</v>
      </c>
      <c r="B1933" t="str">
        <f>"HARS"</f>
        <v>HARS</v>
      </c>
      <c r="C1933" t="str">
        <f>""</f>
        <v/>
      </c>
      <c r="D1933">
        <v>50.155999999999999</v>
      </c>
      <c r="E1933">
        <v>7.1</v>
      </c>
      <c r="F1933">
        <v>7</v>
      </c>
      <c r="G1933">
        <v>5</v>
      </c>
      <c r="H1933">
        <v>6</v>
      </c>
      <c r="I1933" s="7">
        <v>3.9258226937601099</v>
      </c>
      <c r="J1933" s="6">
        <v>2.9060619775304799</v>
      </c>
      <c r="K1933" s="6">
        <v>3.6208812472357401</v>
      </c>
      <c r="L1933">
        <v>-1.20295904486</v>
      </c>
      <c r="M1933">
        <v>0.70275514230060099</v>
      </c>
    </row>
    <row r="1934" spans="1:13" x14ac:dyDescent="0.25">
      <c r="A1934">
        <v>1443</v>
      </c>
      <c r="B1934" t="str">
        <f>"AKAP12"</f>
        <v>AKAP12</v>
      </c>
      <c r="C1934" t="str">
        <f>""</f>
        <v/>
      </c>
      <c r="D1934">
        <v>180.99</v>
      </c>
      <c r="E1934">
        <v>9.8000000000000007</v>
      </c>
      <c r="F1934">
        <v>20</v>
      </c>
      <c r="G1934">
        <v>15</v>
      </c>
      <c r="H1934">
        <v>19</v>
      </c>
      <c r="I1934" s="7">
        <v>11.216636267886001</v>
      </c>
      <c r="J1934" s="6">
        <v>8.7181859325914495</v>
      </c>
      <c r="K1934" s="6">
        <v>11.466123949579799</v>
      </c>
      <c r="L1934">
        <v>-1.1114213300692199</v>
      </c>
      <c r="M1934">
        <v>0.70352952788740797</v>
      </c>
    </row>
    <row r="1935" spans="1:13" x14ac:dyDescent="0.25">
      <c r="A1935">
        <v>320</v>
      </c>
      <c r="B1935" t="str">
        <f>"FLNB"</f>
        <v>FLNB</v>
      </c>
      <c r="C1935" t="str">
        <f>""</f>
        <v/>
      </c>
      <c r="D1935">
        <v>271.41000000000003</v>
      </c>
      <c r="E1935">
        <v>8.6999999999999993</v>
      </c>
      <c r="F1935">
        <v>16</v>
      </c>
      <c r="G1935">
        <v>19</v>
      </c>
      <c r="H1935">
        <v>15</v>
      </c>
      <c r="I1935" s="7">
        <v>8.9733090143088301</v>
      </c>
      <c r="J1935" s="6">
        <v>11.0430355146158</v>
      </c>
      <c r="K1935" s="6">
        <v>9.0522031180893396</v>
      </c>
      <c r="L1935">
        <v>1.1197228692704799</v>
      </c>
      <c r="M1935">
        <v>0.704183258825264</v>
      </c>
    </row>
    <row r="1936" spans="1:13" x14ac:dyDescent="0.25">
      <c r="A1936">
        <v>585</v>
      </c>
      <c r="B1936" t="str">
        <f>"ANXA6"</f>
        <v>ANXA6</v>
      </c>
      <c r="C1936" t="str">
        <f>""</f>
        <v/>
      </c>
      <c r="D1936">
        <v>72.423000000000002</v>
      </c>
      <c r="E1936">
        <v>18.600000000000001</v>
      </c>
      <c r="F1936">
        <v>19</v>
      </c>
      <c r="G1936">
        <v>20</v>
      </c>
      <c r="H1936">
        <v>20</v>
      </c>
      <c r="I1936" s="7">
        <v>10.655804454491699</v>
      </c>
      <c r="J1936" s="6">
        <v>11.6242479101219</v>
      </c>
      <c r="K1936" s="6">
        <v>12.069604157452501</v>
      </c>
      <c r="L1936">
        <v>1.1117814787595299</v>
      </c>
      <c r="M1936">
        <v>0.70419681138471102</v>
      </c>
    </row>
    <row r="1937" spans="1:13" x14ac:dyDescent="0.25">
      <c r="A1937">
        <v>1012</v>
      </c>
      <c r="B1937" t="str">
        <f>"IARS"</f>
        <v>IARS</v>
      </c>
      <c r="C1937" t="str">
        <f>""</f>
        <v/>
      </c>
      <c r="D1937">
        <v>144.5</v>
      </c>
      <c r="E1937">
        <v>7.8</v>
      </c>
      <c r="F1937">
        <v>11</v>
      </c>
      <c r="G1937">
        <v>10</v>
      </c>
      <c r="H1937">
        <v>8</v>
      </c>
      <c r="I1937" s="7">
        <v>6.1691499473373197</v>
      </c>
      <c r="J1937" s="6">
        <v>5.8121239550609696</v>
      </c>
      <c r="K1937" s="6">
        <v>4.8278416629809797</v>
      </c>
      <c r="L1937">
        <v>-1.159618398931</v>
      </c>
      <c r="M1937">
        <v>0.70523819418654499</v>
      </c>
    </row>
    <row r="1938" spans="1:13" x14ac:dyDescent="0.25">
      <c r="A1938">
        <v>1032</v>
      </c>
      <c r="B1938" t="str">
        <f>"PAFAH1B1"</f>
        <v>PAFAH1B1</v>
      </c>
      <c r="C1938" t="str">
        <f>""</f>
        <v/>
      </c>
      <c r="D1938">
        <v>46.637</v>
      </c>
      <c r="E1938">
        <v>17.600000000000001</v>
      </c>
      <c r="F1938">
        <v>11</v>
      </c>
      <c r="G1938">
        <v>10</v>
      </c>
      <c r="H1938">
        <v>8</v>
      </c>
      <c r="I1938" s="7">
        <v>6.1691499473373197</v>
      </c>
      <c r="J1938" s="6">
        <v>5.8121239550609696</v>
      </c>
      <c r="K1938" s="6">
        <v>4.8278416629809797</v>
      </c>
      <c r="L1938">
        <v>-1.159618398931</v>
      </c>
      <c r="M1938">
        <v>0.70523819418654499</v>
      </c>
    </row>
    <row r="1939" spans="1:13" x14ac:dyDescent="0.25">
      <c r="A1939">
        <v>61</v>
      </c>
      <c r="B1939" t="str">
        <f>"KRT2"</f>
        <v>KRT2</v>
      </c>
      <c r="C1939" t="str">
        <f>""</f>
        <v/>
      </c>
      <c r="D1939">
        <v>65.432000000000002</v>
      </c>
      <c r="E1939">
        <v>22.4</v>
      </c>
      <c r="F1939">
        <v>28</v>
      </c>
      <c r="G1939">
        <v>50</v>
      </c>
      <c r="H1939">
        <v>19</v>
      </c>
      <c r="I1939" s="7">
        <v>15.7032907750405</v>
      </c>
      <c r="J1939" s="6">
        <v>29.060619775304801</v>
      </c>
      <c r="K1939" s="6">
        <v>11.466123949579799</v>
      </c>
      <c r="L1939">
        <v>1.29039015788015</v>
      </c>
      <c r="M1939">
        <v>0.71961184265686196</v>
      </c>
    </row>
    <row r="1940" spans="1:13" x14ac:dyDescent="0.25">
      <c r="A1940">
        <v>311</v>
      </c>
      <c r="B1940" t="str">
        <f>"NDUFS7"</f>
        <v>NDUFS7</v>
      </c>
      <c r="C1940" t="str">
        <f>""</f>
        <v/>
      </c>
      <c r="D1940">
        <v>22.202000000000002</v>
      </c>
      <c r="E1940">
        <v>4.4000000000000004</v>
      </c>
      <c r="F1940">
        <v>4</v>
      </c>
      <c r="G1940">
        <v>4</v>
      </c>
      <c r="H1940">
        <v>2</v>
      </c>
      <c r="I1940" s="7">
        <v>2.2433272535772102</v>
      </c>
      <c r="J1940" s="6">
        <v>2.32484958202439</v>
      </c>
      <c r="K1940" s="6">
        <v>1.20696041574525</v>
      </c>
      <c r="L1940">
        <v>-1.27035557121923</v>
      </c>
      <c r="M1940">
        <v>0.72091993368602503</v>
      </c>
    </row>
    <row r="1941" spans="1:13" x14ac:dyDescent="0.25">
      <c r="A1941">
        <v>2877</v>
      </c>
      <c r="B1941" t="str">
        <f>"CNOT2"</f>
        <v>CNOT2</v>
      </c>
      <c r="C1941" t="str">
        <f>""</f>
        <v/>
      </c>
      <c r="D1941">
        <v>40.817</v>
      </c>
      <c r="E1941">
        <v>4.4000000000000004</v>
      </c>
      <c r="F1941">
        <v>4</v>
      </c>
      <c r="G1941">
        <v>4</v>
      </c>
      <c r="H1941">
        <v>2</v>
      </c>
      <c r="I1941" s="7">
        <v>2.2433272535772102</v>
      </c>
      <c r="J1941" s="6">
        <v>2.32484958202439</v>
      </c>
      <c r="K1941" s="6">
        <v>1.20696041574525</v>
      </c>
      <c r="L1941">
        <v>-1.27035557121923</v>
      </c>
      <c r="M1941">
        <v>0.72091993368602503</v>
      </c>
    </row>
    <row r="1942" spans="1:13" x14ac:dyDescent="0.25">
      <c r="A1942">
        <v>1659</v>
      </c>
      <c r="B1942" t="str">
        <f>"RRP1B"</f>
        <v>RRP1B</v>
      </c>
      <c r="C1942" t="str">
        <f>""</f>
        <v/>
      </c>
      <c r="D1942">
        <v>82.174999999999997</v>
      </c>
      <c r="E1942">
        <v>3.1</v>
      </c>
      <c r="F1942">
        <v>4</v>
      </c>
      <c r="G1942">
        <v>4</v>
      </c>
      <c r="H1942">
        <v>2</v>
      </c>
      <c r="I1942" s="7">
        <v>2.2433272535772102</v>
      </c>
      <c r="J1942" s="6">
        <v>2.32484958202439</v>
      </c>
      <c r="K1942" s="6">
        <v>1.20696041574525</v>
      </c>
      <c r="L1942">
        <v>-1.27035557121923</v>
      </c>
      <c r="M1942">
        <v>0.72091993368602503</v>
      </c>
    </row>
    <row r="1943" spans="1:13" x14ac:dyDescent="0.25">
      <c r="A1943">
        <v>136</v>
      </c>
      <c r="B1943" t="str">
        <f>"IRS4"</f>
        <v>IRS4</v>
      </c>
      <c r="C1943" t="str">
        <f>""</f>
        <v/>
      </c>
      <c r="D1943">
        <v>133.77000000000001</v>
      </c>
      <c r="E1943">
        <v>5.2</v>
      </c>
      <c r="F1943">
        <v>4</v>
      </c>
      <c r="G1943">
        <v>4</v>
      </c>
      <c r="H1943">
        <v>2</v>
      </c>
      <c r="I1943" s="7">
        <v>2.2433272535772102</v>
      </c>
      <c r="J1943" s="6">
        <v>2.32484958202439</v>
      </c>
      <c r="K1943" s="6">
        <v>1.20696041574525</v>
      </c>
      <c r="L1943">
        <v>-1.27035557121923</v>
      </c>
      <c r="M1943">
        <v>0.72091993368602503</v>
      </c>
    </row>
    <row r="1944" spans="1:13" x14ac:dyDescent="0.25">
      <c r="A1944">
        <v>1505</v>
      </c>
      <c r="B1944" t="str">
        <f>"NUP160"</f>
        <v>NUP160</v>
      </c>
      <c r="C1944" t="str">
        <f>""</f>
        <v/>
      </c>
      <c r="D1944">
        <v>162.12</v>
      </c>
      <c r="E1944">
        <v>3</v>
      </c>
      <c r="F1944">
        <v>4</v>
      </c>
      <c r="G1944">
        <v>4</v>
      </c>
      <c r="H1944">
        <v>2</v>
      </c>
      <c r="I1944" s="7">
        <v>2.2433272535772102</v>
      </c>
      <c r="J1944" s="6">
        <v>2.32484958202439</v>
      </c>
      <c r="K1944" s="6">
        <v>1.20696041574525</v>
      </c>
      <c r="L1944">
        <v>-1.27035557121923</v>
      </c>
      <c r="M1944">
        <v>0.72091993368602503</v>
      </c>
    </row>
    <row r="1945" spans="1:13" x14ac:dyDescent="0.25">
      <c r="A1945">
        <v>1546</v>
      </c>
      <c r="B1945" t="str">
        <f>"PAK2"</f>
        <v>PAK2</v>
      </c>
      <c r="C1945" t="str">
        <f>"PAK2"</f>
        <v>PAK2</v>
      </c>
      <c r="D1945">
        <v>58.042000000000002</v>
      </c>
      <c r="E1945">
        <v>12.4</v>
      </c>
      <c r="F1945">
        <v>4</v>
      </c>
      <c r="G1945">
        <v>4</v>
      </c>
      <c r="H1945">
        <v>2</v>
      </c>
      <c r="I1945" s="7">
        <v>2.2433272535772102</v>
      </c>
      <c r="J1945" s="6">
        <v>2.32484958202439</v>
      </c>
      <c r="K1945" s="6">
        <v>1.20696041574525</v>
      </c>
      <c r="L1945">
        <v>-1.27035557121923</v>
      </c>
      <c r="M1945">
        <v>0.72091993368602503</v>
      </c>
    </row>
    <row r="1946" spans="1:13" x14ac:dyDescent="0.25">
      <c r="A1946">
        <v>303</v>
      </c>
      <c r="B1946" t="str">
        <f>"RNF40"</f>
        <v>RNF40</v>
      </c>
      <c r="C1946" t="str">
        <f>""</f>
        <v/>
      </c>
      <c r="D1946">
        <v>113.68</v>
      </c>
      <c r="E1946">
        <v>6.2</v>
      </c>
      <c r="F1946">
        <v>4</v>
      </c>
      <c r="G1946">
        <v>2</v>
      </c>
      <c r="H1946">
        <v>4</v>
      </c>
      <c r="I1946" s="7">
        <v>2.2433272535772102</v>
      </c>
      <c r="J1946" s="6">
        <v>1.1624247910121901</v>
      </c>
      <c r="K1946" s="6">
        <v>2.4139208314904899</v>
      </c>
      <c r="L1946">
        <v>-1.25453604901159</v>
      </c>
      <c r="M1946">
        <v>0.72091998832971704</v>
      </c>
    </row>
    <row r="1947" spans="1:13" x14ac:dyDescent="0.25">
      <c r="A1947">
        <v>1617</v>
      </c>
      <c r="B1947" t="str">
        <f>"DSG2"</f>
        <v>DSG2</v>
      </c>
      <c r="C1947" t="str">
        <f>""</f>
        <v/>
      </c>
      <c r="D1947">
        <v>122.29</v>
      </c>
      <c r="E1947">
        <v>1.3</v>
      </c>
      <c r="F1947">
        <v>4</v>
      </c>
      <c r="G1947">
        <v>2</v>
      </c>
      <c r="H1947">
        <v>4</v>
      </c>
      <c r="I1947" s="7">
        <v>2.2433272535772102</v>
      </c>
      <c r="J1947" s="6">
        <v>1.1624247910121901</v>
      </c>
      <c r="K1947" s="6">
        <v>2.4139208314904899</v>
      </c>
      <c r="L1947">
        <v>-1.25453604901159</v>
      </c>
      <c r="M1947">
        <v>0.72091998832971704</v>
      </c>
    </row>
    <row r="1948" spans="1:13" x14ac:dyDescent="0.25">
      <c r="A1948">
        <v>2815</v>
      </c>
      <c r="B1948" t="str">
        <f>"FAM49B"</f>
        <v>FAM49B</v>
      </c>
      <c r="C1948" t="str">
        <f>""</f>
        <v/>
      </c>
      <c r="D1948">
        <v>36.747999999999998</v>
      </c>
      <c r="E1948">
        <v>5.9</v>
      </c>
      <c r="F1948">
        <v>4</v>
      </c>
      <c r="G1948">
        <v>2</v>
      </c>
      <c r="H1948">
        <v>4</v>
      </c>
      <c r="I1948" s="7">
        <v>2.2433272535772102</v>
      </c>
      <c r="J1948" s="6">
        <v>1.1624247910121901</v>
      </c>
      <c r="K1948" s="6">
        <v>2.4139208314904899</v>
      </c>
      <c r="L1948">
        <v>-1.25453604901159</v>
      </c>
      <c r="M1948">
        <v>0.72091998832971704</v>
      </c>
    </row>
    <row r="1949" spans="1:13" x14ac:dyDescent="0.25">
      <c r="A1949">
        <v>2982</v>
      </c>
      <c r="B1949" t="str">
        <f>"ACIN1"</f>
        <v>ACIN1</v>
      </c>
      <c r="C1949" t="str">
        <f>""</f>
        <v/>
      </c>
      <c r="D1949">
        <v>150.56</v>
      </c>
      <c r="E1949">
        <v>5.3</v>
      </c>
      <c r="F1949">
        <v>4</v>
      </c>
      <c r="G1949">
        <v>2</v>
      </c>
      <c r="H1949">
        <v>4</v>
      </c>
      <c r="I1949" s="7">
        <v>2.2433272535772102</v>
      </c>
      <c r="J1949" s="6">
        <v>1.1624247910121901</v>
      </c>
      <c r="K1949" s="6">
        <v>2.4139208314904899</v>
      </c>
      <c r="L1949">
        <v>-1.25453604901159</v>
      </c>
      <c r="M1949">
        <v>0.72091998832971704</v>
      </c>
    </row>
    <row r="1950" spans="1:13" x14ac:dyDescent="0.25">
      <c r="A1950">
        <v>2456</v>
      </c>
      <c r="B1950" t="str">
        <f>"SRPK1"</f>
        <v>SRPK1</v>
      </c>
      <c r="C1950" t="str">
        <f>"SRPK1"</f>
        <v>SRPK1</v>
      </c>
      <c r="D1950">
        <v>72.382999999999996</v>
      </c>
      <c r="E1950">
        <v>4.7</v>
      </c>
      <c r="F1950">
        <v>1</v>
      </c>
      <c r="G1950">
        <v>3</v>
      </c>
      <c r="H1950">
        <v>0</v>
      </c>
      <c r="I1950" s="7">
        <v>0.56083181339430199</v>
      </c>
      <c r="J1950" s="6">
        <v>1.74363718651829</v>
      </c>
      <c r="K1950" s="6">
        <v>0</v>
      </c>
      <c r="L1950">
        <v>1.5545098770033501</v>
      </c>
      <c r="M1950">
        <v>0.72148984568483898</v>
      </c>
    </row>
    <row r="1951" spans="1:13" x14ac:dyDescent="0.25">
      <c r="A1951">
        <v>323</v>
      </c>
      <c r="B1951" t="str">
        <f>"SEC22B"</f>
        <v>SEC22B</v>
      </c>
      <c r="C1951" t="str">
        <f>""</f>
        <v/>
      </c>
      <c r="D1951">
        <v>24.593</v>
      </c>
      <c r="E1951">
        <v>6.5</v>
      </c>
      <c r="F1951">
        <v>4</v>
      </c>
      <c r="G1951">
        <v>3</v>
      </c>
      <c r="H1951">
        <v>3</v>
      </c>
      <c r="I1951" s="7">
        <v>2.2433272535772102</v>
      </c>
      <c r="J1951" s="6">
        <v>1.74363718651829</v>
      </c>
      <c r="K1951" s="6">
        <v>1.8104406236178701</v>
      </c>
      <c r="L1951">
        <v>-1.26239625209065</v>
      </c>
      <c r="M1951">
        <v>0.721521441132424</v>
      </c>
    </row>
    <row r="1952" spans="1:13" x14ac:dyDescent="0.25">
      <c r="A1952">
        <v>2494</v>
      </c>
      <c r="B1952" t="str">
        <f>"ACO2"</f>
        <v>ACO2</v>
      </c>
      <c r="C1952" t="str">
        <f>""</f>
        <v/>
      </c>
      <c r="D1952">
        <v>85.424000000000007</v>
      </c>
      <c r="E1952">
        <v>2.8</v>
      </c>
      <c r="F1952">
        <v>4</v>
      </c>
      <c r="G1952">
        <v>3</v>
      </c>
      <c r="H1952">
        <v>3</v>
      </c>
      <c r="I1952" s="7">
        <v>2.2433272535772102</v>
      </c>
      <c r="J1952" s="6">
        <v>1.74363718651829</v>
      </c>
      <c r="K1952" s="6">
        <v>1.8104406236178701</v>
      </c>
      <c r="L1952">
        <v>-1.26239625209065</v>
      </c>
      <c r="M1952">
        <v>0.721521441132424</v>
      </c>
    </row>
    <row r="1953" spans="1:13" x14ac:dyDescent="0.25">
      <c r="A1953">
        <v>827</v>
      </c>
      <c r="B1953" t="str">
        <f>"PSMA2"</f>
        <v>PSMA2</v>
      </c>
      <c r="C1953" t="str">
        <f>""</f>
        <v/>
      </c>
      <c r="D1953">
        <v>25.898</v>
      </c>
      <c r="E1953">
        <v>11.1</v>
      </c>
      <c r="F1953">
        <v>4</v>
      </c>
      <c r="G1953">
        <v>3</v>
      </c>
      <c r="H1953">
        <v>3</v>
      </c>
      <c r="I1953" s="7">
        <v>2.2433272535772102</v>
      </c>
      <c r="J1953" s="6">
        <v>1.74363718651829</v>
      </c>
      <c r="K1953" s="6">
        <v>1.8104406236178701</v>
      </c>
      <c r="L1953">
        <v>-1.26239625209065</v>
      </c>
      <c r="M1953">
        <v>0.721521441132424</v>
      </c>
    </row>
    <row r="1954" spans="1:13" x14ac:dyDescent="0.25">
      <c r="A1954">
        <v>81</v>
      </c>
      <c r="B1954" t="str">
        <f>"NACAP1;NACA"</f>
        <v>NACAP1;NACA</v>
      </c>
      <c r="C1954" t="str">
        <f>""</f>
        <v/>
      </c>
      <c r="D1954">
        <v>23.306000000000001</v>
      </c>
      <c r="E1954">
        <v>7</v>
      </c>
      <c r="F1954">
        <v>4</v>
      </c>
      <c r="G1954">
        <v>3</v>
      </c>
      <c r="H1954">
        <v>3</v>
      </c>
      <c r="I1954" s="7">
        <v>2.2433272535772102</v>
      </c>
      <c r="J1954" s="6">
        <v>1.74363718651829</v>
      </c>
      <c r="K1954" s="6">
        <v>1.8104406236178701</v>
      </c>
      <c r="L1954">
        <v>-1.26239625209065</v>
      </c>
      <c r="M1954">
        <v>0.721521441132424</v>
      </c>
    </row>
    <row r="1955" spans="1:13" x14ac:dyDescent="0.25">
      <c r="A1955">
        <v>1030</v>
      </c>
      <c r="B1955" t="str">
        <f>"HTT"</f>
        <v>HTT</v>
      </c>
      <c r="C1955" t="str">
        <f>""</f>
        <v/>
      </c>
      <c r="D1955">
        <v>347.6</v>
      </c>
      <c r="E1955">
        <v>1.4</v>
      </c>
      <c r="F1955">
        <v>4</v>
      </c>
      <c r="G1955">
        <v>3</v>
      </c>
      <c r="H1955">
        <v>3</v>
      </c>
      <c r="I1955" s="7">
        <v>2.2433272535772102</v>
      </c>
      <c r="J1955" s="6">
        <v>1.74363718651829</v>
      </c>
      <c r="K1955" s="6">
        <v>1.8104406236178701</v>
      </c>
      <c r="L1955">
        <v>-1.26239625209065</v>
      </c>
      <c r="M1955">
        <v>0.721521441132424</v>
      </c>
    </row>
    <row r="1956" spans="1:13" x14ac:dyDescent="0.25">
      <c r="A1956">
        <v>563</v>
      </c>
      <c r="B1956" t="str">
        <f>"NEFM"</f>
        <v>NEFM</v>
      </c>
      <c r="C1956" t="str">
        <f>""</f>
        <v/>
      </c>
      <c r="D1956">
        <v>102.47</v>
      </c>
      <c r="E1956">
        <v>5.6</v>
      </c>
      <c r="F1956">
        <v>4</v>
      </c>
      <c r="G1956">
        <v>3</v>
      </c>
      <c r="H1956">
        <v>3</v>
      </c>
      <c r="I1956" s="7">
        <v>2.2433272535772102</v>
      </c>
      <c r="J1956" s="6">
        <v>1.74363718651829</v>
      </c>
      <c r="K1956" s="6">
        <v>1.8104406236178701</v>
      </c>
      <c r="L1956">
        <v>-1.26239625209065</v>
      </c>
      <c r="M1956">
        <v>0.721521441132424</v>
      </c>
    </row>
    <row r="1957" spans="1:13" x14ac:dyDescent="0.25">
      <c r="A1957">
        <v>892</v>
      </c>
      <c r="B1957" t="str">
        <f>"CDC27"</f>
        <v>CDC27</v>
      </c>
      <c r="C1957" t="str">
        <f>""</f>
        <v/>
      </c>
      <c r="D1957">
        <v>91.866</v>
      </c>
      <c r="E1957">
        <v>4.7</v>
      </c>
      <c r="F1957">
        <v>4</v>
      </c>
      <c r="G1957">
        <v>3</v>
      </c>
      <c r="H1957">
        <v>3</v>
      </c>
      <c r="I1957" s="7">
        <v>2.2433272535772102</v>
      </c>
      <c r="J1957" s="6">
        <v>1.74363718651829</v>
      </c>
      <c r="K1957" s="6">
        <v>1.8104406236178701</v>
      </c>
      <c r="L1957">
        <v>-1.26239625209065</v>
      </c>
      <c r="M1957">
        <v>0.721521441132424</v>
      </c>
    </row>
    <row r="1958" spans="1:13" x14ac:dyDescent="0.25">
      <c r="A1958">
        <v>1376</v>
      </c>
      <c r="B1958" t="str">
        <f>"GTF2I"</f>
        <v>GTF2I</v>
      </c>
      <c r="C1958" t="str">
        <f>""</f>
        <v/>
      </c>
      <c r="D1958">
        <v>107.97</v>
      </c>
      <c r="E1958">
        <v>6.7</v>
      </c>
      <c r="F1958">
        <v>4</v>
      </c>
      <c r="G1958">
        <v>3</v>
      </c>
      <c r="H1958">
        <v>3</v>
      </c>
      <c r="I1958" s="7">
        <v>2.2433272535772102</v>
      </c>
      <c r="J1958" s="6">
        <v>1.74363718651829</v>
      </c>
      <c r="K1958" s="6">
        <v>1.8104406236178701</v>
      </c>
      <c r="L1958">
        <v>-1.26239625209065</v>
      </c>
      <c r="M1958">
        <v>0.721521441132424</v>
      </c>
    </row>
    <row r="1959" spans="1:13" x14ac:dyDescent="0.25">
      <c r="A1959">
        <v>1459</v>
      </c>
      <c r="B1959" t="str">
        <f>"PRKCD"</f>
        <v>PRKCD</v>
      </c>
      <c r="C1959" t="str">
        <f>"PRKCD"</f>
        <v>PRKCD</v>
      </c>
      <c r="D1959">
        <v>77.504000000000005</v>
      </c>
      <c r="E1959">
        <v>6.8</v>
      </c>
      <c r="F1959">
        <v>4</v>
      </c>
      <c r="G1959">
        <v>3</v>
      </c>
      <c r="H1959">
        <v>3</v>
      </c>
      <c r="I1959" s="7">
        <v>2.2433272535772102</v>
      </c>
      <c r="J1959" s="6">
        <v>1.74363718651829</v>
      </c>
      <c r="K1959" s="6">
        <v>1.8104406236178701</v>
      </c>
      <c r="L1959">
        <v>-1.26239625209065</v>
      </c>
      <c r="M1959">
        <v>0.721521441132424</v>
      </c>
    </row>
    <row r="1960" spans="1:13" x14ac:dyDescent="0.25">
      <c r="A1960">
        <v>1646</v>
      </c>
      <c r="B1960" t="str">
        <f>"RBM39"</f>
        <v>RBM39</v>
      </c>
      <c r="C1960" t="str">
        <f>""</f>
        <v/>
      </c>
      <c r="D1960">
        <v>57.088999999999999</v>
      </c>
      <c r="E1960">
        <v>10.8</v>
      </c>
      <c r="F1960">
        <v>4</v>
      </c>
      <c r="G1960">
        <v>3</v>
      </c>
      <c r="H1960">
        <v>3</v>
      </c>
      <c r="I1960" s="7">
        <v>2.2433272535772102</v>
      </c>
      <c r="J1960" s="6">
        <v>1.74363718651829</v>
      </c>
      <c r="K1960" s="6">
        <v>1.8104406236178701</v>
      </c>
      <c r="L1960">
        <v>-1.26239625209065</v>
      </c>
      <c r="M1960">
        <v>0.721521441132424</v>
      </c>
    </row>
    <row r="1961" spans="1:13" x14ac:dyDescent="0.25">
      <c r="A1961">
        <v>1690</v>
      </c>
      <c r="B1961" t="str">
        <f>"SART3"</f>
        <v>SART3</v>
      </c>
      <c r="C1961" t="str">
        <f>""</f>
        <v/>
      </c>
      <c r="D1961">
        <v>109.93</v>
      </c>
      <c r="E1961">
        <v>6.1</v>
      </c>
      <c r="F1961">
        <v>4</v>
      </c>
      <c r="G1961">
        <v>3</v>
      </c>
      <c r="H1961">
        <v>3</v>
      </c>
      <c r="I1961" s="7">
        <v>2.2433272535772102</v>
      </c>
      <c r="J1961" s="6">
        <v>1.74363718651829</v>
      </c>
      <c r="K1961" s="6">
        <v>1.8104406236178701</v>
      </c>
      <c r="L1961">
        <v>-1.26239625209065</v>
      </c>
      <c r="M1961">
        <v>0.721521441132424</v>
      </c>
    </row>
    <row r="1962" spans="1:13" x14ac:dyDescent="0.25">
      <c r="A1962">
        <v>1998</v>
      </c>
      <c r="B1962" t="str">
        <f>"MARK2"</f>
        <v>MARK2</v>
      </c>
      <c r="C1962" t="str">
        <f>"MARK2"</f>
        <v>MARK2</v>
      </c>
      <c r="D1962">
        <v>77.067999999999998</v>
      </c>
      <c r="E1962">
        <v>6.7</v>
      </c>
      <c r="F1962">
        <v>4</v>
      </c>
      <c r="G1962">
        <v>3</v>
      </c>
      <c r="H1962">
        <v>3</v>
      </c>
      <c r="I1962" s="7">
        <v>2.2433272535772102</v>
      </c>
      <c r="J1962" s="6">
        <v>1.74363718651829</v>
      </c>
      <c r="K1962" s="6">
        <v>1.8104406236178701</v>
      </c>
      <c r="L1962">
        <v>-1.26239625209065</v>
      </c>
      <c r="M1962">
        <v>0.721521441132424</v>
      </c>
    </row>
    <row r="1963" spans="1:13" x14ac:dyDescent="0.25">
      <c r="A1963">
        <v>2308</v>
      </c>
      <c r="B1963" t="str">
        <f>"TNPO1"</f>
        <v>TNPO1</v>
      </c>
      <c r="C1963" t="str">
        <f>""</f>
        <v/>
      </c>
      <c r="D1963">
        <v>96.9</v>
      </c>
      <c r="E1963">
        <v>3.8</v>
      </c>
      <c r="F1963">
        <v>4</v>
      </c>
      <c r="G1963">
        <v>3</v>
      </c>
      <c r="H1963">
        <v>3</v>
      </c>
      <c r="I1963" s="7">
        <v>2.2433272535772102</v>
      </c>
      <c r="J1963" s="6">
        <v>1.74363718651829</v>
      </c>
      <c r="K1963" s="6">
        <v>1.8104406236178701</v>
      </c>
      <c r="L1963">
        <v>-1.26239625209065</v>
      </c>
      <c r="M1963">
        <v>0.721521441132424</v>
      </c>
    </row>
    <row r="1964" spans="1:13" x14ac:dyDescent="0.25">
      <c r="A1964">
        <v>2366</v>
      </c>
      <c r="B1964" t="str">
        <f>"SPDL1"</f>
        <v>SPDL1</v>
      </c>
      <c r="C1964" t="str">
        <f>""</f>
        <v/>
      </c>
      <c r="D1964">
        <v>58.536999999999999</v>
      </c>
      <c r="E1964">
        <v>3</v>
      </c>
      <c r="F1964">
        <v>4</v>
      </c>
      <c r="G1964">
        <v>3</v>
      </c>
      <c r="H1964">
        <v>3</v>
      </c>
      <c r="I1964" s="7">
        <v>2.2433272535772102</v>
      </c>
      <c r="J1964" s="6">
        <v>1.74363718651829</v>
      </c>
      <c r="K1964" s="6">
        <v>1.8104406236178701</v>
      </c>
      <c r="L1964">
        <v>-1.26239625209065</v>
      </c>
      <c r="M1964">
        <v>0.721521441132424</v>
      </c>
    </row>
    <row r="1965" spans="1:13" x14ac:dyDescent="0.25">
      <c r="A1965">
        <v>2446</v>
      </c>
      <c r="B1965" t="str">
        <f>"VPS35"</f>
        <v>VPS35</v>
      </c>
      <c r="C1965" t="str">
        <f>""</f>
        <v/>
      </c>
      <c r="D1965">
        <v>91.706000000000003</v>
      </c>
      <c r="E1965">
        <v>5.2</v>
      </c>
      <c r="F1965">
        <v>4</v>
      </c>
      <c r="G1965">
        <v>3</v>
      </c>
      <c r="H1965">
        <v>3</v>
      </c>
      <c r="I1965" s="7">
        <v>2.2433272535772102</v>
      </c>
      <c r="J1965" s="6">
        <v>1.74363718651829</v>
      </c>
      <c r="K1965" s="6">
        <v>1.8104406236178701</v>
      </c>
      <c r="L1965">
        <v>-1.26239625209065</v>
      </c>
      <c r="M1965">
        <v>0.721521441132424</v>
      </c>
    </row>
    <row r="1966" spans="1:13" x14ac:dyDescent="0.25">
      <c r="A1966">
        <v>2589</v>
      </c>
      <c r="B1966" t="str">
        <f>"NAA15"</f>
        <v>NAA15</v>
      </c>
      <c r="C1966" t="str">
        <f>""</f>
        <v/>
      </c>
      <c r="D1966">
        <v>101.27</v>
      </c>
      <c r="E1966">
        <v>5.2</v>
      </c>
      <c r="F1966">
        <v>4</v>
      </c>
      <c r="G1966">
        <v>3</v>
      </c>
      <c r="H1966">
        <v>3</v>
      </c>
      <c r="I1966" s="7">
        <v>2.2433272535772102</v>
      </c>
      <c r="J1966" s="6">
        <v>1.74363718651829</v>
      </c>
      <c r="K1966" s="6">
        <v>1.8104406236178701</v>
      </c>
      <c r="L1966">
        <v>-1.26239625209065</v>
      </c>
      <c r="M1966">
        <v>0.721521441132424</v>
      </c>
    </row>
    <row r="1967" spans="1:13" x14ac:dyDescent="0.25">
      <c r="A1967">
        <v>2778</v>
      </c>
      <c r="B1967" t="str">
        <f>"NANS"</f>
        <v>NANS</v>
      </c>
      <c r="C1967" t="str">
        <f>""</f>
        <v/>
      </c>
      <c r="D1967">
        <v>40.307000000000002</v>
      </c>
      <c r="E1967">
        <v>5.6</v>
      </c>
      <c r="F1967">
        <v>4</v>
      </c>
      <c r="G1967">
        <v>3</v>
      </c>
      <c r="H1967">
        <v>3</v>
      </c>
      <c r="I1967" s="7">
        <v>2.2433272535772102</v>
      </c>
      <c r="J1967" s="6">
        <v>1.74363718651829</v>
      </c>
      <c r="K1967" s="6">
        <v>1.8104406236178701</v>
      </c>
      <c r="L1967">
        <v>-1.26239625209065</v>
      </c>
      <c r="M1967">
        <v>0.721521441132424</v>
      </c>
    </row>
    <row r="1968" spans="1:13" x14ac:dyDescent="0.25">
      <c r="A1968">
        <v>2879</v>
      </c>
      <c r="B1968" t="str">
        <f>"OGFR"</f>
        <v>OGFR</v>
      </c>
      <c r="C1968" t="str">
        <f>""</f>
        <v/>
      </c>
      <c r="D1968">
        <v>71.423000000000002</v>
      </c>
      <c r="E1968">
        <v>8.1999999999999993</v>
      </c>
      <c r="F1968">
        <v>4</v>
      </c>
      <c r="G1968">
        <v>3</v>
      </c>
      <c r="H1968">
        <v>3</v>
      </c>
      <c r="I1968" s="7">
        <v>2.2433272535772102</v>
      </c>
      <c r="J1968" s="6">
        <v>1.74363718651829</v>
      </c>
      <c r="K1968" s="6">
        <v>1.8104406236178701</v>
      </c>
      <c r="L1968">
        <v>-1.26239625209065</v>
      </c>
      <c r="M1968">
        <v>0.721521441132424</v>
      </c>
    </row>
    <row r="1969" spans="1:13" x14ac:dyDescent="0.25">
      <c r="A1969">
        <v>2898</v>
      </c>
      <c r="B1969" t="str">
        <f>"PTGFRN"</f>
        <v>PTGFRN</v>
      </c>
      <c r="C1969" t="str">
        <f>""</f>
        <v/>
      </c>
      <c r="D1969">
        <v>98.555000000000007</v>
      </c>
      <c r="E1969">
        <v>5.8</v>
      </c>
      <c r="F1969">
        <v>4</v>
      </c>
      <c r="G1969">
        <v>3</v>
      </c>
      <c r="H1969">
        <v>3</v>
      </c>
      <c r="I1969" s="7">
        <v>2.2433272535772102</v>
      </c>
      <c r="J1969" s="6">
        <v>1.74363718651829</v>
      </c>
      <c r="K1969" s="6">
        <v>1.8104406236178701</v>
      </c>
      <c r="L1969">
        <v>-1.26239625209065</v>
      </c>
      <c r="M1969">
        <v>0.721521441132424</v>
      </c>
    </row>
    <row r="1970" spans="1:13" x14ac:dyDescent="0.25">
      <c r="A1970">
        <v>3129</v>
      </c>
      <c r="B1970" t="str">
        <f>"TNPO3"</f>
        <v>TNPO3</v>
      </c>
      <c r="C1970" t="str">
        <f>""</f>
        <v/>
      </c>
      <c r="D1970">
        <v>102.54</v>
      </c>
      <c r="E1970">
        <v>5.4</v>
      </c>
      <c r="F1970">
        <v>4</v>
      </c>
      <c r="G1970">
        <v>3</v>
      </c>
      <c r="H1970">
        <v>3</v>
      </c>
      <c r="I1970" s="7">
        <v>2.2433272535772102</v>
      </c>
      <c r="J1970" s="6">
        <v>1.74363718651829</v>
      </c>
      <c r="K1970" s="6">
        <v>1.8104406236178701</v>
      </c>
      <c r="L1970">
        <v>-1.26239625209065</v>
      </c>
      <c r="M1970">
        <v>0.721521441132424</v>
      </c>
    </row>
    <row r="1971" spans="1:13" x14ac:dyDescent="0.25">
      <c r="A1971">
        <v>1956</v>
      </c>
      <c r="B1971" t="str">
        <f>"MTHFD1L"</f>
        <v>MTHFD1L</v>
      </c>
      <c r="C1971" t="str">
        <f>""</f>
        <v/>
      </c>
      <c r="D1971">
        <v>105.79</v>
      </c>
      <c r="E1971">
        <v>4.7</v>
      </c>
      <c r="F1971">
        <v>12</v>
      </c>
      <c r="G1971">
        <v>8</v>
      </c>
      <c r="H1971">
        <v>12</v>
      </c>
      <c r="I1971" s="7">
        <v>6.7299817607316301</v>
      </c>
      <c r="J1971" s="6">
        <v>4.6496991640487702</v>
      </c>
      <c r="K1971" s="6">
        <v>7.2417624944714696</v>
      </c>
      <c r="L1971">
        <v>-1.1319015195931901</v>
      </c>
      <c r="M1971">
        <v>0.72830630926735795</v>
      </c>
    </row>
    <row r="1972" spans="1:13" x14ac:dyDescent="0.25">
      <c r="A1972">
        <v>1375</v>
      </c>
      <c r="B1972" t="str">
        <f>"EIF4G2"</f>
        <v>EIF4G2</v>
      </c>
      <c r="C1972" t="str">
        <f>""</f>
        <v/>
      </c>
      <c r="D1972">
        <v>98.149000000000001</v>
      </c>
      <c r="E1972">
        <v>8.1</v>
      </c>
      <c r="F1972">
        <v>12</v>
      </c>
      <c r="G1972">
        <v>9</v>
      </c>
      <c r="H1972">
        <v>11</v>
      </c>
      <c r="I1972" s="7">
        <v>6.7299817607316301</v>
      </c>
      <c r="J1972" s="6">
        <v>5.2309115595548699</v>
      </c>
      <c r="K1972" s="6">
        <v>6.6382822865988498</v>
      </c>
      <c r="L1972">
        <v>-1.13402508173081</v>
      </c>
      <c r="M1972">
        <v>0.72860825997525103</v>
      </c>
    </row>
    <row r="1973" spans="1:13" x14ac:dyDescent="0.25">
      <c r="A1973">
        <v>914</v>
      </c>
      <c r="B1973" t="str">
        <f>"ATIC"</f>
        <v>ATIC</v>
      </c>
      <c r="C1973" t="str">
        <f>""</f>
        <v/>
      </c>
      <c r="D1973">
        <v>64.614999999999995</v>
      </c>
      <c r="E1973">
        <v>15.4</v>
      </c>
      <c r="F1973">
        <v>38</v>
      </c>
      <c r="G1973">
        <v>40</v>
      </c>
      <c r="H1973">
        <v>37</v>
      </c>
      <c r="I1973" s="7">
        <v>21.311608908983501</v>
      </c>
      <c r="J1973" s="6">
        <v>23.2484958202439</v>
      </c>
      <c r="K1973" s="6">
        <v>22.328767691286998</v>
      </c>
      <c r="L1973">
        <v>1.06930602251055</v>
      </c>
      <c r="M1973">
        <v>0.73391007939410002</v>
      </c>
    </row>
    <row r="1974" spans="1:13" x14ac:dyDescent="0.25">
      <c r="A1974">
        <v>1949</v>
      </c>
      <c r="B1974" t="str">
        <f>"LARP1"</f>
        <v>LARP1</v>
      </c>
      <c r="C1974" t="str">
        <f>""</f>
        <v/>
      </c>
      <c r="D1974">
        <v>116.46</v>
      </c>
      <c r="E1974">
        <v>8.6</v>
      </c>
      <c r="F1974">
        <v>8</v>
      </c>
      <c r="G1974">
        <v>5</v>
      </c>
      <c r="H1974">
        <v>8</v>
      </c>
      <c r="I1974" s="7">
        <v>4.4866545071544204</v>
      </c>
      <c r="J1974" s="6">
        <v>2.9060619775304799</v>
      </c>
      <c r="K1974" s="6">
        <v>4.8278416629809797</v>
      </c>
      <c r="L1974">
        <v>-1.16025611792021</v>
      </c>
      <c r="M1974">
        <v>0.73551139784580699</v>
      </c>
    </row>
    <row r="1975" spans="1:13" x14ac:dyDescent="0.25">
      <c r="A1975">
        <v>276</v>
      </c>
      <c r="B1975" t="str">
        <f>"KPNA6"</f>
        <v>KPNA6</v>
      </c>
      <c r="C1975" t="str">
        <f>""</f>
        <v/>
      </c>
      <c r="D1975">
        <v>60.029000000000003</v>
      </c>
      <c r="E1975">
        <v>9.6999999999999993</v>
      </c>
      <c r="F1975">
        <v>8</v>
      </c>
      <c r="G1975">
        <v>7</v>
      </c>
      <c r="H1975">
        <v>6</v>
      </c>
      <c r="I1975" s="7">
        <v>4.4866545071544204</v>
      </c>
      <c r="J1975" s="6">
        <v>4.0684867685426802</v>
      </c>
      <c r="K1975" s="6">
        <v>3.6208812472357401</v>
      </c>
      <c r="L1975">
        <v>-1.16697614106853</v>
      </c>
      <c r="M1975">
        <v>0.73589547210051298</v>
      </c>
    </row>
    <row r="1976" spans="1:13" x14ac:dyDescent="0.25">
      <c r="A1976">
        <v>2872</v>
      </c>
      <c r="B1976" t="str">
        <f>"MAT2B"</f>
        <v>MAT2B</v>
      </c>
      <c r="C1976" t="str">
        <f>""</f>
        <v/>
      </c>
      <c r="D1976">
        <v>28.954000000000001</v>
      </c>
      <c r="E1976">
        <v>9.6999999999999993</v>
      </c>
      <c r="F1976">
        <v>8</v>
      </c>
      <c r="G1976">
        <v>7</v>
      </c>
      <c r="H1976">
        <v>6</v>
      </c>
      <c r="I1976" s="7">
        <v>4.4866545071544204</v>
      </c>
      <c r="J1976" s="6">
        <v>4.0684867685426802</v>
      </c>
      <c r="K1976" s="6">
        <v>3.6208812472357401</v>
      </c>
      <c r="L1976">
        <v>-1.16697614106853</v>
      </c>
      <c r="M1976">
        <v>0.73589547210051298</v>
      </c>
    </row>
    <row r="1977" spans="1:13" x14ac:dyDescent="0.25">
      <c r="A1977">
        <v>699</v>
      </c>
      <c r="B1977" t="str">
        <f>"IDE"</f>
        <v>IDE</v>
      </c>
      <c r="C1977" t="str">
        <f>""</f>
        <v/>
      </c>
      <c r="D1977">
        <v>117.97</v>
      </c>
      <c r="E1977">
        <v>7.7</v>
      </c>
      <c r="F1977">
        <v>8</v>
      </c>
      <c r="G1977">
        <v>6</v>
      </c>
      <c r="H1977">
        <v>7</v>
      </c>
      <c r="I1977" s="7">
        <v>4.4866545071544204</v>
      </c>
      <c r="J1977" s="6">
        <v>3.4872743730365801</v>
      </c>
      <c r="K1977" s="6">
        <v>4.2243614551083599</v>
      </c>
      <c r="L1977">
        <v>-1.16360642725882</v>
      </c>
      <c r="M1977">
        <v>0.73589549291317902</v>
      </c>
    </row>
    <row r="1978" spans="1:13" x14ac:dyDescent="0.25">
      <c r="A1978">
        <v>2816</v>
      </c>
      <c r="B1978" t="str">
        <f>"DDX19A;DDX19B"</f>
        <v>DDX19A;DDX19B</v>
      </c>
      <c r="C1978" t="str">
        <f>""</f>
        <v/>
      </c>
      <c r="D1978">
        <v>43.874000000000002</v>
      </c>
      <c r="E1978">
        <v>16.2</v>
      </c>
      <c r="F1978">
        <v>8</v>
      </c>
      <c r="G1978">
        <v>6</v>
      </c>
      <c r="H1978">
        <v>7</v>
      </c>
      <c r="I1978" s="7">
        <v>4.4866545071544204</v>
      </c>
      <c r="J1978" s="6">
        <v>3.4872743730365801</v>
      </c>
      <c r="K1978" s="6">
        <v>4.2243614551083599</v>
      </c>
      <c r="L1978">
        <v>-1.16360642725882</v>
      </c>
      <c r="M1978">
        <v>0.73589549291317902</v>
      </c>
    </row>
    <row r="1979" spans="1:13" x14ac:dyDescent="0.25">
      <c r="A1979">
        <v>2925</v>
      </c>
      <c r="B1979" t="str">
        <f>"UBA2"</f>
        <v>UBA2</v>
      </c>
      <c r="C1979" t="str">
        <f>""</f>
        <v/>
      </c>
      <c r="D1979">
        <v>71.222999999999999</v>
      </c>
      <c r="E1979">
        <v>8</v>
      </c>
      <c r="F1979">
        <v>8</v>
      </c>
      <c r="G1979">
        <v>6</v>
      </c>
      <c r="H1979">
        <v>7</v>
      </c>
      <c r="I1979" s="7">
        <v>4.4866545071544204</v>
      </c>
      <c r="J1979" s="6">
        <v>3.4872743730365801</v>
      </c>
      <c r="K1979" s="6">
        <v>4.2243614551083599</v>
      </c>
      <c r="L1979">
        <v>-1.16360642725882</v>
      </c>
      <c r="M1979">
        <v>0.73589549291317902</v>
      </c>
    </row>
    <row r="1980" spans="1:13" x14ac:dyDescent="0.25">
      <c r="A1980">
        <v>234</v>
      </c>
      <c r="B1980" t="str">
        <f>"GSTZ1"</f>
        <v>GSTZ1</v>
      </c>
      <c r="C1980" t="str">
        <f>""</f>
        <v/>
      </c>
      <c r="D1980">
        <v>24.212</v>
      </c>
      <c r="E1980">
        <v>13.9</v>
      </c>
      <c r="F1980">
        <v>2</v>
      </c>
      <c r="G1980">
        <v>2</v>
      </c>
      <c r="H1980">
        <v>3</v>
      </c>
      <c r="I1980" s="7">
        <v>1.1216636267886</v>
      </c>
      <c r="J1980" s="6">
        <v>1.1624247910121901</v>
      </c>
      <c r="K1980" s="6">
        <v>1.8104406236178701</v>
      </c>
      <c r="L1980">
        <v>1.32520362773177</v>
      </c>
      <c r="M1980">
        <v>0.736983853585085</v>
      </c>
    </row>
    <row r="1981" spans="1:13" x14ac:dyDescent="0.25">
      <c r="A1981">
        <v>1633</v>
      </c>
      <c r="B1981" t="str">
        <f>"ICT1"</f>
        <v>ICT1</v>
      </c>
      <c r="C1981" t="str">
        <f>""</f>
        <v/>
      </c>
      <c r="D1981">
        <v>23.63</v>
      </c>
      <c r="E1981">
        <v>5.8</v>
      </c>
      <c r="F1981">
        <v>2</v>
      </c>
      <c r="G1981">
        <v>2</v>
      </c>
      <c r="H1981">
        <v>3</v>
      </c>
      <c r="I1981" s="7">
        <v>1.1216636267886</v>
      </c>
      <c r="J1981" s="6">
        <v>1.1624247910121901</v>
      </c>
      <c r="K1981" s="6">
        <v>1.8104406236178701</v>
      </c>
      <c r="L1981">
        <v>1.32520362773177</v>
      </c>
      <c r="M1981">
        <v>0.736983853585085</v>
      </c>
    </row>
    <row r="1982" spans="1:13" x14ac:dyDescent="0.25">
      <c r="A1982">
        <v>2355</v>
      </c>
      <c r="B1982" t="str">
        <f>"TUBGCP3"</f>
        <v>TUBGCP3</v>
      </c>
      <c r="C1982" t="str">
        <f>""</f>
        <v/>
      </c>
      <c r="D1982">
        <v>103.57</v>
      </c>
      <c r="E1982">
        <v>3.4</v>
      </c>
      <c r="F1982">
        <v>2</v>
      </c>
      <c r="G1982">
        <v>2</v>
      </c>
      <c r="H1982">
        <v>3</v>
      </c>
      <c r="I1982" s="7">
        <v>1.1216636267886</v>
      </c>
      <c r="J1982" s="6">
        <v>1.1624247910121901</v>
      </c>
      <c r="K1982" s="6">
        <v>1.8104406236178701</v>
      </c>
      <c r="L1982">
        <v>1.32520362773177</v>
      </c>
      <c r="M1982">
        <v>0.736983853585085</v>
      </c>
    </row>
    <row r="1983" spans="1:13" x14ac:dyDescent="0.25">
      <c r="A1983">
        <v>863</v>
      </c>
      <c r="B1983" t="str">
        <f>"NDUFS1"</f>
        <v>NDUFS1</v>
      </c>
      <c r="C1983" t="str">
        <f>""</f>
        <v/>
      </c>
      <c r="D1983">
        <v>67.524000000000001</v>
      </c>
      <c r="E1983">
        <v>3.6</v>
      </c>
      <c r="F1983">
        <v>2</v>
      </c>
      <c r="G1983">
        <v>2</v>
      </c>
      <c r="H1983">
        <v>3</v>
      </c>
      <c r="I1983" s="7">
        <v>1.1216636267886</v>
      </c>
      <c r="J1983" s="6">
        <v>1.1624247910121901</v>
      </c>
      <c r="K1983" s="6">
        <v>1.8104406236178701</v>
      </c>
      <c r="L1983">
        <v>1.32520362773177</v>
      </c>
      <c r="M1983">
        <v>0.736983853585085</v>
      </c>
    </row>
    <row r="1984" spans="1:13" x14ac:dyDescent="0.25">
      <c r="A1984">
        <v>9</v>
      </c>
      <c r="B1984" t="str">
        <f>"UBA6"</f>
        <v>UBA6</v>
      </c>
      <c r="C1984" t="str">
        <f>""</f>
        <v/>
      </c>
      <c r="D1984">
        <v>117.97</v>
      </c>
      <c r="E1984">
        <v>5.0999999999999996</v>
      </c>
      <c r="F1984">
        <v>2</v>
      </c>
      <c r="G1984">
        <v>2</v>
      </c>
      <c r="H1984">
        <v>3</v>
      </c>
      <c r="I1984" s="7">
        <v>1.1216636267886</v>
      </c>
      <c r="J1984" s="6">
        <v>1.1624247910121901</v>
      </c>
      <c r="K1984" s="6">
        <v>1.8104406236178701</v>
      </c>
      <c r="L1984">
        <v>1.32520362773177</v>
      </c>
      <c r="M1984">
        <v>0.736983853585085</v>
      </c>
    </row>
    <row r="1985" spans="1:13" x14ac:dyDescent="0.25">
      <c r="A1985">
        <v>201</v>
      </c>
      <c r="B1985" t="str">
        <f>"ZZEF1"</f>
        <v>ZZEF1</v>
      </c>
      <c r="C1985" t="str">
        <f>""</f>
        <v/>
      </c>
      <c r="D1985">
        <v>331.07</v>
      </c>
      <c r="E1985">
        <v>1.1000000000000001</v>
      </c>
      <c r="F1985">
        <v>2</v>
      </c>
      <c r="G1985">
        <v>2</v>
      </c>
      <c r="H1985">
        <v>3</v>
      </c>
      <c r="I1985" s="7">
        <v>1.1216636267886</v>
      </c>
      <c r="J1985" s="6">
        <v>1.1624247910121901</v>
      </c>
      <c r="K1985" s="6">
        <v>1.8104406236178701</v>
      </c>
      <c r="L1985">
        <v>1.32520362773177</v>
      </c>
      <c r="M1985">
        <v>0.736983853585085</v>
      </c>
    </row>
    <row r="1986" spans="1:13" x14ac:dyDescent="0.25">
      <c r="A1986">
        <v>208</v>
      </c>
      <c r="B1986" t="str">
        <f>"RBFOX2;RBFOX1"</f>
        <v>RBFOX2;RBFOX1</v>
      </c>
      <c r="C1986" t="str">
        <f>""</f>
        <v/>
      </c>
      <c r="D1986">
        <v>39.514000000000003</v>
      </c>
      <c r="E1986">
        <v>4.0999999999999996</v>
      </c>
      <c r="F1986">
        <v>2</v>
      </c>
      <c r="G1986">
        <v>2</v>
      </c>
      <c r="H1986">
        <v>3</v>
      </c>
      <c r="I1986" s="7">
        <v>1.1216636267886</v>
      </c>
      <c r="J1986" s="6">
        <v>1.1624247910121901</v>
      </c>
      <c r="K1986" s="6">
        <v>1.8104406236178701</v>
      </c>
      <c r="L1986">
        <v>1.32520362773177</v>
      </c>
      <c r="M1986">
        <v>0.736983853585085</v>
      </c>
    </row>
    <row r="1987" spans="1:13" x14ac:dyDescent="0.25">
      <c r="A1987">
        <v>436</v>
      </c>
      <c r="B1987" t="str">
        <f>"ACTL6A"</f>
        <v>ACTL6A</v>
      </c>
      <c r="C1987" t="str">
        <f>""</f>
        <v/>
      </c>
      <c r="D1987">
        <v>43.235999999999997</v>
      </c>
      <c r="E1987">
        <v>4.7</v>
      </c>
      <c r="F1987">
        <v>2</v>
      </c>
      <c r="G1987">
        <v>2</v>
      </c>
      <c r="H1987">
        <v>3</v>
      </c>
      <c r="I1987" s="7">
        <v>1.1216636267886</v>
      </c>
      <c r="J1987" s="6">
        <v>1.1624247910121901</v>
      </c>
      <c r="K1987" s="6">
        <v>1.8104406236178701</v>
      </c>
      <c r="L1987">
        <v>1.32520362773177</v>
      </c>
      <c r="M1987">
        <v>0.736983853585085</v>
      </c>
    </row>
    <row r="1988" spans="1:13" x14ac:dyDescent="0.25">
      <c r="A1988">
        <v>751</v>
      </c>
      <c r="B1988" t="str">
        <f>"EIF2AK2"</f>
        <v>EIF2AK2</v>
      </c>
      <c r="C1988" t="str">
        <f>"EIF2AK2"</f>
        <v>EIF2AK2</v>
      </c>
      <c r="D1988">
        <v>62.094000000000001</v>
      </c>
      <c r="E1988">
        <v>12</v>
      </c>
      <c r="F1988">
        <v>2</v>
      </c>
      <c r="G1988">
        <v>2</v>
      </c>
      <c r="H1988">
        <v>3</v>
      </c>
      <c r="I1988" s="7">
        <v>1.1216636267886</v>
      </c>
      <c r="J1988" s="6">
        <v>1.1624247910121901</v>
      </c>
      <c r="K1988" s="6">
        <v>1.8104406236178701</v>
      </c>
      <c r="L1988">
        <v>1.32520362773177</v>
      </c>
      <c r="M1988">
        <v>0.736983853585085</v>
      </c>
    </row>
    <row r="1989" spans="1:13" x14ac:dyDescent="0.25">
      <c r="A1989">
        <v>752</v>
      </c>
      <c r="B1989" t="str">
        <f>"SRM"</f>
        <v>SRM</v>
      </c>
      <c r="C1989" t="str">
        <f>""</f>
        <v/>
      </c>
      <c r="D1989">
        <v>33.823999999999998</v>
      </c>
      <c r="E1989">
        <v>10.3</v>
      </c>
      <c r="F1989">
        <v>2</v>
      </c>
      <c r="G1989">
        <v>2</v>
      </c>
      <c r="H1989">
        <v>3</v>
      </c>
      <c r="I1989" s="7">
        <v>1.1216636267886</v>
      </c>
      <c r="J1989" s="6">
        <v>1.1624247910121901</v>
      </c>
      <c r="K1989" s="6">
        <v>1.8104406236178701</v>
      </c>
      <c r="L1989">
        <v>1.32520362773177</v>
      </c>
      <c r="M1989">
        <v>0.736983853585085</v>
      </c>
    </row>
    <row r="1990" spans="1:13" x14ac:dyDescent="0.25">
      <c r="A1990">
        <v>785</v>
      </c>
      <c r="B1990" t="str">
        <f>"OSBP"</f>
        <v>OSBP</v>
      </c>
      <c r="C1990" t="str">
        <f>""</f>
        <v/>
      </c>
      <c r="D1990">
        <v>89.42</v>
      </c>
      <c r="E1990">
        <v>8.1</v>
      </c>
      <c r="F1990">
        <v>2</v>
      </c>
      <c r="G1990">
        <v>2</v>
      </c>
      <c r="H1990">
        <v>3</v>
      </c>
      <c r="I1990" s="7">
        <v>1.1216636267886</v>
      </c>
      <c r="J1990" s="6">
        <v>1.1624247910121901</v>
      </c>
      <c r="K1990" s="6">
        <v>1.8104406236178701</v>
      </c>
      <c r="L1990">
        <v>1.32520362773177</v>
      </c>
      <c r="M1990">
        <v>0.736983853585085</v>
      </c>
    </row>
    <row r="1991" spans="1:13" x14ac:dyDescent="0.25">
      <c r="A1991">
        <v>947</v>
      </c>
      <c r="B1991" t="str">
        <f>"RFC1"</f>
        <v>RFC1</v>
      </c>
      <c r="C1991" t="str">
        <f>""</f>
        <v/>
      </c>
      <c r="D1991">
        <v>128.18</v>
      </c>
      <c r="E1991">
        <v>2.1</v>
      </c>
      <c r="F1991">
        <v>2</v>
      </c>
      <c r="G1991">
        <v>2</v>
      </c>
      <c r="H1991">
        <v>3</v>
      </c>
      <c r="I1991" s="7">
        <v>1.1216636267886</v>
      </c>
      <c r="J1991" s="6">
        <v>1.1624247910121901</v>
      </c>
      <c r="K1991" s="6">
        <v>1.8104406236178701</v>
      </c>
      <c r="L1991">
        <v>1.32520362773177</v>
      </c>
      <c r="M1991">
        <v>0.736983853585085</v>
      </c>
    </row>
    <row r="1992" spans="1:13" x14ac:dyDescent="0.25">
      <c r="A1992">
        <v>1031</v>
      </c>
      <c r="B1992" t="str">
        <f>"SLC1A3"</f>
        <v>SLC1A3</v>
      </c>
      <c r="C1992" t="str">
        <f>""</f>
        <v/>
      </c>
      <c r="D1992">
        <v>55.148000000000003</v>
      </c>
      <c r="E1992">
        <v>2.4</v>
      </c>
      <c r="F1992">
        <v>2</v>
      </c>
      <c r="G1992">
        <v>2</v>
      </c>
      <c r="H1992">
        <v>3</v>
      </c>
      <c r="I1992" s="7">
        <v>1.1216636267886</v>
      </c>
      <c r="J1992" s="6">
        <v>1.1624247910121901</v>
      </c>
      <c r="K1992" s="6">
        <v>1.8104406236178701</v>
      </c>
      <c r="L1992">
        <v>1.32520362773177</v>
      </c>
      <c r="M1992">
        <v>0.736983853585085</v>
      </c>
    </row>
    <row r="1993" spans="1:13" x14ac:dyDescent="0.25">
      <c r="A1993">
        <v>1089</v>
      </c>
      <c r="B1993" t="str">
        <f>"POLD2"</f>
        <v>POLD2</v>
      </c>
      <c r="C1993" t="str">
        <f>""</f>
        <v/>
      </c>
      <c r="D1993">
        <v>51.289000000000001</v>
      </c>
      <c r="E1993">
        <v>7.2</v>
      </c>
      <c r="F1993">
        <v>2</v>
      </c>
      <c r="G1993">
        <v>2</v>
      </c>
      <c r="H1993">
        <v>3</v>
      </c>
      <c r="I1993" s="7">
        <v>1.1216636267886</v>
      </c>
      <c r="J1993" s="6">
        <v>1.1624247910121901</v>
      </c>
      <c r="K1993" s="6">
        <v>1.8104406236178701</v>
      </c>
      <c r="L1993">
        <v>1.32520362773177</v>
      </c>
      <c r="M1993">
        <v>0.736983853585085</v>
      </c>
    </row>
    <row r="1994" spans="1:13" x14ac:dyDescent="0.25">
      <c r="A1994">
        <v>1096</v>
      </c>
      <c r="B1994" t="str">
        <f>"FNTB"</f>
        <v>FNTB</v>
      </c>
      <c r="C1994" t="str">
        <f>""</f>
        <v/>
      </c>
      <c r="D1994">
        <v>43.573999999999998</v>
      </c>
      <c r="E1994">
        <v>4.5999999999999996</v>
      </c>
      <c r="F1994">
        <v>2</v>
      </c>
      <c r="G1994">
        <v>2</v>
      </c>
      <c r="H1994">
        <v>3</v>
      </c>
      <c r="I1994" s="7">
        <v>1.1216636267886</v>
      </c>
      <c r="J1994" s="6">
        <v>1.1624247910121901</v>
      </c>
      <c r="K1994" s="6">
        <v>1.8104406236178701</v>
      </c>
      <c r="L1994">
        <v>1.32520362773177</v>
      </c>
      <c r="M1994">
        <v>0.736983853585085</v>
      </c>
    </row>
    <row r="1995" spans="1:13" x14ac:dyDescent="0.25">
      <c r="A1995">
        <v>1152</v>
      </c>
      <c r="B1995" t="str">
        <f>"RAB7A"</f>
        <v>RAB7A</v>
      </c>
      <c r="C1995" t="str">
        <f>""</f>
        <v/>
      </c>
      <c r="D1995">
        <v>23.489000000000001</v>
      </c>
      <c r="E1995">
        <v>23.7</v>
      </c>
      <c r="F1995">
        <v>2</v>
      </c>
      <c r="G1995">
        <v>2</v>
      </c>
      <c r="H1995">
        <v>3</v>
      </c>
      <c r="I1995" s="7">
        <v>1.1216636267886</v>
      </c>
      <c r="J1995" s="6">
        <v>1.1624247910121901</v>
      </c>
      <c r="K1995" s="6">
        <v>1.8104406236178701</v>
      </c>
      <c r="L1995">
        <v>1.32520362773177</v>
      </c>
      <c r="M1995">
        <v>0.736983853585085</v>
      </c>
    </row>
    <row r="1996" spans="1:13" x14ac:dyDescent="0.25">
      <c r="A1996">
        <v>1153</v>
      </c>
      <c r="B1996" t="str">
        <f>"RAB13"</f>
        <v>RAB13</v>
      </c>
      <c r="C1996" t="str">
        <f>""</f>
        <v/>
      </c>
      <c r="D1996">
        <v>22.774000000000001</v>
      </c>
      <c r="E1996">
        <v>4.9000000000000004</v>
      </c>
      <c r="F1996">
        <v>2</v>
      </c>
      <c r="G1996">
        <v>2</v>
      </c>
      <c r="H1996">
        <v>3</v>
      </c>
      <c r="I1996" s="7">
        <v>1.1216636267886</v>
      </c>
      <c r="J1996" s="6">
        <v>1.1624247910121901</v>
      </c>
      <c r="K1996" s="6">
        <v>1.8104406236178701</v>
      </c>
      <c r="L1996">
        <v>1.32520362773177</v>
      </c>
      <c r="M1996">
        <v>0.736983853585085</v>
      </c>
    </row>
    <row r="1997" spans="1:13" x14ac:dyDescent="0.25">
      <c r="A1997">
        <v>1608</v>
      </c>
      <c r="B1997" t="str">
        <f>"EXOSC2"</f>
        <v>EXOSC2</v>
      </c>
      <c r="C1997" t="str">
        <f>""</f>
        <v/>
      </c>
      <c r="D1997">
        <v>29.408000000000001</v>
      </c>
      <c r="E1997">
        <v>8</v>
      </c>
      <c r="F1997">
        <v>2</v>
      </c>
      <c r="G1997">
        <v>2</v>
      </c>
      <c r="H1997">
        <v>3</v>
      </c>
      <c r="I1997" s="7">
        <v>1.1216636267886</v>
      </c>
      <c r="J1997" s="6">
        <v>1.1624247910121901</v>
      </c>
      <c r="K1997" s="6">
        <v>1.8104406236178701</v>
      </c>
      <c r="L1997">
        <v>1.32520362773177</v>
      </c>
      <c r="M1997">
        <v>0.736983853585085</v>
      </c>
    </row>
    <row r="1998" spans="1:13" x14ac:dyDescent="0.25">
      <c r="A1998">
        <v>2013</v>
      </c>
      <c r="B1998" t="str">
        <f>"TRMT1L"</f>
        <v>TRMT1L</v>
      </c>
      <c r="C1998" t="str">
        <f>""</f>
        <v/>
      </c>
      <c r="D1998">
        <v>81.745999999999995</v>
      </c>
      <c r="E1998">
        <v>5.9</v>
      </c>
      <c r="F1998">
        <v>2</v>
      </c>
      <c r="G1998">
        <v>2</v>
      </c>
      <c r="H1998">
        <v>3</v>
      </c>
      <c r="I1998" s="7">
        <v>1.1216636267886</v>
      </c>
      <c r="J1998" s="6">
        <v>1.1624247910121901</v>
      </c>
      <c r="K1998" s="6">
        <v>1.8104406236178701</v>
      </c>
      <c r="L1998">
        <v>1.32520362773177</v>
      </c>
      <c r="M1998">
        <v>0.736983853585085</v>
      </c>
    </row>
    <row r="1999" spans="1:13" x14ac:dyDescent="0.25">
      <c r="A1999">
        <v>2070</v>
      </c>
      <c r="B1999" t="str">
        <f>"ZC3HC1"</f>
        <v>ZC3HC1</v>
      </c>
      <c r="C1999" t="str">
        <f>""</f>
        <v/>
      </c>
      <c r="D1999">
        <v>55.261000000000003</v>
      </c>
      <c r="E1999">
        <v>6</v>
      </c>
      <c r="F1999">
        <v>2</v>
      </c>
      <c r="G1999">
        <v>2</v>
      </c>
      <c r="H1999">
        <v>3</v>
      </c>
      <c r="I1999" s="7">
        <v>1.1216636267886</v>
      </c>
      <c r="J1999" s="6">
        <v>1.1624247910121901</v>
      </c>
      <c r="K1999" s="6">
        <v>1.8104406236178701</v>
      </c>
      <c r="L1999">
        <v>1.32520362773177</v>
      </c>
      <c r="M1999">
        <v>0.736983853585085</v>
      </c>
    </row>
    <row r="2000" spans="1:13" x14ac:dyDescent="0.25">
      <c r="A2000">
        <v>2179</v>
      </c>
      <c r="B2000" t="str">
        <f>"APOA1BP"</f>
        <v>APOA1BP</v>
      </c>
      <c r="C2000" t="str">
        <f>""</f>
        <v/>
      </c>
      <c r="D2000">
        <v>20.43</v>
      </c>
      <c r="E2000">
        <v>28.1</v>
      </c>
      <c r="F2000">
        <v>2</v>
      </c>
      <c r="G2000">
        <v>2</v>
      </c>
      <c r="H2000">
        <v>3</v>
      </c>
      <c r="I2000" s="7">
        <v>1.1216636267886</v>
      </c>
      <c r="J2000" s="6">
        <v>1.1624247910121901</v>
      </c>
      <c r="K2000" s="6">
        <v>1.8104406236178701</v>
      </c>
      <c r="L2000">
        <v>1.32520362773177</v>
      </c>
      <c r="M2000">
        <v>0.736983853585085</v>
      </c>
    </row>
    <row r="2001" spans="1:13" x14ac:dyDescent="0.25">
      <c r="A2001">
        <v>2504</v>
      </c>
      <c r="B2001" t="str">
        <f>"DPYSL5"</f>
        <v>DPYSL5</v>
      </c>
      <c r="C2001" t="str">
        <f>""</f>
        <v/>
      </c>
      <c r="D2001">
        <v>61.420999999999999</v>
      </c>
      <c r="E2001">
        <v>6.2</v>
      </c>
      <c r="F2001">
        <v>2</v>
      </c>
      <c r="G2001">
        <v>2</v>
      </c>
      <c r="H2001">
        <v>3</v>
      </c>
      <c r="I2001" s="7">
        <v>1.1216636267886</v>
      </c>
      <c r="J2001" s="6">
        <v>1.1624247910121901</v>
      </c>
      <c r="K2001" s="6">
        <v>1.8104406236178701</v>
      </c>
      <c r="L2001">
        <v>1.32520362773177</v>
      </c>
      <c r="M2001">
        <v>0.736983853585085</v>
      </c>
    </row>
    <row r="2002" spans="1:13" x14ac:dyDescent="0.25">
      <c r="A2002">
        <v>2664</v>
      </c>
      <c r="B2002" t="str">
        <f>"DHX36"</f>
        <v>DHX36</v>
      </c>
      <c r="C2002" t="str">
        <f>""</f>
        <v/>
      </c>
      <c r="D2002">
        <v>111.48</v>
      </c>
      <c r="E2002">
        <v>5.8</v>
      </c>
      <c r="F2002">
        <v>2</v>
      </c>
      <c r="G2002">
        <v>2</v>
      </c>
      <c r="H2002">
        <v>3</v>
      </c>
      <c r="I2002" s="7">
        <v>1.1216636267886</v>
      </c>
      <c r="J2002" s="6">
        <v>1.1624247910121901</v>
      </c>
      <c r="K2002" s="6">
        <v>1.8104406236178701</v>
      </c>
      <c r="L2002">
        <v>1.32520362773177</v>
      </c>
      <c r="M2002">
        <v>0.736983853585085</v>
      </c>
    </row>
    <row r="2003" spans="1:13" x14ac:dyDescent="0.25">
      <c r="A2003">
        <v>2704</v>
      </c>
      <c r="B2003" t="str">
        <f>"NT5DC2"</f>
        <v>NT5DC2</v>
      </c>
      <c r="C2003" t="str">
        <f>""</f>
        <v/>
      </c>
      <c r="D2003">
        <v>45.997999999999998</v>
      </c>
      <c r="E2003">
        <v>7.9</v>
      </c>
      <c r="F2003">
        <v>2</v>
      </c>
      <c r="G2003">
        <v>2</v>
      </c>
      <c r="H2003">
        <v>3</v>
      </c>
      <c r="I2003" s="7">
        <v>1.1216636267886</v>
      </c>
      <c r="J2003" s="6">
        <v>1.1624247910121901</v>
      </c>
      <c r="K2003" s="6">
        <v>1.8104406236178701</v>
      </c>
      <c r="L2003">
        <v>1.32520362773177</v>
      </c>
      <c r="M2003">
        <v>0.736983853585085</v>
      </c>
    </row>
    <row r="2004" spans="1:13" x14ac:dyDescent="0.25">
      <c r="A2004">
        <v>244</v>
      </c>
      <c r="B2004" t="str">
        <f>"LANCL1"</f>
        <v>LANCL1</v>
      </c>
      <c r="C2004" t="str">
        <f>""</f>
        <v/>
      </c>
      <c r="D2004">
        <v>45.283000000000001</v>
      </c>
      <c r="E2004">
        <v>2</v>
      </c>
      <c r="F2004">
        <v>2</v>
      </c>
      <c r="G2004">
        <v>3</v>
      </c>
      <c r="H2004">
        <v>2</v>
      </c>
      <c r="I2004" s="7">
        <v>1.1216636267886</v>
      </c>
      <c r="J2004" s="6">
        <v>1.74363718651829</v>
      </c>
      <c r="K2004" s="6">
        <v>1.20696041574525</v>
      </c>
      <c r="L2004">
        <v>1.3152773843221099</v>
      </c>
      <c r="M2004">
        <v>0.736983882862281</v>
      </c>
    </row>
    <row r="2005" spans="1:13" x14ac:dyDescent="0.25">
      <c r="A2005">
        <v>2825</v>
      </c>
      <c r="B2005" t="str">
        <f>"INTS7"</f>
        <v>INTS7</v>
      </c>
      <c r="C2005" t="str">
        <f>""</f>
        <v/>
      </c>
      <c r="D2005">
        <v>101.12</v>
      </c>
      <c r="E2005">
        <v>2.5</v>
      </c>
      <c r="F2005">
        <v>2</v>
      </c>
      <c r="G2005">
        <v>3</v>
      </c>
      <c r="H2005">
        <v>2</v>
      </c>
      <c r="I2005" s="7">
        <v>1.1216636267886</v>
      </c>
      <c r="J2005" s="6">
        <v>1.74363718651829</v>
      </c>
      <c r="K2005" s="6">
        <v>1.20696041574525</v>
      </c>
      <c r="L2005">
        <v>1.3152773843221099</v>
      </c>
      <c r="M2005">
        <v>0.736983882862281</v>
      </c>
    </row>
    <row r="2006" spans="1:13" x14ac:dyDescent="0.25">
      <c r="A2006">
        <v>100</v>
      </c>
      <c r="B2006" t="str">
        <f>"PSMD9"</f>
        <v>PSMD9</v>
      </c>
      <c r="C2006" t="str">
        <f>""</f>
        <v/>
      </c>
      <c r="D2006">
        <v>13.053000000000001</v>
      </c>
      <c r="E2006">
        <v>10.199999999999999</v>
      </c>
      <c r="F2006">
        <v>2</v>
      </c>
      <c r="G2006">
        <v>3</v>
      </c>
      <c r="H2006">
        <v>2</v>
      </c>
      <c r="I2006" s="7">
        <v>1.1216636267886</v>
      </c>
      <c r="J2006" s="6">
        <v>1.74363718651829</v>
      </c>
      <c r="K2006" s="6">
        <v>1.20696041574525</v>
      </c>
      <c r="L2006">
        <v>1.3152773843221099</v>
      </c>
      <c r="M2006">
        <v>0.736983882862281</v>
      </c>
    </row>
    <row r="2007" spans="1:13" x14ac:dyDescent="0.25">
      <c r="A2007">
        <v>325</v>
      </c>
      <c r="B2007" t="str">
        <f>"CDC45"</f>
        <v>CDC45</v>
      </c>
      <c r="C2007" t="str">
        <f>""</f>
        <v/>
      </c>
      <c r="D2007">
        <v>60.244</v>
      </c>
      <c r="E2007">
        <v>3.3</v>
      </c>
      <c r="F2007">
        <v>2</v>
      </c>
      <c r="G2007">
        <v>3</v>
      </c>
      <c r="H2007">
        <v>2</v>
      </c>
      <c r="I2007" s="7">
        <v>1.1216636267886</v>
      </c>
      <c r="J2007" s="6">
        <v>1.74363718651829</v>
      </c>
      <c r="K2007" s="6">
        <v>1.20696041574525</v>
      </c>
      <c r="L2007">
        <v>1.3152773843221099</v>
      </c>
      <c r="M2007">
        <v>0.736983882862281</v>
      </c>
    </row>
    <row r="2008" spans="1:13" x14ac:dyDescent="0.25">
      <c r="A2008">
        <v>654</v>
      </c>
      <c r="B2008" t="str">
        <f>"CDK4"</f>
        <v>CDK4</v>
      </c>
      <c r="C2008" t="str">
        <f>"CDK4"</f>
        <v>CDK4</v>
      </c>
      <c r="D2008">
        <v>33.728999999999999</v>
      </c>
      <c r="E2008">
        <v>13.5</v>
      </c>
      <c r="F2008">
        <v>2</v>
      </c>
      <c r="G2008">
        <v>3</v>
      </c>
      <c r="H2008">
        <v>2</v>
      </c>
      <c r="I2008" s="7">
        <v>1.1216636267886</v>
      </c>
      <c r="J2008" s="6">
        <v>1.74363718651829</v>
      </c>
      <c r="K2008" s="6">
        <v>1.20696041574525</v>
      </c>
      <c r="L2008">
        <v>1.3152773843221099</v>
      </c>
      <c r="M2008">
        <v>0.736983882862281</v>
      </c>
    </row>
    <row r="2009" spans="1:13" x14ac:dyDescent="0.25">
      <c r="A2009">
        <v>1216</v>
      </c>
      <c r="B2009" t="str">
        <f>"PRKAG1"</f>
        <v>PRKAG1</v>
      </c>
      <c r="C2009" t="str">
        <f>""</f>
        <v/>
      </c>
      <c r="D2009">
        <v>34.082999999999998</v>
      </c>
      <c r="E2009">
        <v>13</v>
      </c>
      <c r="F2009">
        <v>2</v>
      </c>
      <c r="G2009">
        <v>3</v>
      </c>
      <c r="H2009">
        <v>2</v>
      </c>
      <c r="I2009" s="7">
        <v>1.1216636267886</v>
      </c>
      <c r="J2009" s="6">
        <v>1.74363718651829</v>
      </c>
      <c r="K2009" s="6">
        <v>1.20696041574525</v>
      </c>
      <c r="L2009">
        <v>1.3152773843221099</v>
      </c>
      <c r="M2009">
        <v>0.736983882862281</v>
      </c>
    </row>
    <row r="2010" spans="1:13" x14ac:dyDescent="0.25">
      <c r="A2010">
        <v>1452</v>
      </c>
      <c r="B2010" t="str">
        <f>"SSBP1"</f>
        <v>SSBP1</v>
      </c>
      <c r="C2010" t="str">
        <f>""</f>
        <v/>
      </c>
      <c r="D2010">
        <v>17.259</v>
      </c>
      <c r="E2010">
        <v>29.1</v>
      </c>
      <c r="F2010">
        <v>2</v>
      </c>
      <c r="G2010">
        <v>3</v>
      </c>
      <c r="H2010">
        <v>2</v>
      </c>
      <c r="I2010" s="7">
        <v>1.1216636267886</v>
      </c>
      <c r="J2010" s="6">
        <v>1.74363718651829</v>
      </c>
      <c r="K2010" s="6">
        <v>1.20696041574525</v>
      </c>
      <c r="L2010">
        <v>1.3152773843221099</v>
      </c>
      <c r="M2010">
        <v>0.736983882862281</v>
      </c>
    </row>
    <row r="2011" spans="1:13" x14ac:dyDescent="0.25">
      <c r="A2011">
        <v>1843</v>
      </c>
      <c r="B2011" t="str">
        <f>"AARS2"</f>
        <v>AARS2</v>
      </c>
      <c r="C2011" t="str">
        <f>""</f>
        <v/>
      </c>
      <c r="D2011">
        <v>107.34</v>
      </c>
      <c r="E2011">
        <v>5.6</v>
      </c>
      <c r="F2011">
        <v>2</v>
      </c>
      <c r="G2011">
        <v>3</v>
      </c>
      <c r="H2011">
        <v>2</v>
      </c>
      <c r="I2011" s="7">
        <v>1.1216636267886</v>
      </c>
      <c r="J2011" s="6">
        <v>1.74363718651829</v>
      </c>
      <c r="K2011" s="6">
        <v>1.20696041574525</v>
      </c>
      <c r="L2011">
        <v>1.3152773843221099</v>
      </c>
      <c r="M2011">
        <v>0.736983882862281</v>
      </c>
    </row>
    <row r="2012" spans="1:13" x14ac:dyDescent="0.25">
      <c r="A2012">
        <v>2331</v>
      </c>
      <c r="B2012" t="str">
        <f>"FERMT2"</f>
        <v>FERMT2</v>
      </c>
      <c r="C2012" t="str">
        <f>""</f>
        <v/>
      </c>
      <c r="D2012">
        <v>72.397000000000006</v>
      </c>
      <c r="E2012">
        <v>3.2</v>
      </c>
      <c r="F2012">
        <v>2</v>
      </c>
      <c r="G2012">
        <v>3</v>
      </c>
      <c r="H2012">
        <v>2</v>
      </c>
      <c r="I2012" s="7">
        <v>1.1216636267886</v>
      </c>
      <c r="J2012" s="6">
        <v>1.74363718651829</v>
      </c>
      <c r="K2012" s="6">
        <v>1.20696041574525</v>
      </c>
      <c r="L2012">
        <v>1.3152773843221099</v>
      </c>
      <c r="M2012">
        <v>0.736983882862281</v>
      </c>
    </row>
    <row r="2013" spans="1:13" x14ac:dyDescent="0.25">
      <c r="A2013">
        <v>2557</v>
      </c>
      <c r="B2013" t="str">
        <f>"MED18"</f>
        <v>MED18</v>
      </c>
      <c r="C2013" t="str">
        <f>""</f>
        <v/>
      </c>
      <c r="D2013">
        <v>23.661999999999999</v>
      </c>
      <c r="E2013">
        <v>4.8</v>
      </c>
      <c r="F2013">
        <v>2</v>
      </c>
      <c r="G2013">
        <v>3</v>
      </c>
      <c r="H2013">
        <v>2</v>
      </c>
      <c r="I2013" s="7">
        <v>1.1216636267886</v>
      </c>
      <c r="J2013" s="6">
        <v>1.74363718651829</v>
      </c>
      <c r="K2013" s="6">
        <v>1.20696041574525</v>
      </c>
      <c r="L2013">
        <v>1.3152773843221099</v>
      </c>
      <c r="M2013">
        <v>0.736983882862281</v>
      </c>
    </row>
    <row r="2014" spans="1:13" x14ac:dyDescent="0.25">
      <c r="A2014">
        <v>2860</v>
      </c>
      <c r="B2014" t="str">
        <f>"CDK12"</f>
        <v>CDK12</v>
      </c>
      <c r="C2014" t="str">
        <f>"CDK12"</f>
        <v>CDK12</v>
      </c>
      <c r="D2014">
        <v>141.44999999999999</v>
      </c>
      <c r="E2014">
        <v>1.4</v>
      </c>
      <c r="F2014">
        <v>2</v>
      </c>
      <c r="G2014">
        <v>3</v>
      </c>
      <c r="H2014">
        <v>2</v>
      </c>
      <c r="I2014" s="7">
        <v>1.1216636267886</v>
      </c>
      <c r="J2014" s="6">
        <v>1.74363718651829</v>
      </c>
      <c r="K2014" s="6">
        <v>1.20696041574525</v>
      </c>
      <c r="L2014">
        <v>1.3152773843221099</v>
      </c>
      <c r="M2014">
        <v>0.736983882862281</v>
      </c>
    </row>
    <row r="2015" spans="1:13" x14ac:dyDescent="0.25">
      <c r="A2015">
        <v>3080</v>
      </c>
      <c r="B2015" t="str">
        <f>"DERA"</f>
        <v>DERA</v>
      </c>
      <c r="C2015" t="str">
        <f>""</f>
        <v/>
      </c>
      <c r="D2015">
        <v>35.229999999999997</v>
      </c>
      <c r="E2015">
        <v>13.5</v>
      </c>
      <c r="F2015">
        <v>2</v>
      </c>
      <c r="G2015">
        <v>3</v>
      </c>
      <c r="H2015">
        <v>2</v>
      </c>
      <c r="I2015" s="7">
        <v>1.1216636267886</v>
      </c>
      <c r="J2015" s="6">
        <v>1.74363718651829</v>
      </c>
      <c r="K2015" s="6">
        <v>1.20696041574525</v>
      </c>
      <c r="L2015">
        <v>1.3152773843221099</v>
      </c>
      <c r="M2015">
        <v>0.736983882862281</v>
      </c>
    </row>
    <row r="2016" spans="1:13" x14ac:dyDescent="0.25">
      <c r="A2016">
        <v>3085</v>
      </c>
      <c r="B2016" t="str">
        <f>"DHRS7"</f>
        <v>DHRS7</v>
      </c>
      <c r="C2016" t="str">
        <f>""</f>
        <v/>
      </c>
      <c r="D2016">
        <v>32.267000000000003</v>
      </c>
      <c r="E2016">
        <v>13.8</v>
      </c>
      <c r="F2016">
        <v>2</v>
      </c>
      <c r="G2016">
        <v>3</v>
      </c>
      <c r="H2016">
        <v>2</v>
      </c>
      <c r="I2016" s="7">
        <v>1.1216636267886</v>
      </c>
      <c r="J2016" s="6">
        <v>1.74363718651829</v>
      </c>
      <c r="K2016" s="6">
        <v>1.20696041574525</v>
      </c>
      <c r="L2016">
        <v>1.3152773843221099</v>
      </c>
      <c r="M2016">
        <v>0.736983882862281</v>
      </c>
    </row>
    <row r="2017" spans="1:13" x14ac:dyDescent="0.25">
      <c r="A2017">
        <v>3098</v>
      </c>
      <c r="B2017" t="str">
        <f>"PTRH2"</f>
        <v>PTRH2</v>
      </c>
      <c r="C2017" t="str">
        <f>""</f>
        <v/>
      </c>
      <c r="D2017">
        <v>19.193000000000001</v>
      </c>
      <c r="E2017">
        <v>10.6</v>
      </c>
      <c r="F2017">
        <v>2</v>
      </c>
      <c r="G2017">
        <v>3</v>
      </c>
      <c r="H2017">
        <v>2</v>
      </c>
      <c r="I2017" s="7">
        <v>1.1216636267886</v>
      </c>
      <c r="J2017" s="6">
        <v>1.74363718651829</v>
      </c>
      <c r="K2017" s="6">
        <v>1.20696041574525</v>
      </c>
      <c r="L2017">
        <v>1.3152773843221099</v>
      </c>
      <c r="M2017">
        <v>0.736983882862281</v>
      </c>
    </row>
    <row r="2018" spans="1:13" x14ac:dyDescent="0.25">
      <c r="A2018">
        <v>1700</v>
      </c>
      <c r="B2018" t="str">
        <f>"ACAP2"</f>
        <v>ACAP2</v>
      </c>
      <c r="C2018" t="str">
        <f>""</f>
        <v/>
      </c>
      <c r="D2018">
        <v>88.028000000000006</v>
      </c>
      <c r="E2018">
        <v>3.7</v>
      </c>
      <c r="F2018">
        <v>2</v>
      </c>
      <c r="G2018">
        <v>1</v>
      </c>
      <c r="H2018">
        <v>4</v>
      </c>
      <c r="I2018" s="7">
        <v>1.1216636267886</v>
      </c>
      <c r="J2018" s="6">
        <v>0.58121239550609605</v>
      </c>
      <c r="K2018" s="6">
        <v>2.4139208314904899</v>
      </c>
      <c r="L2018">
        <v>1.3351298711414299</v>
      </c>
      <c r="M2018">
        <v>0.73867964729306101</v>
      </c>
    </row>
    <row r="2019" spans="1:13" x14ac:dyDescent="0.25">
      <c r="A2019">
        <v>1789</v>
      </c>
      <c r="B2019" t="str">
        <f>"HNRNPUL2"</f>
        <v>HNRNPUL2</v>
      </c>
      <c r="C2019" t="str">
        <f>""</f>
        <v/>
      </c>
      <c r="D2019">
        <v>85.103999999999999</v>
      </c>
      <c r="E2019">
        <v>4.3</v>
      </c>
      <c r="F2019">
        <v>2</v>
      </c>
      <c r="G2019">
        <v>1</v>
      </c>
      <c r="H2019">
        <v>4</v>
      </c>
      <c r="I2019" s="7">
        <v>1.1216636267886</v>
      </c>
      <c r="J2019" s="6">
        <v>0.58121239550609605</v>
      </c>
      <c r="K2019" s="6">
        <v>2.4139208314904899</v>
      </c>
      <c r="L2019">
        <v>1.3351298711414299</v>
      </c>
      <c r="M2019">
        <v>0.73867964729306101</v>
      </c>
    </row>
    <row r="2020" spans="1:13" x14ac:dyDescent="0.25">
      <c r="A2020">
        <v>94</v>
      </c>
      <c r="B2020" t="str">
        <f>"AP3B1"</f>
        <v>AP3B1</v>
      </c>
      <c r="C2020" t="str">
        <f>""</f>
        <v/>
      </c>
      <c r="D2020">
        <v>116.19</v>
      </c>
      <c r="E2020">
        <v>4.8</v>
      </c>
      <c r="F2020">
        <v>2</v>
      </c>
      <c r="G2020">
        <v>1</v>
      </c>
      <c r="H2020">
        <v>4</v>
      </c>
      <c r="I2020" s="7">
        <v>1.1216636267886</v>
      </c>
      <c r="J2020" s="6">
        <v>0.58121239550609605</v>
      </c>
      <c r="K2020" s="6">
        <v>2.4139208314904899</v>
      </c>
      <c r="L2020">
        <v>1.3351298711414299</v>
      </c>
      <c r="M2020">
        <v>0.73867964729306101</v>
      </c>
    </row>
    <row r="2021" spans="1:13" x14ac:dyDescent="0.25">
      <c r="A2021">
        <v>129</v>
      </c>
      <c r="B2021" t="str">
        <f>"ARID1A"</f>
        <v>ARID1A</v>
      </c>
      <c r="C2021" t="str">
        <f>""</f>
        <v/>
      </c>
      <c r="D2021">
        <v>242.04</v>
      </c>
      <c r="E2021">
        <v>4.4000000000000004</v>
      </c>
      <c r="F2021">
        <v>2</v>
      </c>
      <c r="G2021">
        <v>1</v>
      </c>
      <c r="H2021">
        <v>4</v>
      </c>
      <c r="I2021" s="7">
        <v>1.1216636267886</v>
      </c>
      <c r="J2021" s="6">
        <v>0.58121239550609605</v>
      </c>
      <c r="K2021" s="6">
        <v>2.4139208314904899</v>
      </c>
      <c r="L2021">
        <v>1.3351298711414299</v>
      </c>
      <c r="M2021">
        <v>0.73867964729306101</v>
      </c>
    </row>
    <row r="2022" spans="1:13" x14ac:dyDescent="0.25">
      <c r="A2022">
        <v>2984</v>
      </c>
      <c r="B2022" t="str">
        <f>"NUP50"</f>
        <v>NUP50</v>
      </c>
      <c r="C2022" t="str">
        <f>""</f>
        <v/>
      </c>
      <c r="D2022">
        <v>46.862000000000002</v>
      </c>
      <c r="E2022">
        <v>9.5</v>
      </c>
      <c r="F2022">
        <v>2</v>
      </c>
      <c r="G2022">
        <v>4</v>
      </c>
      <c r="H2022">
        <v>1</v>
      </c>
      <c r="I2022" s="7">
        <v>1.1216636267886</v>
      </c>
      <c r="J2022" s="6">
        <v>2.32484958202439</v>
      </c>
      <c r="K2022" s="6">
        <v>0.60348020787262302</v>
      </c>
      <c r="L2022">
        <v>1.3053511409124501</v>
      </c>
      <c r="M2022">
        <v>0.73867969785875298</v>
      </c>
    </row>
    <row r="2023" spans="1:13" x14ac:dyDescent="0.25">
      <c r="A2023">
        <v>428</v>
      </c>
      <c r="B2023" t="str">
        <f>"BPNT1"</f>
        <v>BPNT1</v>
      </c>
      <c r="C2023" t="str">
        <f>""</f>
        <v/>
      </c>
      <c r="D2023">
        <v>29.187999999999999</v>
      </c>
      <c r="E2023">
        <v>10.3</v>
      </c>
      <c r="F2023">
        <v>2</v>
      </c>
      <c r="G2023">
        <v>4</v>
      </c>
      <c r="H2023">
        <v>1</v>
      </c>
      <c r="I2023" s="7">
        <v>1.1216636267886</v>
      </c>
      <c r="J2023" s="6">
        <v>2.32484958202439</v>
      </c>
      <c r="K2023" s="6">
        <v>0.60348020787262302</v>
      </c>
      <c r="L2023">
        <v>1.3053511409124501</v>
      </c>
      <c r="M2023">
        <v>0.73867969785875298</v>
      </c>
    </row>
    <row r="2024" spans="1:13" x14ac:dyDescent="0.25">
      <c r="A2024">
        <v>1588</v>
      </c>
      <c r="B2024" t="str">
        <f>"IQGAP2"</f>
        <v>IQGAP2</v>
      </c>
      <c r="C2024" t="str">
        <f>""</f>
        <v/>
      </c>
      <c r="D2024">
        <v>180.58</v>
      </c>
      <c r="E2024">
        <v>4.0999999999999996</v>
      </c>
      <c r="F2024">
        <v>2</v>
      </c>
      <c r="G2024">
        <v>4</v>
      </c>
      <c r="H2024">
        <v>1</v>
      </c>
      <c r="I2024" s="7">
        <v>1.1216636267886</v>
      </c>
      <c r="J2024" s="6">
        <v>2.32484958202439</v>
      </c>
      <c r="K2024" s="6">
        <v>0.60348020787262302</v>
      </c>
      <c r="L2024">
        <v>1.3053511409124501</v>
      </c>
      <c r="M2024">
        <v>0.73867969785875298</v>
      </c>
    </row>
    <row r="2025" spans="1:13" x14ac:dyDescent="0.25">
      <c r="A2025">
        <v>1790</v>
      </c>
      <c r="B2025" t="str">
        <f>"PDS5A"</f>
        <v>PDS5A</v>
      </c>
      <c r="C2025" t="str">
        <f>""</f>
        <v/>
      </c>
      <c r="D2025">
        <v>150.83000000000001</v>
      </c>
      <c r="E2025">
        <v>6.1</v>
      </c>
      <c r="F2025">
        <v>2</v>
      </c>
      <c r="G2025">
        <v>4</v>
      </c>
      <c r="H2025">
        <v>1</v>
      </c>
      <c r="I2025" s="7">
        <v>1.1216636267886</v>
      </c>
      <c r="J2025" s="6">
        <v>2.32484958202439</v>
      </c>
      <c r="K2025" s="6">
        <v>0.60348020787262302</v>
      </c>
      <c r="L2025">
        <v>1.3053511409124501</v>
      </c>
      <c r="M2025">
        <v>0.73867969785875298</v>
      </c>
    </row>
    <row r="2026" spans="1:13" x14ac:dyDescent="0.25">
      <c r="A2026">
        <v>3148</v>
      </c>
      <c r="B2026" t="str">
        <f>"TACC3"</f>
        <v>TACC3</v>
      </c>
      <c r="C2026" t="str">
        <f>""</f>
        <v/>
      </c>
      <c r="D2026">
        <v>90.358999999999995</v>
      </c>
      <c r="E2026">
        <v>5.3</v>
      </c>
      <c r="F2026">
        <v>2</v>
      </c>
      <c r="G2026">
        <v>4</v>
      </c>
      <c r="H2026">
        <v>1</v>
      </c>
      <c r="I2026" s="7">
        <v>1.1216636267886</v>
      </c>
      <c r="J2026" s="6">
        <v>2.32484958202439</v>
      </c>
      <c r="K2026" s="6">
        <v>0.60348020787262302</v>
      </c>
      <c r="L2026">
        <v>1.3053511409124501</v>
      </c>
      <c r="M2026">
        <v>0.73867969785875298</v>
      </c>
    </row>
    <row r="2027" spans="1:13" x14ac:dyDescent="0.25">
      <c r="A2027">
        <v>934</v>
      </c>
      <c r="B2027" t="str">
        <f>"MCM7"</f>
        <v>MCM7</v>
      </c>
      <c r="C2027" t="str">
        <f>""</f>
        <v/>
      </c>
      <c r="D2027">
        <v>81.307000000000002</v>
      </c>
      <c r="E2027">
        <v>17.399999999999999</v>
      </c>
      <c r="F2027">
        <v>34</v>
      </c>
      <c r="G2027">
        <v>30</v>
      </c>
      <c r="H2027">
        <v>30</v>
      </c>
      <c r="I2027" s="7">
        <v>19.068281655406299</v>
      </c>
      <c r="J2027" s="6">
        <v>17.436371865182899</v>
      </c>
      <c r="K2027" s="6">
        <v>18.104406236178701</v>
      </c>
      <c r="L2027">
        <v>-1.0730368142770501</v>
      </c>
      <c r="M2027">
        <v>0.74320316089925298</v>
      </c>
    </row>
    <row r="2028" spans="1:13" x14ac:dyDescent="0.25">
      <c r="A2028">
        <v>612</v>
      </c>
      <c r="B2028" t="str">
        <f>"HNRNPA1;HNRNPA1L2"</f>
        <v>HNRNPA1;HNRNPA1L2</v>
      </c>
      <c r="C2028" t="str">
        <f>""</f>
        <v/>
      </c>
      <c r="D2028">
        <v>29.385999999999999</v>
      </c>
      <c r="E2028">
        <v>27</v>
      </c>
      <c r="F2028">
        <v>13</v>
      </c>
      <c r="G2028">
        <v>14</v>
      </c>
      <c r="H2028">
        <v>8</v>
      </c>
      <c r="I2028" s="7">
        <v>7.2908135741259299</v>
      </c>
      <c r="J2028" s="6">
        <v>8.1369735370853498</v>
      </c>
      <c r="K2028" s="6">
        <v>4.8278416629809797</v>
      </c>
      <c r="L2028">
        <v>-1.1247076740574899</v>
      </c>
      <c r="M2028">
        <v>0.74889133138342201</v>
      </c>
    </row>
    <row r="2029" spans="1:13" x14ac:dyDescent="0.25">
      <c r="A2029">
        <v>64</v>
      </c>
      <c r="B2029" t="str">
        <f>""</f>
        <v/>
      </c>
      <c r="C2029" t="str">
        <f>""</f>
        <v/>
      </c>
      <c r="D2029">
        <v>75.828999999999994</v>
      </c>
      <c r="E2029">
        <v>10.199999999999999</v>
      </c>
      <c r="F2029">
        <v>13</v>
      </c>
      <c r="G2029">
        <v>11</v>
      </c>
      <c r="H2029">
        <v>11</v>
      </c>
      <c r="I2029" s="7">
        <v>7.2908135741259299</v>
      </c>
      <c r="J2029" s="6">
        <v>6.3933363505670604</v>
      </c>
      <c r="K2029" s="6">
        <v>6.6382822865988498</v>
      </c>
      <c r="L2029">
        <v>-1.1189421325348901</v>
      </c>
      <c r="M2029">
        <v>0.74968570358116104</v>
      </c>
    </row>
    <row r="2030" spans="1:13" x14ac:dyDescent="0.25">
      <c r="A2030">
        <v>1378</v>
      </c>
      <c r="B2030" t="str">
        <f>"CCT2"</f>
        <v>CCT2</v>
      </c>
      <c r="C2030" t="str">
        <f>""</f>
        <v/>
      </c>
      <c r="D2030">
        <v>57.488</v>
      </c>
      <c r="E2030">
        <v>32.700000000000003</v>
      </c>
      <c r="F2030">
        <v>48</v>
      </c>
      <c r="G2030">
        <v>50</v>
      </c>
      <c r="H2030">
        <v>46</v>
      </c>
      <c r="I2030" s="7">
        <v>26.919927042926499</v>
      </c>
      <c r="J2030" s="6">
        <v>29.060619775304801</v>
      </c>
      <c r="K2030" s="6">
        <v>27.7600895621406</v>
      </c>
      <c r="L2030">
        <v>1.05536521787075</v>
      </c>
      <c r="M2030">
        <v>0.75872220058180395</v>
      </c>
    </row>
    <row r="2031" spans="1:13" x14ac:dyDescent="0.25">
      <c r="A2031">
        <v>1312</v>
      </c>
      <c r="B2031" t="str">
        <f>"RPS14"</f>
        <v>RPS14</v>
      </c>
      <c r="C2031" t="str">
        <f>""</f>
        <v/>
      </c>
      <c r="D2031">
        <v>16.273</v>
      </c>
      <c r="E2031">
        <v>11.3</v>
      </c>
      <c r="F2031">
        <v>3</v>
      </c>
      <c r="G2031">
        <v>3</v>
      </c>
      <c r="H2031">
        <v>4</v>
      </c>
      <c r="I2031" s="7">
        <v>1.68249544018291</v>
      </c>
      <c r="J2031" s="6">
        <v>1.74363718651829</v>
      </c>
      <c r="K2031" s="6">
        <v>2.4139208314904899</v>
      </c>
      <c r="L2031">
        <v>1.23553322009503</v>
      </c>
      <c r="M2031">
        <v>0.76084262743241104</v>
      </c>
    </row>
    <row r="2032" spans="1:13" x14ac:dyDescent="0.25">
      <c r="A2032">
        <v>122</v>
      </c>
      <c r="B2032" t="str">
        <f>"NOP56"</f>
        <v>NOP56</v>
      </c>
      <c r="C2032" t="str">
        <f>""</f>
        <v/>
      </c>
      <c r="D2032">
        <v>66.049000000000007</v>
      </c>
      <c r="E2032">
        <v>4.7</v>
      </c>
      <c r="F2032">
        <v>3</v>
      </c>
      <c r="G2032">
        <v>3</v>
      </c>
      <c r="H2032">
        <v>4</v>
      </c>
      <c r="I2032" s="7">
        <v>1.68249544018291</v>
      </c>
      <c r="J2032" s="6">
        <v>1.74363718651829</v>
      </c>
      <c r="K2032" s="6">
        <v>2.4139208314904899</v>
      </c>
      <c r="L2032">
        <v>1.23553322009503</v>
      </c>
      <c r="M2032">
        <v>0.76084262743241104</v>
      </c>
    </row>
    <row r="2033" spans="1:13" x14ac:dyDescent="0.25">
      <c r="A2033">
        <v>1904</v>
      </c>
      <c r="B2033" t="str">
        <f>"NXN"</f>
        <v>NXN</v>
      </c>
      <c r="C2033" t="str">
        <f>""</f>
        <v/>
      </c>
      <c r="D2033">
        <v>48.392000000000003</v>
      </c>
      <c r="E2033">
        <v>3.7</v>
      </c>
      <c r="F2033">
        <v>3</v>
      </c>
      <c r="G2033">
        <v>3</v>
      </c>
      <c r="H2033">
        <v>4</v>
      </c>
      <c r="I2033" s="7">
        <v>1.68249544018291</v>
      </c>
      <c r="J2033" s="6">
        <v>1.74363718651829</v>
      </c>
      <c r="K2033" s="6">
        <v>2.4139208314904899</v>
      </c>
      <c r="L2033">
        <v>1.23553322009503</v>
      </c>
      <c r="M2033">
        <v>0.76084262743241104</v>
      </c>
    </row>
    <row r="2034" spans="1:13" x14ac:dyDescent="0.25">
      <c r="A2034">
        <v>1932</v>
      </c>
      <c r="B2034" t="str">
        <f>"CC2D1A"</f>
        <v>CC2D1A</v>
      </c>
      <c r="C2034" t="str">
        <f>""</f>
        <v/>
      </c>
      <c r="D2034">
        <v>103.93</v>
      </c>
      <c r="E2034">
        <v>0.9</v>
      </c>
      <c r="F2034">
        <v>3</v>
      </c>
      <c r="G2034">
        <v>3</v>
      </c>
      <c r="H2034">
        <v>4</v>
      </c>
      <c r="I2034" s="7">
        <v>1.68249544018291</v>
      </c>
      <c r="J2034" s="6">
        <v>1.74363718651829</v>
      </c>
      <c r="K2034" s="6">
        <v>2.4139208314904899</v>
      </c>
      <c r="L2034">
        <v>1.23553322009503</v>
      </c>
      <c r="M2034">
        <v>0.76084262743241104</v>
      </c>
    </row>
    <row r="2035" spans="1:13" x14ac:dyDescent="0.25">
      <c r="A2035">
        <v>2431</v>
      </c>
      <c r="B2035" t="str">
        <f>"DOCK7"</f>
        <v>DOCK7</v>
      </c>
      <c r="C2035" t="str">
        <f>""</f>
        <v/>
      </c>
      <c r="D2035">
        <v>238.27</v>
      </c>
      <c r="E2035">
        <v>2.9</v>
      </c>
      <c r="F2035">
        <v>3</v>
      </c>
      <c r="G2035">
        <v>3</v>
      </c>
      <c r="H2035">
        <v>4</v>
      </c>
      <c r="I2035" s="7">
        <v>1.68249544018291</v>
      </c>
      <c r="J2035" s="6">
        <v>1.74363718651829</v>
      </c>
      <c r="K2035" s="6">
        <v>2.4139208314904899</v>
      </c>
      <c r="L2035">
        <v>1.23553322009503</v>
      </c>
      <c r="M2035">
        <v>0.76084262743241104</v>
      </c>
    </row>
    <row r="2036" spans="1:13" x14ac:dyDescent="0.25">
      <c r="A2036">
        <v>2943</v>
      </c>
      <c r="B2036" t="str">
        <f>"LIMA1"</f>
        <v>LIMA1</v>
      </c>
      <c r="C2036" t="str">
        <f>""</f>
        <v/>
      </c>
      <c r="D2036">
        <v>51.218000000000004</v>
      </c>
      <c r="E2036">
        <v>9.4</v>
      </c>
      <c r="F2036">
        <v>3</v>
      </c>
      <c r="G2036">
        <v>3</v>
      </c>
      <c r="H2036">
        <v>4</v>
      </c>
      <c r="I2036" s="7">
        <v>1.68249544018291</v>
      </c>
      <c r="J2036" s="6">
        <v>1.74363718651829</v>
      </c>
      <c r="K2036" s="6">
        <v>2.4139208314904899</v>
      </c>
      <c r="L2036">
        <v>1.23553322009503</v>
      </c>
      <c r="M2036">
        <v>0.76084262743241104</v>
      </c>
    </row>
    <row r="2037" spans="1:13" x14ac:dyDescent="0.25">
      <c r="A2037">
        <v>551</v>
      </c>
      <c r="B2037" t="str">
        <f>"ATP5B"</f>
        <v>ATP5B</v>
      </c>
      <c r="C2037" t="str">
        <f>""</f>
        <v/>
      </c>
      <c r="D2037">
        <v>56.558999999999997</v>
      </c>
      <c r="E2037">
        <v>11</v>
      </c>
      <c r="F2037">
        <v>3</v>
      </c>
      <c r="G2037">
        <v>4</v>
      </c>
      <c r="H2037">
        <v>3</v>
      </c>
      <c r="I2037" s="7">
        <v>1.68249544018291</v>
      </c>
      <c r="J2037" s="6">
        <v>2.32484958202439</v>
      </c>
      <c r="K2037" s="6">
        <v>1.8104406236178701</v>
      </c>
      <c r="L2037">
        <v>1.22891572448859</v>
      </c>
      <c r="M2037">
        <v>0.76084263675581798</v>
      </c>
    </row>
    <row r="2038" spans="1:13" x14ac:dyDescent="0.25">
      <c r="A2038">
        <v>307</v>
      </c>
      <c r="B2038" t="str">
        <f>"DNAJC13"</f>
        <v>DNAJC13</v>
      </c>
      <c r="C2038" t="str">
        <f>""</f>
        <v/>
      </c>
      <c r="D2038">
        <v>254.41</v>
      </c>
      <c r="E2038">
        <v>1.2</v>
      </c>
      <c r="F2038">
        <v>3</v>
      </c>
      <c r="G2038">
        <v>4</v>
      </c>
      <c r="H2038">
        <v>3</v>
      </c>
      <c r="I2038" s="7">
        <v>1.68249544018291</v>
      </c>
      <c r="J2038" s="6">
        <v>2.32484958202439</v>
      </c>
      <c r="K2038" s="6">
        <v>1.8104406236178701</v>
      </c>
      <c r="L2038">
        <v>1.22891572448859</v>
      </c>
      <c r="M2038">
        <v>0.76084263675581798</v>
      </c>
    </row>
    <row r="2039" spans="1:13" x14ac:dyDescent="0.25">
      <c r="A2039">
        <v>1139</v>
      </c>
      <c r="B2039" t="str">
        <f>"DNM2"</f>
        <v>DNM2</v>
      </c>
      <c r="C2039" t="str">
        <f>""</f>
        <v/>
      </c>
      <c r="D2039">
        <v>97.552999999999997</v>
      </c>
      <c r="E2039">
        <v>11.7</v>
      </c>
      <c r="F2039">
        <v>3</v>
      </c>
      <c r="G2039">
        <v>4</v>
      </c>
      <c r="H2039">
        <v>3</v>
      </c>
      <c r="I2039" s="7">
        <v>1.68249544018291</v>
      </c>
      <c r="J2039" s="6">
        <v>2.32484958202439</v>
      </c>
      <c r="K2039" s="6">
        <v>1.8104406236178701</v>
      </c>
      <c r="L2039">
        <v>1.22891572448859</v>
      </c>
      <c r="M2039">
        <v>0.76084263675581798</v>
      </c>
    </row>
    <row r="2040" spans="1:13" x14ac:dyDescent="0.25">
      <c r="A2040">
        <v>1189</v>
      </c>
      <c r="B2040" t="str">
        <f>"SMS"</f>
        <v>SMS</v>
      </c>
      <c r="C2040" t="str">
        <f>""</f>
        <v/>
      </c>
      <c r="D2040">
        <v>35.277999999999999</v>
      </c>
      <c r="E2040">
        <v>2.6</v>
      </c>
      <c r="F2040">
        <v>3</v>
      </c>
      <c r="G2040">
        <v>4</v>
      </c>
      <c r="H2040">
        <v>3</v>
      </c>
      <c r="I2040" s="7">
        <v>1.68249544018291</v>
      </c>
      <c r="J2040" s="6">
        <v>2.32484958202439</v>
      </c>
      <c r="K2040" s="6">
        <v>1.8104406236178701</v>
      </c>
      <c r="L2040">
        <v>1.22891572448859</v>
      </c>
      <c r="M2040">
        <v>0.76084263675581798</v>
      </c>
    </row>
    <row r="2041" spans="1:13" x14ac:dyDescent="0.25">
      <c r="A2041">
        <v>1693</v>
      </c>
      <c r="B2041" t="str">
        <f>"EXOSC7"</f>
        <v>EXOSC7</v>
      </c>
      <c r="C2041" t="str">
        <f>""</f>
        <v/>
      </c>
      <c r="D2041">
        <v>31.821000000000002</v>
      </c>
      <c r="E2041">
        <v>4.8</v>
      </c>
      <c r="F2041">
        <v>3</v>
      </c>
      <c r="G2041">
        <v>4</v>
      </c>
      <c r="H2041">
        <v>3</v>
      </c>
      <c r="I2041" s="7">
        <v>1.68249544018291</v>
      </c>
      <c r="J2041" s="6">
        <v>2.32484958202439</v>
      </c>
      <c r="K2041" s="6">
        <v>1.8104406236178701</v>
      </c>
      <c r="L2041">
        <v>1.22891572448859</v>
      </c>
      <c r="M2041">
        <v>0.76084263675581798</v>
      </c>
    </row>
    <row r="2042" spans="1:13" x14ac:dyDescent="0.25">
      <c r="A2042">
        <v>1699</v>
      </c>
      <c r="B2042" t="str">
        <f>"EIF4H"</f>
        <v>EIF4H</v>
      </c>
      <c r="C2042" t="str">
        <f>""</f>
        <v/>
      </c>
      <c r="D2042">
        <v>27.385000000000002</v>
      </c>
      <c r="E2042">
        <v>21.4</v>
      </c>
      <c r="F2042">
        <v>3</v>
      </c>
      <c r="G2042">
        <v>4</v>
      </c>
      <c r="H2042">
        <v>3</v>
      </c>
      <c r="I2042" s="7">
        <v>1.68249544018291</v>
      </c>
      <c r="J2042" s="6">
        <v>2.32484958202439</v>
      </c>
      <c r="K2042" s="6">
        <v>1.8104406236178701</v>
      </c>
      <c r="L2042">
        <v>1.22891572448859</v>
      </c>
      <c r="M2042">
        <v>0.76084263675581798</v>
      </c>
    </row>
    <row r="2043" spans="1:13" x14ac:dyDescent="0.25">
      <c r="A2043">
        <v>2354</v>
      </c>
      <c r="B2043" t="str">
        <f>"AP2M1"</f>
        <v>AP2M1</v>
      </c>
      <c r="C2043" t="str">
        <f>""</f>
        <v/>
      </c>
      <c r="D2043">
        <v>49.389000000000003</v>
      </c>
      <c r="E2043">
        <v>6.9</v>
      </c>
      <c r="F2043">
        <v>3</v>
      </c>
      <c r="G2043">
        <v>4</v>
      </c>
      <c r="H2043">
        <v>3</v>
      </c>
      <c r="I2043" s="7">
        <v>1.68249544018291</v>
      </c>
      <c r="J2043" s="6">
        <v>2.32484958202439</v>
      </c>
      <c r="K2043" s="6">
        <v>1.8104406236178701</v>
      </c>
      <c r="L2043">
        <v>1.22891572448859</v>
      </c>
      <c r="M2043">
        <v>0.76084263675581798</v>
      </c>
    </row>
    <row r="2044" spans="1:13" x14ac:dyDescent="0.25">
      <c r="A2044">
        <v>2593</v>
      </c>
      <c r="B2044" t="str">
        <f>"CECR5"</f>
        <v>CECR5</v>
      </c>
      <c r="C2044" t="str">
        <f>""</f>
        <v/>
      </c>
      <c r="D2044">
        <v>43.588000000000001</v>
      </c>
      <c r="E2044">
        <v>5.6</v>
      </c>
      <c r="F2044">
        <v>3</v>
      </c>
      <c r="G2044">
        <v>4</v>
      </c>
      <c r="H2044">
        <v>3</v>
      </c>
      <c r="I2044" s="7">
        <v>1.68249544018291</v>
      </c>
      <c r="J2044" s="6">
        <v>2.32484958202439</v>
      </c>
      <c r="K2044" s="6">
        <v>1.8104406236178701</v>
      </c>
      <c r="L2044">
        <v>1.22891572448859</v>
      </c>
      <c r="M2044">
        <v>0.76084263675581798</v>
      </c>
    </row>
    <row r="2045" spans="1:13" x14ac:dyDescent="0.25">
      <c r="A2045">
        <v>2594</v>
      </c>
      <c r="B2045" t="str">
        <f>"FANCD2"</f>
        <v>FANCD2</v>
      </c>
      <c r="C2045" t="str">
        <f>""</f>
        <v/>
      </c>
      <c r="D2045">
        <v>140.74</v>
      </c>
      <c r="E2045">
        <v>2.6</v>
      </c>
      <c r="F2045">
        <v>3</v>
      </c>
      <c r="G2045">
        <v>4</v>
      </c>
      <c r="H2045">
        <v>3</v>
      </c>
      <c r="I2045" s="7">
        <v>1.68249544018291</v>
      </c>
      <c r="J2045" s="6">
        <v>2.32484958202439</v>
      </c>
      <c r="K2045" s="6">
        <v>1.8104406236178701</v>
      </c>
      <c r="L2045">
        <v>1.22891572448859</v>
      </c>
      <c r="M2045">
        <v>0.76084263675581798</v>
      </c>
    </row>
    <row r="2046" spans="1:13" x14ac:dyDescent="0.25">
      <c r="A2046">
        <v>727</v>
      </c>
      <c r="B2046" t="str">
        <f>"UBTF"</f>
        <v>UBTF</v>
      </c>
      <c r="C2046" t="str">
        <f>""</f>
        <v/>
      </c>
      <c r="D2046">
        <v>84.936000000000007</v>
      </c>
      <c r="E2046">
        <v>9.4</v>
      </c>
      <c r="F2046">
        <v>3</v>
      </c>
      <c r="G2046">
        <v>2</v>
      </c>
      <c r="H2046">
        <v>5</v>
      </c>
      <c r="I2046" s="7">
        <v>1.68249544018291</v>
      </c>
      <c r="J2046" s="6">
        <v>1.1624247910121901</v>
      </c>
      <c r="K2046" s="6">
        <v>3.0174010393631101</v>
      </c>
      <c r="L2046">
        <v>1.24215071570147</v>
      </c>
      <c r="M2046">
        <v>0.76186895800125598</v>
      </c>
    </row>
    <row r="2047" spans="1:13" x14ac:dyDescent="0.25">
      <c r="A2047">
        <v>2444</v>
      </c>
      <c r="B2047" t="str">
        <f>"PPP1R10"</f>
        <v>PPP1R10</v>
      </c>
      <c r="C2047" t="str">
        <f>""</f>
        <v/>
      </c>
      <c r="D2047">
        <v>99.057000000000002</v>
      </c>
      <c r="E2047">
        <v>4</v>
      </c>
      <c r="F2047">
        <v>3</v>
      </c>
      <c r="G2047">
        <v>2</v>
      </c>
      <c r="H2047">
        <v>5</v>
      </c>
      <c r="I2047" s="7">
        <v>1.68249544018291</v>
      </c>
      <c r="J2047" s="6">
        <v>1.1624247910121901</v>
      </c>
      <c r="K2047" s="6">
        <v>3.0174010393631101</v>
      </c>
      <c r="L2047">
        <v>1.24215071570147</v>
      </c>
      <c r="M2047">
        <v>0.76186895800125598</v>
      </c>
    </row>
    <row r="2048" spans="1:13" x14ac:dyDescent="0.25">
      <c r="A2048">
        <v>3065</v>
      </c>
      <c r="B2048" t="str">
        <f>"MRPS7"</f>
        <v>MRPS7</v>
      </c>
      <c r="C2048" t="str">
        <f>""</f>
        <v/>
      </c>
      <c r="D2048">
        <v>28.134</v>
      </c>
      <c r="E2048">
        <v>25.2</v>
      </c>
      <c r="F2048">
        <v>3</v>
      </c>
      <c r="G2048">
        <v>2</v>
      </c>
      <c r="H2048">
        <v>5</v>
      </c>
      <c r="I2048" s="7">
        <v>1.68249544018291</v>
      </c>
      <c r="J2048" s="6">
        <v>1.1624247910121901</v>
      </c>
      <c r="K2048" s="6">
        <v>3.0174010393631101</v>
      </c>
      <c r="L2048">
        <v>1.24215071570147</v>
      </c>
      <c r="M2048">
        <v>0.76186895800125598</v>
      </c>
    </row>
    <row r="2049" spans="1:13" x14ac:dyDescent="0.25">
      <c r="A2049">
        <v>248</v>
      </c>
      <c r="B2049" t="str">
        <f>"NRD1"</f>
        <v>NRD1</v>
      </c>
      <c r="C2049" t="str">
        <f>""</f>
        <v/>
      </c>
      <c r="D2049">
        <v>131.69999999999999</v>
      </c>
      <c r="E2049">
        <v>3.6</v>
      </c>
      <c r="F2049">
        <v>3</v>
      </c>
      <c r="G2049">
        <v>5</v>
      </c>
      <c r="H2049">
        <v>2</v>
      </c>
      <c r="I2049" s="7">
        <v>1.68249544018291</v>
      </c>
      <c r="J2049" s="6">
        <v>2.9060619775304799</v>
      </c>
      <c r="K2049" s="6">
        <v>1.20696041574525</v>
      </c>
      <c r="L2049">
        <v>1.22229822888215</v>
      </c>
      <c r="M2049">
        <v>0.76186902826639302</v>
      </c>
    </row>
    <row r="2050" spans="1:13" x14ac:dyDescent="0.25">
      <c r="A2050">
        <v>1404</v>
      </c>
      <c r="B2050" t="str">
        <f>"PITPNA"</f>
        <v>PITPNA</v>
      </c>
      <c r="C2050" t="str">
        <f>""</f>
        <v/>
      </c>
      <c r="D2050">
        <v>31.806000000000001</v>
      </c>
      <c r="E2050">
        <v>25.9</v>
      </c>
      <c r="F2050">
        <v>9</v>
      </c>
      <c r="G2050">
        <v>8</v>
      </c>
      <c r="H2050">
        <v>7</v>
      </c>
      <c r="I2050" s="7">
        <v>5.0474863205487202</v>
      </c>
      <c r="J2050" s="6">
        <v>4.6496991640487702</v>
      </c>
      <c r="K2050" s="6">
        <v>4.2243614551083599</v>
      </c>
      <c r="L2050">
        <v>-1.1375821142470699</v>
      </c>
      <c r="M2050">
        <v>0.76388037043824597</v>
      </c>
    </row>
    <row r="2051" spans="1:13" x14ac:dyDescent="0.25">
      <c r="A2051">
        <v>2500</v>
      </c>
      <c r="B2051" t="str">
        <f>"PRMT1"</f>
        <v>PRMT1</v>
      </c>
      <c r="C2051" t="str">
        <f>""</f>
        <v/>
      </c>
      <c r="D2051">
        <v>39.927999999999997</v>
      </c>
      <c r="E2051">
        <v>17</v>
      </c>
      <c r="F2051">
        <v>19</v>
      </c>
      <c r="G2051">
        <v>19</v>
      </c>
      <c r="H2051">
        <v>14</v>
      </c>
      <c r="I2051" s="7">
        <v>10.655804454491699</v>
      </c>
      <c r="J2051" s="6">
        <v>11.0430355146158</v>
      </c>
      <c r="K2051" s="6">
        <v>8.4487229102167198</v>
      </c>
      <c r="L2051">
        <v>-1.0933651261464701</v>
      </c>
      <c r="M2051">
        <v>0.76489685866476997</v>
      </c>
    </row>
    <row r="2052" spans="1:13" x14ac:dyDescent="0.25">
      <c r="A2052">
        <v>1359</v>
      </c>
      <c r="B2052" t="str">
        <f>"GNB2L1"</f>
        <v>GNB2L1</v>
      </c>
      <c r="C2052" t="str">
        <f>""</f>
        <v/>
      </c>
      <c r="D2052">
        <v>35.076000000000001</v>
      </c>
      <c r="E2052">
        <v>19.2</v>
      </c>
      <c r="F2052">
        <v>19</v>
      </c>
      <c r="G2052">
        <v>15</v>
      </c>
      <c r="H2052">
        <v>18</v>
      </c>
      <c r="I2052" s="7">
        <v>10.655804454491699</v>
      </c>
      <c r="J2052" s="6">
        <v>8.7181859325914495</v>
      </c>
      <c r="K2052" s="6">
        <v>10.862643741707201</v>
      </c>
      <c r="L2052">
        <v>-1.0883915167781</v>
      </c>
      <c r="M2052">
        <v>0.76509101968913795</v>
      </c>
    </row>
    <row r="2053" spans="1:13" x14ac:dyDescent="0.25">
      <c r="A2053">
        <v>445</v>
      </c>
      <c r="B2053" t="str">
        <f>"HPRT1"</f>
        <v>HPRT1</v>
      </c>
      <c r="C2053" t="str">
        <f>""</f>
        <v/>
      </c>
      <c r="D2053">
        <v>24.579000000000001</v>
      </c>
      <c r="E2053">
        <v>15.6</v>
      </c>
      <c r="F2053">
        <v>22</v>
      </c>
      <c r="G2053">
        <v>22</v>
      </c>
      <c r="H2053">
        <v>23</v>
      </c>
      <c r="I2053" s="7">
        <v>12.3382998946746</v>
      </c>
      <c r="J2053" s="6">
        <v>12.786672701134099</v>
      </c>
      <c r="K2053" s="6">
        <v>13.8800447810703</v>
      </c>
      <c r="L2053">
        <v>1.08064797054066</v>
      </c>
      <c r="M2053">
        <v>0.767873574130015</v>
      </c>
    </row>
    <row r="2054" spans="1:13" x14ac:dyDescent="0.25">
      <c r="A2054">
        <v>738</v>
      </c>
      <c r="B2054" t="str">
        <f>"ARF4"</f>
        <v>ARF4</v>
      </c>
      <c r="C2054" t="str">
        <f>""</f>
        <v/>
      </c>
      <c r="D2054">
        <v>20.510999999999999</v>
      </c>
      <c r="E2054">
        <v>40</v>
      </c>
      <c r="F2054">
        <v>5</v>
      </c>
      <c r="G2054">
        <v>6</v>
      </c>
      <c r="H2054">
        <v>2</v>
      </c>
      <c r="I2054" s="7">
        <v>2.80415906697151</v>
      </c>
      <c r="J2054" s="6">
        <v>3.4872743730365801</v>
      </c>
      <c r="K2054" s="6">
        <v>1.20696041574525</v>
      </c>
      <c r="L2054">
        <v>-1.1947246753284799</v>
      </c>
      <c r="M2054">
        <v>0.768286955148204</v>
      </c>
    </row>
    <row r="2055" spans="1:13" x14ac:dyDescent="0.25">
      <c r="A2055">
        <v>2959</v>
      </c>
      <c r="B2055" t="str">
        <f>"XPO7"</f>
        <v>XPO7</v>
      </c>
      <c r="C2055" t="str">
        <f>""</f>
        <v/>
      </c>
      <c r="D2055">
        <v>123.91</v>
      </c>
      <c r="E2055">
        <v>9.1</v>
      </c>
      <c r="F2055">
        <v>5</v>
      </c>
      <c r="G2055">
        <v>6</v>
      </c>
      <c r="H2055">
        <v>2</v>
      </c>
      <c r="I2055" s="7">
        <v>2.80415906697151</v>
      </c>
      <c r="J2055" s="6">
        <v>3.4872743730365801</v>
      </c>
      <c r="K2055" s="6">
        <v>1.20696041574525</v>
      </c>
      <c r="L2055">
        <v>-1.1947246753284799</v>
      </c>
      <c r="M2055">
        <v>0.768286955148204</v>
      </c>
    </row>
    <row r="2056" spans="1:13" x14ac:dyDescent="0.25">
      <c r="A2056">
        <v>657</v>
      </c>
      <c r="B2056" t="str">
        <f>"PCNA"</f>
        <v>PCNA</v>
      </c>
      <c r="C2056" t="str">
        <f>""</f>
        <v/>
      </c>
      <c r="D2056">
        <v>28.768000000000001</v>
      </c>
      <c r="E2056">
        <v>8.4</v>
      </c>
      <c r="F2056">
        <v>5</v>
      </c>
      <c r="G2056">
        <v>6</v>
      </c>
      <c r="H2056">
        <v>2</v>
      </c>
      <c r="I2056" s="7">
        <v>2.80415906697151</v>
      </c>
      <c r="J2056" s="6">
        <v>3.4872743730365801</v>
      </c>
      <c r="K2056" s="6">
        <v>1.20696041574525</v>
      </c>
      <c r="L2056">
        <v>-1.1947246753284799</v>
      </c>
      <c r="M2056">
        <v>0.768286955148204</v>
      </c>
    </row>
    <row r="2057" spans="1:13" x14ac:dyDescent="0.25">
      <c r="A2057">
        <v>1122</v>
      </c>
      <c r="B2057" t="str">
        <f>"RANBP2"</f>
        <v>RANBP2</v>
      </c>
      <c r="C2057" t="str">
        <f>""</f>
        <v/>
      </c>
      <c r="D2057">
        <v>358.2</v>
      </c>
      <c r="E2057">
        <v>3.8</v>
      </c>
      <c r="F2057">
        <v>14</v>
      </c>
      <c r="G2057">
        <v>13</v>
      </c>
      <c r="H2057">
        <v>11</v>
      </c>
      <c r="I2057" s="7">
        <v>7.8516453875202297</v>
      </c>
      <c r="J2057" s="6">
        <v>7.5557611415792598</v>
      </c>
      <c r="K2057" s="6">
        <v>6.6382822865988498</v>
      </c>
      <c r="L2057">
        <v>-1.10632962724816</v>
      </c>
      <c r="M2057">
        <v>0.76862965640138103</v>
      </c>
    </row>
    <row r="2058" spans="1:13" x14ac:dyDescent="0.25">
      <c r="A2058">
        <v>243</v>
      </c>
      <c r="B2058" t="str">
        <f>"NUDT21"</f>
        <v>NUDT21</v>
      </c>
      <c r="C2058" t="str">
        <f>""</f>
        <v/>
      </c>
      <c r="D2058">
        <v>26.227</v>
      </c>
      <c r="E2058">
        <v>3.5</v>
      </c>
      <c r="F2058">
        <v>5</v>
      </c>
      <c r="G2058">
        <v>3</v>
      </c>
      <c r="H2058">
        <v>5</v>
      </c>
      <c r="I2058" s="7">
        <v>2.80415906697151</v>
      </c>
      <c r="J2058" s="6">
        <v>1.74363718651829</v>
      </c>
      <c r="K2058" s="6">
        <v>3.0174010393631101</v>
      </c>
      <c r="L2058">
        <v>-1.1779611647425401</v>
      </c>
      <c r="M2058">
        <v>0.76949632914904897</v>
      </c>
    </row>
    <row r="2059" spans="1:13" x14ac:dyDescent="0.25">
      <c r="A2059">
        <v>134</v>
      </c>
      <c r="B2059" t="str">
        <f>"AP3D1"</f>
        <v>AP3D1</v>
      </c>
      <c r="C2059" t="str">
        <f>""</f>
        <v/>
      </c>
      <c r="D2059">
        <v>114.71</v>
      </c>
      <c r="E2059">
        <v>4.8</v>
      </c>
      <c r="F2059">
        <v>5</v>
      </c>
      <c r="G2059">
        <v>3</v>
      </c>
      <c r="H2059">
        <v>5</v>
      </c>
      <c r="I2059" s="7">
        <v>2.80415906697151</v>
      </c>
      <c r="J2059" s="6">
        <v>1.74363718651829</v>
      </c>
      <c r="K2059" s="6">
        <v>3.0174010393631101</v>
      </c>
      <c r="L2059">
        <v>-1.1779611647425401</v>
      </c>
      <c r="M2059">
        <v>0.76949632914904897</v>
      </c>
    </row>
    <row r="2060" spans="1:13" x14ac:dyDescent="0.25">
      <c r="A2060">
        <v>1425</v>
      </c>
      <c r="B2060" t="str">
        <f>"CAP1"</f>
        <v>CAP1</v>
      </c>
      <c r="C2060" t="str">
        <f>""</f>
        <v/>
      </c>
      <c r="D2060">
        <v>51.83</v>
      </c>
      <c r="E2060">
        <v>10.3</v>
      </c>
      <c r="F2060">
        <v>5</v>
      </c>
      <c r="G2060">
        <v>4</v>
      </c>
      <c r="H2060">
        <v>4</v>
      </c>
      <c r="I2060" s="7">
        <v>2.80415906697151</v>
      </c>
      <c r="J2060" s="6">
        <v>2.32484958202439</v>
      </c>
      <c r="K2060" s="6">
        <v>2.4139208314904899</v>
      </c>
      <c r="L2060">
        <v>-1.1834964863349799</v>
      </c>
      <c r="M2060">
        <v>0.76989900000570899</v>
      </c>
    </row>
    <row r="2061" spans="1:13" x14ac:dyDescent="0.25">
      <c r="A2061">
        <v>559</v>
      </c>
      <c r="B2061" t="str">
        <f>"HEXA"</f>
        <v>HEXA</v>
      </c>
      <c r="C2061" t="str">
        <f>""</f>
        <v/>
      </c>
      <c r="D2061">
        <v>60.701999999999998</v>
      </c>
      <c r="E2061">
        <v>5.9</v>
      </c>
      <c r="F2061">
        <v>5</v>
      </c>
      <c r="G2061">
        <v>4</v>
      </c>
      <c r="H2061">
        <v>4</v>
      </c>
      <c r="I2061" s="7">
        <v>2.80415906697151</v>
      </c>
      <c r="J2061" s="6">
        <v>2.32484958202439</v>
      </c>
      <c r="K2061" s="6">
        <v>2.4139208314904899</v>
      </c>
      <c r="L2061">
        <v>-1.1834964863349799</v>
      </c>
      <c r="M2061">
        <v>0.76989900000570899</v>
      </c>
    </row>
    <row r="2062" spans="1:13" x14ac:dyDescent="0.25">
      <c r="A2062">
        <v>1611</v>
      </c>
      <c r="B2062" t="str">
        <f>"IDI1"</f>
        <v>IDI1</v>
      </c>
      <c r="C2062" t="str">
        <f>""</f>
        <v/>
      </c>
      <c r="D2062">
        <v>26.318999999999999</v>
      </c>
      <c r="E2062">
        <v>5.3</v>
      </c>
      <c r="F2062">
        <v>5</v>
      </c>
      <c r="G2062">
        <v>4</v>
      </c>
      <c r="H2062">
        <v>4</v>
      </c>
      <c r="I2062" s="7">
        <v>2.80415906697151</v>
      </c>
      <c r="J2062" s="6">
        <v>2.32484958202439</v>
      </c>
      <c r="K2062" s="6">
        <v>2.4139208314904899</v>
      </c>
      <c r="L2062">
        <v>-1.1834964863349799</v>
      </c>
      <c r="M2062">
        <v>0.76989900000570899</v>
      </c>
    </row>
    <row r="2063" spans="1:13" x14ac:dyDescent="0.25">
      <c r="A2063">
        <v>592</v>
      </c>
      <c r="B2063" t="str">
        <f>"PDHA1"</f>
        <v>PDHA1</v>
      </c>
      <c r="C2063" t="str">
        <f>""</f>
        <v/>
      </c>
      <c r="D2063">
        <v>40.188000000000002</v>
      </c>
      <c r="E2063">
        <v>5.6</v>
      </c>
      <c r="F2063">
        <v>5</v>
      </c>
      <c r="G2063">
        <v>4</v>
      </c>
      <c r="H2063">
        <v>4</v>
      </c>
      <c r="I2063" s="7">
        <v>2.80415906697151</v>
      </c>
      <c r="J2063" s="6">
        <v>2.32484958202439</v>
      </c>
      <c r="K2063" s="6">
        <v>2.4139208314904899</v>
      </c>
      <c r="L2063">
        <v>-1.1834964863349799</v>
      </c>
      <c r="M2063">
        <v>0.76989900000570899</v>
      </c>
    </row>
    <row r="2064" spans="1:13" x14ac:dyDescent="0.25">
      <c r="A2064">
        <v>836</v>
      </c>
      <c r="B2064" t="str">
        <f>"IVD"</f>
        <v>IVD</v>
      </c>
      <c r="C2064" t="str">
        <f>""</f>
        <v/>
      </c>
      <c r="D2064">
        <v>43.055</v>
      </c>
      <c r="E2064">
        <v>5.6</v>
      </c>
      <c r="F2064">
        <v>5</v>
      </c>
      <c r="G2064">
        <v>4</v>
      </c>
      <c r="H2064">
        <v>4</v>
      </c>
      <c r="I2064" s="7">
        <v>2.80415906697151</v>
      </c>
      <c r="J2064" s="6">
        <v>2.32484958202439</v>
      </c>
      <c r="K2064" s="6">
        <v>2.4139208314904899</v>
      </c>
      <c r="L2064">
        <v>-1.1834964863349799</v>
      </c>
      <c r="M2064">
        <v>0.76989900000570899</v>
      </c>
    </row>
    <row r="2065" spans="1:13" x14ac:dyDescent="0.25">
      <c r="A2065">
        <v>884</v>
      </c>
      <c r="B2065" t="str">
        <f>"PRDX3"</f>
        <v>PRDX3</v>
      </c>
      <c r="C2065" t="str">
        <f>""</f>
        <v/>
      </c>
      <c r="D2065">
        <v>25.838000000000001</v>
      </c>
      <c r="E2065">
        <v>15.1</v>
      </c>
      <c r="F2065">
        <v>5</v>
      </c>
      <c r="G2065">
        <v>4</v>
      </c>
      <c r="H2065">
        <v>4</v>
      </c>
      <c r="I2065" s="7">
        <v>2.80415906697151</v>
      </c>
      <c r="J2065" s="6">
        <v>2.32484958202439</v>
      </c>
      <c r="K2065" s="6">
        <v>2.4139208314904899</v>
      </c>
      <c r="L2065">
        <v>-1.1834964863349799</v>
      </c>
      <c r="M2065">
        <v>0.76989900000570899</v>
      </c>
    </row>
    <row r="2066" spans="1:13" x14ac:dyDescent="0.25">
      <c r="A2066">
        <v>1427</v>
      </c>
      <c r="B2066" t="str">
        <f>"EXOSC10"</f>
        <v>EXOSC10</v>
      </c>
      <c r="C2066" t="str">
        <f>""</f>
        <v/>
      </c>
      <c r="D2066">
        <v>98.087999999999994</v>
      </c>
      <c r="E2066">
        <v>3.8</v>
      </c>
      <c r="F2066">
        <v>5</v>
      </c>
      <c r="G2066">
        <v>4</v>
      </c>
      <c r="H2066">
        <v>4</v>
      </c>
      <c r="I2066" s="7">
        <v>2.80415906697151</v>
      </c>
      <c r="J2066" s="6">
        <v>2.32484958202439</v>
      </c>
      <c r="K2066" s="6">
        <v>2.4139208314904899</v>
      </c>
      <c r="L2066">
        <v>-1.1834964863349799</v>
      </c>
      <c r="M2066">
        <v>0.76989900000570899</v>
      </c>
    </row>
    <row r="2067" spans="1:13" x14ac:dyDescent="0.25">
      <c r="A2067">
        <v>1750</v>
      </c>
      <c r="B2067" t="str">
        <f>"TBCE"</f>
        <v>TBCE</v>
      </c>
      <c r="C2067" t="str">
        <f>""</f>
        <v/>
      </c>
      <c r="D2067">
        <v>59.344999999999999</v>
      </c>
      <c r="E2067">
        <v>4.4000000000000004</v>
      </c>
      <c r="F2067">
        <v>5</v>
      </c>
      <c r="G2067">
        <v>4</v>
      </c>
      <c r="H2067">
        <v>4</v>
      </c>
      <c r="I2067" s="7">
        <v>2.80415906697151</v>
      </c>
      <c r="J2067" s="6">
        <v>2.32484958202439</v>
      </c>
      <c r="K2067" s="6">
        <v>2.4139208314904899</v>
      </c>
      <c r="L2067">
        <v>-1.1834964863349799</v>
      </c>
      <c r="M2067">
        <v>0.76989900000570899</v>
      </c>
    </row>
    <row r="2068" spans="1:13" x14ac:dyDescent="0.25">
      <c r="A2068">
        <v>3124</v>
      </c>
      <c r="B2068" t="str">
        <f>"YTHDF2"</f>
        <v>YTHDF2</v>
      </c>
      <c r="C2068" t="str">
        <f>""</f>
        <v/>
      </c>
      <c r="D2068">
        <v>56.877000000000002</v>
      </c>
      <c r="E2068">
        <v>16.600000000000001</v>
      </c>
      <c r="F2068">
        <v>5</v>
      </c>
      <c r="G2068">
        <v>4</v>
      </c>
      <c r="H2068">
        <v>4</v>
      </c>
      <c r="I2068" s="7">
        <v>2.80415906697151</v>
      </c>
      <c r="J2068" s="6">
        <v>2.32484958202439</v>
      </c>
      <c r="K2068" s="6">
        <v>2.4139208314904899</v>
      </c>
      <c r="L2068">
        <v>-1.1834964863349799</v>
      </c>
      <c r="M2068">
        <v>0.76989900000570899</v>
      </c>
    </row>
    <row r="2069" spans="1:13" x14ac:dyDescent="0.25">
      <c r="A2069">
        <v>731</v>
      </c>
      <c r="B2069" t="str">
        <f>"DDX5"</f>
        <v>DDX5</v>
      </c>
      <c r="C2069" t="str">
        <f>""</f>
        <v/>
      </c>
      <c r="D2069">
        <v>69.147000000000006</v>
      </c>
      <c r="E2069">
        <v>22.3</v>
      </c>
      <c r="F2069">
        <v>20</v>
      </c>
      <c r="G2069">
        <v>19</v>
      </c>
      <c r="H2069">
        <v>22</v>
      </c>
      <c r="I2069" s="7">
        <v>11.216636267886001</v>
      </c>
      <c r="J2069" s="6">
        <v>11.0430355146158</v>
      </c>
      <c r="K2069" s="6">
        <v>13.2765645731977</v>
      </c>
      <c r="L2069">
        <v>1.08408615145354</v>
      </c>
      <c r="M2069">
        <v>0.77213834858740504</v>
      </c>
    </row>
    <row r="2070" spans="1:13" x14ac:dyDescent="0.25">
      <c r="A2070">
        <v>803</v>
      </c>
      <c r="B2070" t="str">
        <f>"PPIB"</f>
        <v>PPIB</v>
      </c>
      <c r="C2070" t="str">
        <f>""</f>
        <v/>
      </c>
      <c r="D2070">
        <v>23.742000000000001</v>
      </c>
      <c r="E2070">
        <v>9.3000000000000007</v>
      </c>
      <c r="F2070">
        <v>4</v>
      </c>
      <c r="G2070">
        <v>4</v>
      </c>
      <c r="H2070">
        <v>5</v>
      </c>
      <c r="I2070" s="7">
        <v>2.2433272535772102</v>
      </c>
      <c r="J2070" s="6">
        <v>2.32484958202439</v>
      </c>
      <c r="K2070" s="6">
        <v>3.0174010393631101</v>
      </c>
      <c r="L2070">
        <v>1.1906980162766601</v>
      </c>
      <c r="M2070">
        <v>0.77347200250788495</v>
      </c>
    </row>
    <row r="2071" spans="1:13" x14ac:dyDescent="0.25">
      <c r="A2071">
        <v>3146</v>
      </c>
      <c r="B2071" t="str">
        <f>"COPG1"</f>
        <v>COPG1</v>
      </c>
      <c r="C2071" t="str">
        <f>""</f>
        <v/>
      </c>
      <c r="D2071">
        <v>97.716999999999999</v>
      </c>
      <c r="E2071">
        <v>6.1</v>
      </c>
      <c r="F2071">
        <v>4</v>
      </c>
      <c r="G2071">
        <v>4</v>
      </c>
      <c r="H2071">
        <v>5</v>
      </c>
      <c r="I2071" s="7">
        <v>2.2433272535772102</v>
      </c>
      <c r="J2071" s="6">
        <v>2.32484958202439</v>
      </c>
      <c r="K2071" s="6">
        <v>3.0174010393631101</v>
      </c>
      <c r="L2071">
        <v>1.1906980162766601</v>
      </c>
      <c r="M2071">
        <v>0.77347200250788495</v>
      </c>
    </row>
    <row r="2072" spans="1:13" x14ac:dyDescent="0.25">
      <c r="A2072">
        <v>3042</v>
      </c>
      <c r="B2072" t="str">
        <f>"EIF3L"</f>
        <v>EIF3L</v>
      </c>
      <c r="C2072" t="str">
        <f>""</f>
        <v/>
      </c>
      <c r="D2072">
        <v>61.012999999999998</v>
      </c>
      <c r="E2072">
        <v>12.2</v>
      </c>
      <c r="F2072">
        <v>4</v>
      </c>
      <c r="G2072">
        <v>4</v>
      </c>
      <c r="H2072">
        <v>5</v>
      </c>
      <c r="I2072" s="7">
        <v>2.2433272535772102</v>
      </c>
      <c r="J2072" s="6">
        <v>2.32484958202439</v>
      </c>
      <c r="K2072" s="6">
        <v>3.0174010393631101</v>
      </c>
      <c r="L2072">
        <v>1.1906980162766601</v>
      </c>
      <c r="M2072">
        <v>0.77347200250788495</v>
      </c>
    </row>
    <row r="2073" spans="1:13" x14ac:dyDescent="0.25">
      <c r="A2073">
        <v>223</v>
      </c>
      <c r="B2073" t="str">
        <f>"EPB41L2"</f>
        <v>EPB41L2</v>
      </c>
      <c r="C2073" t="str">
        <f>""</f>
        <v/>
      </c>
      <c r="D2073">
        <v>83.801000000000002</v>
      </c>
      <c r="E2073">
        <v>3.2</v>
      </c>
      <c r="F2073">
        <v>4</v>
      </c>
      <c r="G2073">
        <v>4</v>
      </c>
      <c r="H2073">
        <v>5</v>
      </c>
      <c r="I2073" s="7">
        <v>2.2433272535772102</v>
      </c>
      <c r="J2073" s="6">
        <v>2.32484958202439</v>
      </c>
      <c r="K2073" s="6">
        <v>3.0174010393631101</v>
      </c>
      <c r="L2073">
        <v>1.1906980162766601</v>
      </c>
      <c r="M2073">
        <v>0.77347200250788495</v>
      </c>
    </row>
    <row r="2074" spans="1:13" x14ac:dyDescent="0.25">
      <c r="A2074">
        <v>2435</v>
      </c>
      <c r="B2074" t="str">
        <f>"IPO9"</f>
        <v>IPO9</v>
      </c>
      <c r="C2074" t="str">
        <f>""</f>
        <v/>
      </c>
      <c r="D2074">
        <v>115.96</v>
      </c>
      <c r="E2074">
        <v>6.7</v>
      </c>
      <c r="F2074">
        <v>4</v>
      </c>
      <c r="G2074">
        <v>4</v>
      </c>
      <c r="H2074">
        <v>5</v>
      </c>
      <c r="I2074" s="7">
        <v>2.2433272535772102</v>
      </c>
      <c r="J2074" s="6">
        <v>2.32484958202439</v>
      </c>
      <c r="K2074" s="6">
        <v>3.0174010393631101</v>
      </c>
      <c r="L2074">
        <v>1.1906980162766601</v>
      </c>
      <c r="M2074">
        <v>0.77347200250788495</v>
      </c>
    </row>
    <row r="2075" spans="1:13" x14ac:dyDescent="0.25">
      <c r="A2075">
        <v>869</v>
      </c>
      <c r="B2075" t="str">
        <f>"LAP3"</f>
        <v>LAP3</v>
      </c>
      <c r="C2075" t="str">
        <f>""</f>
        <v/>
      </c>
      <c r="D2075">
        <v>52.771000000000001</v>
      </c>
      <c r="E2075">
        <v>9.4</v>
      </c>
      <c r="F2075">
        <v>4</v>
      </c>
      <c r="G2075">
        <v>5</v>
      </c>
      <c r="H2075">
        <v>4</v>
      </c>
      <c r="I2075" s="7">
        <v>2.2433272535772102</v>
      </c>
      <c r="J2075" s="6">
        <v>2.9060619775304799</v>
      </c>
      <c r="K2075" s="6">
        <v>2.4139208314904899</v>
      </c>
      <c r="L2075">
        <v>1.18573489457183</v>
      </c>
      <c r="M2075">
        <v>0.77347203718412505</v>
      </c>
    </row>
    <row r="2076" spans="1:13" x14ac:dyDescent="0.25">
      <c r="A2076">
        <v>2255</v>
      </c>
      <c r="B2076" t="str">
        <f>"PSPC1"</f>
        <v>PSPC1</v>
      </c>
      <c r="C2076" t="str">
        <f>""</f>
        <v/>
      </c>
      <c r="D2076">
        <v>45.57</v>
      </c>
      <c r="E2076">
        <v>5.0999999999999996</v>
      </c>
      <c r="F2076">
        <v>4</v>
      </c>
      <c r="G2076">
        <v>5</v>
      </c>
      <c r="H2076">
        <v>4</v>
      </c>
      <c r="I2076" s="7">
        <v>2.2433272535772102</v>
      </c>
      <c r="J2076" s="6">
        <v>2.9060619775304799</v>
      </c>
      <c r="K2076" s="6">
        <v>2.4139208314904899</v>
      </c>
      <c r="L2076">
        <v>1.18573489457183</v>
      </c>
      <c r="M2076">
        <v>0.77347203718412505</v>
      </c>
    </row>
    <row r="2077" spans="1:13" x14ac:dyDescent="0.25">
      <c r="A2077">
        <v>2999</v>
      </c>
      <c r="B2077" t="str">
        <f>"AKAP8L"</f>
        <v>AKAP8L</v>
      </c>
      <c r="C2077" t="str">
        <f>""</f>
        <v/>
      </c>
      <c r="D2077">
        <v>65.22</v>
      </c>
      <c r="E2077">
        <v>7.4</v>
      </c>
      <c r="F2077">
        <v>4</v>
      </c>
      <c r="G2077">
        <v>5</v>
      </c>
      <c r="H2077">
        <v>4</v>
      </c>
      <c r="I2077" s="7">
        <v>2.2433272535772102</v>
      </c>
      <c r="J2077" s="6">
        <v>2.9060619775304799</v>
      </c>
      <c r="K2077" s="6">
        <v>2.4139208314904899</v>
      </c>
      <c r="L2077">
        <v>1.18573489457183</v>
      </c>
      <c r="M2077">
        <v>0.77347203718412505</v>
      </c>
    </row>
    <row r="2078" spans="1:13" x14ac:dyDescent="0.25">
      <c r="A2078">
        <v>695</v>
      </c>
      <c r="B2078" t="str">
        <f>"PKM"</f>
        <v>PKM</v>
      </c>
      <c r="C2078" t="str">
        <f>""</f>
        <v/>
      </c>
      <c r="D2078">
        <v>57.936</v>
      </c>
      <c r="E2078">
        <v>23.2</v>
      </c>
      <c r="F2078">
        <v>19</v>
      </c>
      <c r="G2078">
        <v>20</v>
      </c>
      <c r="H2078">
        <v>19</v>
      </c>
      <c r="I2078" s="7">
        <v>10.655804454491699</v>
      </c>
      <c r="J2078" s="6">
        <v>11.6242479101219</v>
      </c>
      <c r="K2078" s="6">
        <v>11.466123949579799</v>
      </c>
      <c r="L2078">
        <v>1.0834645079268701</v>
      </c>
      <c r="M2078">
        <v>0.77411961081735303</v>
      </c>
    </row>
    <row r="2079" spans="1:13" x14ac:dyDescent="0.25">
      <c r="A2079">
        <v>1229</v>
      </c>
      <c r="B2079" t="str">
        <f>"VCP"</f>
        <v>VCP</v>
      </c>
      <c r="C2079" t="str">
        <f>""</f>
        <v/>
      </c>
      <c r="D2079">
        <v>89.320999999999998</v>
      </c>
      <c r="E2079">
        <v>11.3</v>
      </c>
      <c r="F2079">
        <v>19</v>
      </c>
      <c r="G2079">
        <v>21</v>
      </c>
      <c r="H2079">
        <v>18</v>
      </c>
      <c r="I2079" s="7">
        <v>10.655804454491699</v>
      </c>
      <c r="J2079" s="6">
        <v>12.205460305628</v>
      </c>
      <c r="K2079" s="6">
        <v>10.862643741707201</v>
      </c>
      <c r="L2079">
        <v>1.0824196401995401</v>
      </c>
      <c r="M2079">
        <v>0.77419693694215097</v>
      </c>
    </row>
    <row r="2080" spans="1:13" x14ac:dyDescent="0.25">
      <c r="A2080">
        <v>1479</v>
      </c>
      <c r="B2080" t="str">
        <f>"ARHGAP1"</f>
        <v>ARHGAP1</v>
      </c>
      <c r="C2080" t="str">
        <f>""</f>
        <v/>
      </c>
      <c r="D2080">
        <v>50.435000000000002</v>
      </c>
      <c r="E2080">
        <v>13.7</v>
      </c>
      <c r="F2080">
        <v>1</v>
      </c>
      <c r="G2080">
        <v>0</v>
      </c>
      <c r="H2080">
        <v>3</v>
      </c>
      <c r="I2080" s="7">
        <v>0.56083181339430199</v>
      </c>
      <c r="J2080" s="6">
        <v>0</v>
      </c>
      <c r="K2080" s="6">
        <v>1.8104406236178701</v>
      </c>
      <c r="L2080">
        <v>1.6140673374612999</v>
      </c>
      <c r="M2080">
        <v>0.774209901034693</v>
      </c>
    </row>
    <row r="2081" spans="1:13" x14ac:dyDescent="0.25">
      <c r="A2081">
        <v>2298</v>
      </c>
      <c r="B2081" t="str">
        <f>"CELF1;CELF2"</f>
        <v>CELF1;CELF2</v>
      </c>
      <c r="C2081" t="str">
        <f>""</f>
        <v/>
      </c>
      <c r="D2081">
        <v>50.13</v>
      </c>
      <c r="E2081">
        <v>3.8</v>
      </c>
      <c r="F2081">
        <v>1</v>
      </c>
      <c r="G2081">
        <v>0</v>
      </c>
      <c r="H2081">
        <v>3</v>
      </c>
      <c r="I2081" s="7">
        <v>0.56083181339430199</v>
      </c>
      <c r="J2081" s="6">
        <v>0</v>
      </c>
      <c r="K2081" s="6">
        <v>1.8104406236178701</v>
      </c>
      <c r="L2081">
        <v>1.6140673374612999</v>
      </c>
      <c r="M2081">
        <v>0.774209901034693</v>
      </c>
    </row>
    <row r="2082" spans="1:13" x14ac:dyDescent="0.25">
      <c r="A2082">
        <v>2534</v>
      </c>
      <c r="B2082" t="str">
        <f>"RIOK1"</f>
        <v>RIOK1</v>
      </c>
      <c r="C2082" t="str">
        <f>"RIOK1"</f>
        <v>RIOK1</v>
      </c>
      <c r="D2082">
        <v>65.581999999999994</v>
      </c>
      <c r="E2082">
        <v>5.3</v>
      </c>
      <c r="F2082">
        <v>1</v>
      </c>
      <c r="G2082">
        <v>0</v>
      </c>
      <c r="H2082">
        <v>3</v>
      </c>
      <c r="I2082" s="7">
        <v>0.56083181339430199</v>
      </c>
      <c r="J2082" s="6">
        <v>0</v>
      </c>
      <c r="K2082" s="6">
        <v>1.8104406236178701</v>
      </c>
      <c r="L2082">
        <v>1.6140673374612999</v>
      </c>
      <c r="M2082">
        <v>0.774209901034693</v>
      </c>
    </row>
    <row r="2083" spans="1:13" x14ac:dyDescent="0.25">
      <c r="A2083">
        <v>740</v>
      </c>
      <c r="B2083" t="str">
        <f>"VCL"</f>
        <v>VCL</v>
      </c>
      <c r="C2083" t="str">
        <f>""</f>
        <v/>
      </c>
      <c r="D2083">
        <v>123.8</v>
      </c>
      <c r="E2083">
        <v>10.6</v>
      </c>
      <c r="F2083">
        <v>16</v>
      </c>
      <c r="G2083">
        <v>15</v>
      </c>
      <c r="H2083">
        <v>18</v>
      </c>
      <c r="I2083" s="7">
        <v>8.9733090143088301</v>
      </c>
      <c r="J2083" s="6">
        <v>8.7181859325914495</v>
      </c>
      <c r="K2083" s="6">
        <v>10.862643741707201</v>
      </c>
      <c r="L2083">
        <v>1.0910595881115399</v>
      </c>
      <c r="M2083">
        <v>0.780075486437948</v>
      </c>
    </row>
    <row r="2084" spans="1:13" x14ac:dyDescent="0.25">
      <c r="A2084">
        <v>1105</v>
      </c>
      <c r="B2084" t="str">
        <f>"AARS"</f>
        <v>AARS</v>
      </c>
      <c r="C2084" t="str">
        <f>""</f>
        <v/>
      </c>
      <c r="D2084">
        <v>106.81</v>
      </c>
      <c r="E2084">
        <v>3.9</v>
      </c>
      <c r="F2084">
        <v>5</v>
      </c>
      <c r="G2084">
        <v>5</v>
      </c>
      <c r="H2084">
        <v>6</v>
      </c>
      <c r="I2084" s="7">
        <v>2.80415906697151</v>
      </c>
      <c r="J2084" s="6">
        <v>2.9060619775304799</v>
      </c>
      <c r="K2084" s="6">
        <v>3.6208812472357401</v>
      </c>
      <c r="L2084">
        <v>1.16379689398564</v>
      </c>
      <c r="M2084">
        <v>0.78069391306279401</v>
      </c>
    </row>
    <row r="2085" spans="1:13" x14ac:dyDescent="0.25">
      <c r="A2085">
        <v>2046</v>
      </c>
      <c r="B2085" t="str">
        <f>"PBRM1"</f>
        <v>PBRM1</v>
      </c>
      <c r="C2085" t="str">
        <f>""</f>
        <v/>
      </c>
      <c r="D2085">
        <v>182.12</v>
      </c>
      <c r="E2085">
        <v>2.1</v>
      </c>
      <c r="F2085">
        <v>5</v>
      </c>
      <c r="G2085">
        <v>6</v>
      </c>
      <c r="H2085">
        <v>5</v>
      </c>
      <c r="I2085" s="7">
        <v>2.80415906697151</v>
      </c>
      <c r="J2085" s="6">
        <v>3.4872743730365801</v>
      </c>
      <c r="K2085" s="6">
        <v>3.0174010393631101</v>
      </c>
      <c r="L2085">
        <v>1.1598263966217801</v>
      </c>
      <c r="M2085">
        <v>0.78069394900822697</v>
      </c>
    </row>
    <row r="2086" spans="1:13" x14ac:dyDescent="0.25">
      <c r="A2086">
        <v>557</v>
      </c>
      <c r="B2086" t="str">
        <f>"NPM1"</f>
        <v>NPM1</v>
      </c>
      <c r="C2086" t="str">
        <f>""</f>
        <v/>
      </c>
      <c r="D2086">
        <v>29.463999999999999</v>
      </c>
      <c r="E2086">
        <v>5.3</v>
      </c>
      <c r="F2086">
        <v>5</v>
      </c>
      <c r="G2086">
        <v>6</v>
      </c>
      <c r="H2086">
        <v>5</v>
      </c>
      <c r="I2086" s="7">
        <v>2.80415906697151</v>
      </c>
      <c r="J2086" s="6">
        <v>3.4872743730365801</v>
      </c>
      <c r="K2086" s="6">
        <v>3.0174010393631101</v>
      </c>
      <c r="L2086">
        <v>1.1598263966217801</v>
      </c>
      <c r="M2086">
        <v>0.78069394900822697</v>
      </c>
    </row>
    <row r="2087" spans="1:13" x14ac:dyDescent="0.25">
      <c r="A2087">
        <v>1137</v>
      </c>
      <c r="B2087" t="str">
        <f>"ST13P4;ST13;ST13P5"</f>
        <v>ST13P4;ST13;ST13P5</v>
      </c>
      <c r="C2087" t="str">
        <f>""</f>
        <v/>
      </c>
      <c r="D2087">
        <v>27.405999999999999</v>
      </c>
      <c r="E2087">
        <v>10</v>
      </c>
      <c r="F2087">
        <v>5</v>
      </c>
      <c r="G2087">
        <v>6</v>
      </c>
      <c r="H2087">
        <v>5</v>
      </c>
      <c r="I2087" s="7">
        <v>2.80415906697151</v>
      </c>
      <c r="J2087" s="6">
        <v>3.4872743730365801</v>
      </c>
      <c r="K2087" s="6">
        <v>3.0174010393631101</v>
      </c>
      <c r="L2087">
        <v>1.1598263966217801</v>
      </c>
      <c r="M2087">
        <v>0.78069394900822697</v>
      </c>
    </row>
    <row r="2088" spans="1:13" x14ac:dyDescent="0.25">
      <c r="A2088">
        <v>1583</v>
      </c>
      <c r="B2088" t="str">
        <f>"HDAC1"</f>
        <v>HDAC1</v>
      </c>
      <c r="C2088" t="str">
        <f>""</f>
        <v/>
      </c>
      <c r="D2088">
        <v>55.101999999999997</v>
      </c>
      <c r="E2088">
        <v>11.8</v>
      </c>
      <c r="F2088">
        <v>5</v>
      </c>
      <c r="G2088">
        <v>6</v>
      </c>
      <c r="H2088">
        <v>5</v>
      </c>
      <c r="I2088" s="7">
        <v>2.80415906697151</v>
      </c>
      <c r="J2088" s="6">
        <v>3.4872743730365801</v>
      </c>
      <c r="K2088" s="6">
        <v>3.0174010393631101</v>
      </c>
      <c r="L2088">
        <v>1.1598263966217801</v>
      </c>
      <c r="M2088">
        <v>0.78069394900822697</v>
      </c>
    </row>
    <row r="2089" spans="1:13" x14ac:dyDescent="0.25">
      <c r="A2089">
        <v>2326</v>
      </c>
      <c r="B2089" t="str">
        <f>"CCDC47"</f>
        <v>CCDC47</v>
      </c>
      <c r="C2089" t="str">
        <f>""</f>
        <v/>
      </c>
      <c r="D2089">
        <v>55.872999999999998</v>
      </c>
      <c r="E2089">
        <v>6.8</v>
      </c>
      <c r="F2089">
        <v>5</v>
      </c>
      <c r="G2089">
        <v>6</v>
      </c>
      <c r="H2089">
        <v>5</v>
      </c>
      <c r="I2089" s="7">
        <v>2.80415906697151</v>
      </c>
      <c r="J2089" s="6">
        <v>3.4872743730365801</v>
      </c>
      <c r="K2089" s="6">
        <v>3.0174010393631101</v>
      </c>
      <c r="L2089">
        <v>1.1598263966217801</v>
      </c>
      <c r="M2089">
        <v>0.78069394900822697</v>
      </c>
    </row>
    <row r="2090" spans="1:13" x14ac:dyDescent="0.25">
      <c r="A2090">
        <v>298</v>
      </c>
      <c r="B2090" t="str">
        <f>"ROCK2"</f>
        <v>ROCK2</v>
      </c>
      <c r="C2090" t="str">
        <f>"ROCK2"</f>
        <v>ROCK2</v>
      </c>
      <c r="D2090">
        <v>160.9</v>
      </c>
      <c r="E2090">
        <v>5.8</v>
      </c>
      <c r="F2090">
        <v>5</v>
      </c>
      <c r="G2090">
        <v>4</v>
      </c>
      <c r="H2090">
        <v>7</v>
      </c>
      <c r="I2090" s="7">
        <v>2.80415906697151</v>
      </c>
      <c r="J2090" s="6">
        <v>2.32484958202439</v>
      </c>
      <c r="K2090" s="6">
        <v>4.2243614551083599</v>
      </c>
      <c r="L2090">
        <v>1.1677673913494999</v>
      </c>
      <c r="M2090">
        <v>0.78121542732131799</v>
      </c>
    </row>
    <row r="2091" spans="1:13" x14ac:dyDescent="0.25">
      <c r="A2091">
        <v>3140</v>
      </c>
      <c r="B2091" t="str">
        <f>"HEBP2"</f>
        <v>HEBP2</v>
      </c>
      <c r="C2091" t="str">
        <f>""</f>
        <v/>
      </c>
      <c r="D2091">
        <v>22.875</v>
      </c>
      <c r="E2091">
        <v>17.100000000000001</v>
      </c>
      <c r="F2091">
        <v>5</v>
      </c>
      <c r="G2091">
        <v>7</v>
      </c>
      <c r="H2091">
        <v>4</v>
      </c>
      <c r="I2091" s="7">
        <v>2.80415906697151</v>
      </c>
      <c r="J2091" s="6">
        <v>4.0684867685426802</v>
      </c>
      <c r="K2091" s="6">
        <v>2.4139208314904899</v>
      </c>
      <c r="L2091">
        <v>1.15585589925791</v>
      </c>
      <c r="M2091">
        <v>0.78121553029324897</v>
      </c>
    </row>
    <row r="2092" spans="1:13" x14ac:dyDescent="0.25">
      <c r="A2092">
        <v>1556</v>
      </c>
      <c r="B2092" t="str">
        <f>"G3BP1"</f>
        <v>G3BP1</v>
      </c>
      <c r="C2092" t="str">
        <f>""</f>
        <v/>
      </c>
      <c r="D2092">
        <v>52.164000000000001</v>
      </c>
      <c r="E2092">
        <v>19.5</v>
      </c>
      <c r="F2092">
        <v>14</v>
      </c>
      <c r="G2092">
        <v>15</v>
      </c>
      <c r="H2092">
        <v>14</v>
      </c>
      <c r="I2092" s="7">
        <v>7.8516453875202297</v>
      </c>
      <c r="J2092" s="6">
        <v>8.7181859325914495</v>
      </c>
      <c r="K2092" s="6">
        <v>8.4487229102167198</v>
      </c>
      <c r="L2092">
        <v>1.0932045447501999</v>
      </c>
      <c r="M2092">
        <v>0.78346102000080498</v>
      </c>
    </row>
    <row r="2093" spans="1:13" x14ac:dyDescent="0.25">
      <c r="A2093">
        <v>1379</v>
      </c>
      <c r="B2093" t="str">
        <f>"RAE1"</f>
        <v>RAE1</v>
      </c>
      <c r="C2093" t="str">
        <f>""</f>
        <v/>
      </c>
      <c r="D2093">
        <v>40.968000000000004</v>
      </c>
      <c r="E2093">
        <v>7.3</v>
      </c>
      <c r="F2093">
        <v>6</v>
      </c>
      <c r="G2093">
        <v>6</v>
      </c>
      <c r="H2093">
        <v>7</v>
      </c>
      <c r="I2093" s="7">
        <v>3.3649908803658102</v>
      </c>
      <c r="J2093" s="6">
        <v>3.4872743730365801</v>
      </c>
      <c r="K2093" s="6">
        <v>4.2243614551083599</v>
      </c>
      <c r="L2093">
        <v>1.1458628124582899</v>
      </c>
      <c r="M2093">
        <v>0.78488547390053098</v>
      </c>
    </row>
    <row r="2094" spans="1:13" x14ac:dyDescent="0.25">
      <c r="A2094">
        <v>1364</v>
      </c>
      <c r="B2094" t="str">
        <f>"EEF1A1;EEF1A1P5;EEF1A2"</f>
        <v>EEF1A1;EEF1A1P5;EEF1A2</v>
      </c>
      <c r="C2094" t="str">
        <f>""</f>
        <v/>
      </c>
      <c r="D2094">
        <v>47.869</v>
      </c>
      <c r="E2094">
        <v>6.3</v>
      </c>
      <c r="F2094">
        <v>6</v>
      </c>
      <c r="G2094">
        <v>7</v>
      </c>
      <c r="H2094">
        <v>6</v>
      </c>
      <c r="I2094" s="7">
        <v>3.3649908803658102</v>
      </c>
      <c r="J2094" s="6">
        <v>4.0684867685426802</v>
      </c>
      <c r="K2094" s="6">
        <v>3.6208812472357401</v>
      </c>
      <c r="L2094">
        <v>1.14255406465507</v>
      </c>
      <c r="M2094">
        <v>0.78488551061976297</v>
      </c>
    </row>
    <row r="2095" spans="1:13" x14ac:dyDescent="0.25">
      <c r="A2095">
        <v>970</v>
      </c>
      <c r="B2095" t="str">
        <f>"LONP1"</f>
        <v>LONP1</v>
      </c>
      <c r="C2095" t="str">
        <f>""</f>
        <v/>
      </c>
      <c r="D2095">
        <v>85.64</v>
      </c>
      <c r="E2095">
        <v>7.3</v>
      </c>
      <c r="F2095">
        <v>6</v>
      </c>
      <c r="G2095">
        <v>7</v>
      </c>
      <c r="H2095">
        <v>6</v>
      </c>
      <c r="I2095" s="7">
        <v>3.3649908803658102</v>
      </c>
      <c r="J2095" s="6">
        <v>4.0684867685426802</v>
      </c>
      <c r="K2095" s="6">
        <v>3.6208812472357401</v>
      </c>
      <c r="L2095">
        <v>1.14255406465507</v>
      </c>
      <c r="M2095">
        <v>0.78488551061976297</v>
      </c>
    </row>
    <row r="2096" spans="1:13" x14ac:dyDescent="0.25">
      <c r="A2096">
        <v>1555</v>
      </c>
      <c r="B2096" t="str">
        <f>"TRIM28"</f>
        <v>TRIM28</v>
      </c>
      <c r="C2096" t="str">
        <f>"TRIM28"</f>
        <v>TRIM28</v>
      </c>
      <c r="D2096">
        <v>88.549000000000007</v>
      </c>
      <c r="E2096">
        <v>5.7</v>
      </c>
      <c r="F2096">
        <v>13</v>
      </c>
      <c r="G2096">
        <v>11</v>
      </c>
      <c r="H2096">
        <v>16</v>
      </c>
      <c r="I2096" s="7">
        <v>7.2908135741259299</v>
      </c>
      <c r="J2096" s="6">
        <v>6.3933363505670604</v>
      </c>
      <c r="K2096" s="6">
        <v>9.6556833259619594</v>
      </c>
      <c r="L2096">
        <v>1.1006329755491699</v>
      </c>
      <c r="M2096">
        <v>0.78540510222592697</v>
      </c>
    </row>
    <row r="2097" spans="1:13" x14ac:dyDescent="0.25">
      <c r="A2097">
        <v>649</v>
      </c>
      <c r="B2097" t="str">
        <f>"G6PD"</f>
        <v>G6PD</v>
      </c>
      <c r="C2097" t="str">
        <f>""</f>
        <v/>
      </c>
      <c r="D2097">
        <v>59.256</v>
      </c>
      <c r="E2097">
        <v>15.5</v>
      </c>
      <c r="F2097">
        <v>12</v>
      </c>
      <c r="G2097">
        <v>13</v>
      </c>
      <c r="H2097">
        <v>12</v>
      </c>
      <c r="I2097" s="7">
        <v>6.7299817607316301</v>
      </c>
      <c r="J2097" s="6">
        <v>7.5557611415792598</v>
      </c>
      <c r="K2097" s="6">
        <v>7.2417624944714696</v>
      </c>
      <c r="L2097">
        <v>1.0993732347383101</v>
      </c>
      <c r="M2097">
        <v>0.786350677118684</v>
      </c>
    </row>
    <row r="2098" spans="1:13" x14ac:dyDescent="0.25">
      <c r="A2098">
        <v>1146</v>
      </c>
      <c r="B2098" t="str">
        <f>"CCT4"</f>
        <v>CCT4</v>
      </c>
      <c r="C2098" t="str">
        <f>""</f>
        <v/>
      </c>
      <c r="D2098">
        <v>54.719000000000001</v>
      </c>
      <c r="E2098">
        <v>18.7</v>
      </c>
      <c r="F2098">
        <v>12</v>
      </c>
      <c r="G2098">
        <v>13</v>
      </c>
      <c r="H2098">
        <v>12</v>
      </c>
      <c r="I2098" s="7">
        <v>6.7299817607316301</v>
      </c>
      <c r="J2098" s="6">
        <v>7.5557611415792598</v>
      </c>
      <c r="K2098" s="6">
        <v>7.2417624944714696</v>
      </c>
      <c r="L2098">
        <v>1.0993732347383101</v>
      </c>
      <c r="M2098">
        <v>0.786350677118684</v>
      </c>
    </row>
    <row r="2099" spans="1:13" x14ac:dyDescent="0.25">
      <c r="A2099">
        <v>1319</v>
      </c>
      <c r="B2099" t="str">
        <f>"SNRPD2"</f>
        <v>SNRPD2</v>
      </c>
      <c r="C2099" t="str">
        <f>""</f>
        <v/>
      </c>
      <c r="D2099">
        <v>13.526999999999999</v>
      </c>
      <c r="E2099">
        <v>22</v>
      </c>
      <c r="F2099">
        <v>7</v>
      </c>
      <c r="G2099">
        <v>7</v>
      </c>
      <c r="H2099">
        <v>8</v>
      </c>
      <c r="I2099" s="7">
        <v>3.9258226937601099</v>
      </c>
      <c r="J2099" s="6">
        <v>4.0684867685426802</v>
      </c>
      <c r="K2099" s="6">
        <v>4.8278416629809797</v>
      </c>
      <c r="L2099">
        <v>1.1330527542244699</v>
      </c>
      <c r="M2099">
        <v>0.78721118811019397</v>
      </c>
    </row>
    <row r="2100" spans="1:13" x14ac:dyDescent="0.25">
      <c r="A2100">
        <v>1354</v>
      </c>
      <c r="B2100" t="str">
        <f>"PPP2R2A"</f>
        <v>PPP2R2A</v>
      </c>
      <c r="C2100" t="str">
        <f>""</f>
        <v/>
      </c>
      <c r="D2100">
        <v>51.691000000000003</v>
      </c>
      <c r="E2100">
        <v>9.6</v>
      </c>
      <c r="F2100">
        <v>7</v>
      </c>
      <c r="G2100">
        <v>7</v>
      </c>
      <c r="H2100">
        <v>8</v>
      </c>
      <c r="I2100" s="7">
        <v>3.9258226937601099</v>
      </c>
      <c r="J2100" s="6">
        <v>4.0684867685426802</v>
      </c>
      <c r="K2100" s="6">
        <v>4.8278416629809797</v>
      </c>
      <c r="L2100">
        <v>1.1330527542244699</v>
      </c>
      <c r="M2100">
        <v>0.78721118811019397</v>
      </c>
    </row>
    <row r="2101" spans="1:13" x14ac:dyDescent="0.25">
      <c r="A2101">
        <v>890</v>
      </c>
      <c r="B2101" t="str">
        <f>"PPP2R1A"</f>
        <v>PPP2R1A</v>
      </c>
      <c r="C2101" t="str">
        <f>""</f>
        <v/>
      </c>
      <c r="D2101">
        <v>65.308000000000007</v>
      </c>
      <c r="E2101">
        <v>5.8</v>
      </c>
      <c r="F2101">
        <v>7</v>
      </c>
      <c r="G2101">
        <v>8</v>
      </c>
      <c r="H2101">
        <v>7</v>
      </c>
      <c r="I2101" s="7">
        <v>3.9258226937601099</v>
      </c>
      <c r="J2101" s="6">
        <v>4.6496991640487702</v>
      </c>
      <c r="K2101" s="6">
        <v>4.2243614551083599</v>
      </c>
      <c r="L2101">
        <v>1.1302166846788499</v>
      </c>
      <c r="M2101">
        <v>0.78721124650623497</v>
      </c>
    </row>
    <row r="2102" spans="1:13" x14ac:dyDescent="0.25">
      <c r="A2102">
        <v>833</v>
      </c>
      <c r="B2102" t="str">
        <f>"U2AF2"</f>
        <v>U2AF2</v>
      </c>
      <c r="C2102" t="str">
        <f>""</f>
        <v/>
      </c>
      <c r="D2102">
        <v>53.12</v>
      </c>
      <c r="E2102">
        <v>10.8</v>
      </c>
      <c r="F2102">
        <v>7</v>
      </c>
      <c r="G2102">
        <v>8</v>
      </c>
      <c r="H2102">
        <v>7</v>
      </c>
      <c r="I2102" s="7">
        <v>3.9258226937601099</v>
      </c>
      <c r="J2102" s="6">
        <v>4.6496991640487702</v>
      </c>
      <c r="K2102" s="6">
        <v>4.2243614551083599</v>
      </c>
      <c r="L2102">
        <v>1.1302166846788499</v>
      </c>
      <c r="M2102">
        <v>0.78721124650623497</v>
      </c>
    </row>
    <row r="2103" spans="1:13" x14ac:dyDescent="0.25">
      <c r="A2103">
        <v>1604</v>
      </c>
      <c r="B2103" t="str">
        <f>"SPTAN1"</f>
        <v>SPTAN1</v>
      </c>
      <c r="C2103" t="str">
        <f>""</f>
        <v/>
      </c>
      <c r="D2103">
        <v>282.27999999999997</v>
      </c>
      <c r="E2103">
        <v>10.8</v>
      </c>
      <c r="F2103">
        <v>11</v>
      </c>
      <c r="G2103">
        <v>10</v>
      </c>
      <c r="H2103">
        <v>13</v>
      </c>
      <c r="I2103" s="7">
        <v>6.1691499473373197</v>
      </c>
      <c r="J2103" s="6">
        <v>5.8121239550609696</v>
      </c>
      <c r="K2103" s="6">
        <v>7.8452427023441</v>
      </c>
      <c r="L2103">
        <v>1.1069083077888</v>
      </c>
      <c r="M2103">
        <v>0.787625888403931</v>
      </c>
    </row>
    <row r="2104" spans="1:13" x14ac:dyDescent="0.25">
      <c r="A2104">
        <v>281</v>
      </c>
      <c r="B2104" t="str">
        <f>"USO1"</f>
        <v>USO1</v>
      </c>
      <c r="C2104" t="str">
        <f>""</f>
        <v/>
      </c>
      <c r="D2104">
        <v>107.89</v>
      </c>
      <c r="E2104">
        <v>14</v>
      </c>
      <c r="F2104">
        <v>10</v>
      </c>
      <c r="G2104">
        <v>10</v>
      </c>
      <c r="H2104">
        <v>7</v>
      </c>
      <c r="I2104" s="7">
        <v>5.6083181339430199</v>
      </c>
      <c r="J2104" s="6">
        <v>5.8121239550609696</v>
      </c>
      <c r="K2104" s="6">
        <v>4.2243614551083599</v>
      </c>
      <c r="L2104">
        <v>-1.1175860681789</v>
      </c>
      <c r="M2104">
        <v>0.78777792289084403</v>
      </c>
    </row>
    <row r="2105" spans="1:13" x14ac:dyDescent="0.25">
      <c r="A2105">
        <v>1395</v>
      </c>
      <c r="B2105" t="str">
        <f>"RPL24"</f>
        <v>RPL24</v>
      </c>
      <c r="C2105" t="str">
        <f>""</f>
        <v/>
      </c>
      <c r="D2105">
        <v>17.779</v>
      </c>
      <c r="E2105">
        <v>18.5</v>
      </c>
      <c r="F2105">
        <v>10</v>
      </c>
      <c r="G2105">
        <v>9</v>
      </c>
      <c r="H2105">
        <v>8</v>
      </c>
      <c r="I2105" s="7">
        <v>5.6083181339430199</v>
      </c>
      <c r="J2105" s="6">
        <v>5.2309115595548699</v>
      </c>
      <c r="K2105" s="6">
        <v>4.8278416629809797</v>
      </c>
      <c r="L2105">
        <v>-1.1151119845306501</v>
      </c>
      <c r="M2105">
        <v>0.78804184302927205</v>
      </c>
    </row>
    <row r="2106" spans="1:13" x14ac:dyDescent="0.25">
      <c r="A2106">
        <v>1244</v>
      </c>
      <c r="B2106" t="str">
        <f>"EIF3B"</f>
        <v>EIF3B</v>
      </c>
      <c r="C2106" t="str">
        <f>""</f>
        <v/>
      </c>
      <c r="D2106">
        <v>92.48</v>
      </c>
      <c r="E2106">
        <v>9.1999999999999993</v>
      </c>
      <c r="F2106">
        <v>10</v>
      </c>
      <c r="G2106">
        <v>8</v>
      </c>
      <c r="H2106">
        <v>9</v>
      </c>
      <c r="I2106" s="7">
        <v>5.6083181339430199</v>
      </c>
      <c r="J2106" s="6">
        <v>4.6496991640487702</v>
      </c>
      <c r="K2106" s="6">
        <v>5.4313218708536004</v>
      </c>
      <c r="L2106">
        <v>-1.11264883081306</v>
      </c>
      <c r="M2106">
        <v>0.78804185369246604</v>
      </c>
    </row>
    <row r="2107" spans="1:13" x14ac:dyDescent="0.25">
      <c r="A2107">
        <v>1093</v>
      </c>
      <c r="B2107" t="str">
        <f>"NASP"</f>
        <v>NASP</v>
      </c>
      <c r="C2107" t="str">
        <f>""</f>
        <v/>
      </c>
      <c r="D2107">
        <v>85.236999999999995</v>
      </c>
      <c r="E2107">
        <v>9.1</v>
      </c>
      <c r="F2107">
        <v>10</v>
      </c>
      <c r="G2107">
        <v>11</v>
      </c>
      <c r="H2107">
        <v>10</v>
      </c>
      <c r="I2107" s="7">
        <v>5.6083181339430199</v>
      </c>
      <c r="J2107" s="6">
        <v>6.3933363505670604</v>
      </c>
      <c r="K2107" s="6">
        <v>6.03480207872623</v>
      </c>
      <c r="L2107">
        <v>1.1080094007216601</v>
      </c>
      <c r="M2107">
        <v>0.78823138374952595</v>
      </c>
    </row>
    <row r="2108" spans="1:13" x14ac:dyDescent="0.25">
      <c r="A2108">
        <v>701</v>
      </c>
      <c r="B2108" t="str">
        <f>"DARS"</f>
        <v>DARS</v>
      </c>
      <c r="C2108" t="str">
        <f>""</f>
        <v/>
      </c>
      <c r="D2108">
        <v>45.771000000000001</v>
      </c>
      <c r="E2108">
        <v>12</v>
      </c>
      <c r="F2108">
        <v>8</v>
      </c>
      <c r="G2108">
        <v>8</v>
      </c>
      <c r="H2108">
        <v>9</v>
      </c>
      <c r="I2108" s="7">
        <v>4.4866545071544204</v>
      </c>
      <c r="J2108" s="6">
        <v>4.6496991640487702</v>
      </c>
      <c r="K2108" s="6">
        <v>5.4313218708536004</v>
      </c>
      <c r="L2108">
        <v>1.12344521054911</v>
      </c>
      <c r="M2108">
        <v>0.78831216838965001</v>
      </c>
    </row>
    <row r="2109" spans="1:13" x14ac:dyDescent="0.25">
      <c r="A2109">
        <v>1011</v>
      </c>
      <c r="B2109" t="str">
        <f>"GARS"</f>
        <v>GARS</v>
      </c>
      <c r="C2109" t="str">
        <f>""</f>
        <v/>
      </c>
      <c r="D2109">
        <v>83.165000000000006</v>
      </c>
      <c r="E2109">
        <v>7.6</v>
      </c>
      <c r="F2109">
        <v>10</v>
      </c>
      <c r="G2109">
        <v>12</v>
      </c>
      <c r="H2109">
        <v>9</v>
      </c>
      <c r="I2109" s="7">
        <v>5.6083181339430199</v>
      </c>
      <c r="J2109" s="6">
        <v>6.9745487460731601</v>
      </c>
      <c r="K2109" s="6">
        <v>5.4313218708536004</v>
      </c>
      <c r="L2109">
        <v>1.10602415203973</v>
      </c>
      <c r="M2109">
        <v>0.78842863279336095</v>
      </c>
    </row>
    <row r="2110" spans="1:13" x14ac:dyDescent="0.25">
      <c r="A2110">
        <v>680</v>
      </c>
      <c r="B2110" t="str">
        <f>"PLS3"</f>
        <v>PLS3</v>
      </c>
      <c r="C2110" t="str">
        <f>""</f>
        <v/>
      </c>
      <c r="D2110">
        <v>65.632000000000005</v>
      </c>
      <c r="E2110">
        <v>9.6</v>
      </c>
      <c r="F2110">
        <v>10</v>
      </c>
      <c r="G2110">
        <v>12</v>
      </c>
      <c r="H2110">
        <v>9</v>
      </c>
      <c r="I2110" s="7">
        <v>5.6083181339430199</v>
      </c>
      <c r="J2110" s="6">
        <v>6.9745487460731601</v>
      </c>
      <c r="K2110" s="6">
        <v>5.4313218708536004</v>
      </c>
      <c r="L2110">
        <v>1.10602415203973</v>
      </c>
      <c r="M2110">
        <v>0.78842863279336095</v>
      </c>
    </row>
    <row r="2111" spans="1:13" x14ac:dyDescent="0.25">
      <c r="A2111">
        <v>2239</v>
      </c>
      <c r="B2111" t="str">
        <f>"PDCD6IP"</f>
        <v>PDCD6IP</v>
      </c>
      <c r="C2111" t="str">
        <f>""</f>
        <v/>
      </c>
      <c r="D2111">
        <v>96.771000000000001</v>
      </c>
      <c r="E2111">
        <v>13.3</v>
      </c>
      <c r="F2111">
        <v>9</v>
      </c>
      <c r="G2111">
        <v>9</v>
      </c>
      <c r="H2111">
        <v>10</v>
      </c>
      <c r="I2111" s="7">
        <v>5.0474863205487202</v>
      </c>
      <c r="J2111" s="6">
        <v>5.2309115595548699</v>
      </c>
      <c r="K2111" s="6">
        <v>6.03480207872623</v>
      </c>
      <c r="L2111">
        <v>1.11597267657938</v>
      </c>
      <c r="M2111">
        <v>0.78857123423939202</v>
      </c>
    </row>
    <row r="2112" spans="1:13" x14ac:dyDescent="0.25">
      <c r="A2112">
        <v>2506</v>
      </c>
      <c r="B2112" t="str">
        <f>"NCAPG"</f>
        <v>NCAPG</v>
      </c>
      <c r="C2112" t="str">
        <f>""</f>
        <v/>
      </c>
      <c r="D2112">
        <v>114.33</v>
      </c>
      <c r="E2112">
        <v>12.1</v>
      </c>
      <c r="F2112">
        <v>9</v>
      </c>
      <c r="G2112">
        <v>9</v>
      </c>
      <c r="H2112">
        <v>10</v>
      </c>
      <c r="I2112" s="7">
        <v>5.0474863205487202</v>
      </c>
      <c r="J2112" s="6">
        <v>5.2309115595548699</v>
      </c>
      <c r="K2112" s="6">
        <v>6.03480207872623</v>
      </c>
      <c r="L2112">
        <v>1.11597267657938</v>
      </c>
      <c r="M2112">
        <v>0.78857123423939202</v>
      </c>
    </row>
    <row r="2113" spans="1:13" x14ac:dyDescent="0.25">
      <c r="A2113">
        <v>928</v>
      </c>
      <c r="B2113" t="str">
        <f>"KIF5B"</f>
        <v>KIF5B</v>
      </c>
      <c r="C2113" t="str">
        <f>""</f>
        <v/>
      </c>
      <c r="D2113">
        <v>109.68</v>
      </c>
      <c r="E2113">
        <v>8.4</v>
      </c>
      <c r="F2113">
        <v>8</v>
      </c>
      <c r="G2113">
        <v>7</v>
      </c>
      <c r="H2113">
        <v>10</v>
      </c>
      <c r="I2113" s="7">
        <v>4.4866545071544204</v>
      </c>
      <c r="J2113" s="6">
        <v>4.0684867685426802</v>
      </c>
      <c r="K2113" s="6">
        <v>6.03480207872623</v>
      </c>
      <c r="L2113">
        <v>1.12592677140152</v>
      </c>
      <c r="M2113">
        <v>0.78858321023383704</v>
      </c>
    </row>
    <row r="2114" spans="1:13" x14ac:dyDescent="0.25">
      <c r="A2114">
        <v>822</v>
      </c>
      <c r="B2114" t="str">
        <f>"RPS12"</f>
        <v>RPS12</v>
      </c>
      <c r="C2114" t="str">
        <f>""</f>
        <v/>
      </c>
      <c r="D2114">
        <v>14.515000000000001</v>
      </c>
      <c r="E2114">
        <v>9.8000000000000007</v>
      </c>
      <c r="F2114">
        <v>8</v>
      </c>
      <c r="G2114">
        <v>10</v>
      </c>
      <c r="H2114">
        <v>7</v>
      </c>
      <c r="I2114" s="7">
        <v>4.4866545071544204</v>
      </c>
      <c r="J2114" s="6">
        <v>5.8121239550609696</v>
      </c>
      <c r="K2114" s="6">
        <v>4.2243614551083599</v>
      </c>
      <c r="L2114">
        <v>1.1184820888442799</v>
      </c>
      <c r="M2114">
        <v>0.78858331716571395</v>
      </c>
    </row>
    <row r="2115" spans="1:13" x14ac:dyDescent="0.25">
      <c r="A2115">
        <v>1439</v>
      </c>
      <c r="B2115" t="str">
        <f>"FKBP4"</f>
        <v>FKBP4</v>
      </c>
      <c r="C2115" t="str">
        <f>""</f>
        <v/>
      </c>
      <c r="D2115">
        <v>51.804000000000002</v>
      </c>
      <c r="E2115">
        <v>21.4</v>
      </c>
      <c r="F2115">
        <v>8</v>
      </c>
      <c r="G2115">
        <v>10</v>
      </c>
      <c r="H2115">
        <v>7</v>
      </c>
      <c r="I2115" s="7">
        <v>4.4866545071544204</v>
      </c>
      <c r="J2115" s="6">
        <v>5.8121239550609696</v>
      </c>
      <c r="K2115" s="6">
        <v>4.2243614551083599</v>
      </c>
      <c r="L2115">
        <v>1.1184820888442799</v>
      </c>
      <c r="M2115">
        <v>0.78858331716571395</v>
      </c>
    </row>
    <row r="2116" spans="1:13" x14ac:dyDescent="0.25">
      <c r="A2116">
        <v>737</v>
      </c>
      <c r="B2116" t="str">
        <f>"RPL35A"</f>
        <v>RPL35A</v>
      </c>
      <c r="C2116" t="str">
        <f>""</f>
        <v/>
      </c>
      <c r="D2116">
        <v>12.538</v>
      </c>
      <c r="E2116">
        <v>21.8</v>
      </c>
      <c r="F2116">
        <v>9</v>
      </c>
      <c r="G2116">
        <v>8</v>
      </c>
      <c r="H2116">
        <v>11</v>
      </c>
      <c r="I2116" s="7">
        <v>5.0474863205487202</v>
      </c>
      <c r="J2116" s="6">
        <v>4.6496991640487702</v>
      </c>
      <c r="K2116" s="6">
        <v>6.6382822865988498</v>
      </c>
      <c r="L2116">
        <v>1.1181785084481899</v>
      </c>
      <c r="M2116">
        <v>0.788800468597745</v>
      </c>
    </row>
    <row r="2117" spans="1:13" x14ac:dyDescent="0.25">
      <c r="A2117">
        <v>1786</v>
      </c>
      <c r="B2117" t="str">
        <f>"CDO1"</f>
        <v>CDO1</v>
      </c>
      <c r="C2117" t="str">
        <f>""</f>
        <v/>
      </c>
      <c r="D2117">
        <v>22.972000000000001</v>
      </c>
      <c r="E2117">
        <v>3.5</v>
      </c>
      <c r="F2117">
        <v>8</v>
      </c>
      <c r="G2117">
        <v>11</v>
      </c>
      <c r="H2117">
        <v>6</v>
      </c>
      <c r="I2117" s="7">
        <v>4.4866545071544204</v>
      </c>
      <c r="J2117" s="6">
        <v>6.3933363505670604</v>
      </c>
      <c r="K2117" s="6">
        <v>3.6208812472357401</v>
      </c>
      <c r="L2117">
        <v>1.1160005279918599</v>
      </c>
      <c r="M2117">
        <v>0.78912590542245697</v>
      </c>
    </row>
    <row r="2118" spans="1:13" x14ac:dyDescent="0.25">
      <c r="A2118">
        <v>2296</v>
      </c>
      <c r="B2118" t="str">
        <f>"DDX17"</f>
        <v>DDX17</v>
      </c>
      <c r="C2118" t="str">
        <f>""</f>
        <v/>
      </c>
      <c r="D2118">
        <v>80.272000000000006</v>
      </c>
      <c r="E2118">
        <v>17.7</v>
      </c>
      <c r="F2118">
        <v>21</v>
      </c>
      <c r="G2118">
        <v>19</v>
      </c>
      <c r="H2118">
        <v>18</v>
      </c>
      <c r="I2118" s="7">
        <v>11.777468081280301</v>
      </c>
      <c r="J2118" s="6">
        <v>11.0430355146158</v>
      </c>
      <c r="K2118" s="6">
        <v>10.862643741707201</v>
      </c>
      <c r="L2118">
        <v>-1.07528901007539</v>
      </c>
      <c r="M2118">
        <v>0.79253639261550801</v>
      </c>
    </row>
    <row r="2119" spans="1:13" x14ac:dyDescent="0.25">
      <c r="A2119">
        <v>1961</v>
      </c>
      <c r="B2119" t="str">
        <f>"DHRS11"</f>
        <v>DHRS11</v>
      </c>
      <c r="C2119" t="str">
        <f>""</f>
        <v/>
      </c>
      <c r="D2119">
        <v>20.021999999999998</v>
      </c>
      <c r="E2119">
        <v>13.8</v>
      </c>
      <c r="F2119">
        <v>2</v>
      </c>
      <c r="G2119">
        <v>0</v>
      </c>
      <c r="H2119">
        <v>3</v>
      </c>
      <c r="I2119" s="7">
        <v>1.1216636267886</v>
      </c>
      <c r="J2119" s="6">
        <v>0</v>
      </c>
      <c r="K2119" s="6">
        <v>1.8104406236178701</v>
      </c>
      <c r="L2119">
        <v>-1.23910567643709</v>
      </c>
      <c r="M2119">
        <v>0.79581591578343602</v>
      </c>
    </row>
    <row r="2120" spans="1:13" x14ac:dyDescent="0.25">
      <c r="A2120">
        <v>219</v>
      </c>
      <c r="B2120" t="str">
        <f>"EIF4G3"</f>
        <v>EIF4G3</v>
      </c>
      <c r="C2120" t="str">
        <f>""</f>
        <v/>
      </c>
      <c r="D2120">
        <v>146.87</v>
      </c>
      <c r="E2120">
        <v>5.4</v>
      </c>
      <c r="F2120">
        <v>2</v>
      </c>
      <c r="G2120">
        <v>0</v>
      </c>
      <c r="H2120">
        <v>3</v>
      </c>
      <c r="I2120" s="7">
        <v>1.1216636267886</v>
      </c>
      <c r="J2120" s="6">
        <v>0</v>
      </c>
      <c r="K2120" s="6">
        <v>1.8104406236178701</v>
      </c>
      <c r="L2120">
        <v>-1.23910567643709</v>
      </c>
      <c r="M2120">
        <v>0.79581591578343602</v>
      </c>
    </row>
    <row r="2121" spans="1:13" x14ac:dyDescent="0.25">
      <c r="A2121">
        <v>300</v>
      </c>
      <c r="B2121" t="str">
        <f>"PTCD1"</f>
        <v>PTCD1</v>
      </c>
      <c r="C2121" t="str">
        <f>""</f>
        <v/>
      </c>
      <c r="D2121">
        <v>78.855000000000004</v>
      </c>
      <c r="E2121">
        <v>2.6</v>
      </c>
      <c r="F2121">
        <v>2</v>
      </c>
      <c r="G2121">
        <v>0</v>
      </c>
      <c r="H2121">
        <v>3</v>
      </c>
      <c r="I2121" s="7">
        <v>1.1216636267886</v>
      </c>
      <c r="J2121" s="6">
        <v>0</v>
      </c>
      <c r="K2121" s="6">
        <v>1.8104406236178701</v>
      </c>
      <c r="L2121">
        <v>-1.23910567643709</v>
      </c>
      <c r="M2121">
        <v>0.79581591578343602</v>
      </c>
    </row>
    <row r="2122" spans="1:13" x14ac:dyDescent="0.25">
      <c r="A2122">
        <v>2270</v>
      </c>
      <c r="B2122" t="str">
        <f>"RTF1"</f>
        <v>RTF1</v>
      </c>
      <c r="C2122" t="str">
        <f>""</f>
        <v/>
      </c>
      <c r="D2122">
        <v>80.313000000000002</v>
      </c>
      <c r="E2122">
        <v>5.6</v>
      </c>
      <c r="F2122">
        <v>2</v>
      </c>
      <c r="G2122">
        <v>0</v>
      </c>
      <c r="H2122">
        <v>3</v>
      </c>
      <c r="I2122" s="7">
        <v>1.1216636267886</v>
      </c>
      <c r="J2122" s="6">
        <v>0</v>
      </c>
      <c r="K2122" s="6">
        <v>1.8104406236178701</v>
      </c>
      <c r="L2122">
        <v>-1.23910567643709</v>
      </c>
      <c r="M2122">
        <v>0.79581591578343602</v>
      </c>
    </row>
    <row r="2123" spans="1:13" x14ac:dyDescent="0.25">
      <c r="A2123">
        <v>1048</v>
      </c>
      <c r="B2123" t="str">
        <f>"MKI67"</f>
        <v>MKI67</v>
      </c>
      <c r="C2123" t="str">
        <f>""</f>
        <v/>
      </c>
      <c r="D2123">
        <v>358.69</v>
      </c>
      <c r="E2123">
        <v>3.8</v>
      </c>
      <c r="F2123">
        <v>2</v>
      </c>
      <c r="G2123">
        <v>3</v>
      </c>
      <c r="H2123">
        <v>0</v>
      </c>
      <c r="I2123" s="7">
        <v>1.1216636267886</v>
      </c>
      <c r="J2123" s="6">
        <v>1.74363718651829</v>
      </c>
      <c r="K2123" s="6">
        <v>0</v>
      </c>
      <c r="L2123">
        <v>-1.28657915243062</v>
      </c>
      <c r="M2123">
        <v>0.79706320892282001</v>
      </c>
    </row>
    <row r="2124" spans="1:13" x14ac:dyDescent="0.25">
      <c r="A2124">
        <v>629</v>
      </c>
      <c r="B2124" t="str">
        <f>"TROVE2"</f>
        <v>TROVE2</v>
      </c>
      <c r="C2124" t="str">
        <f>""</f>
        <v/>
      </c>
      <c r="D2124">
        <v>23.298999999999999</v>
      </c>
      <c r="E2124">
        <v>4.4000000000000004</v>
      </c>
      <c r="F2124">
        <v>2</v>
      </c>
      <c r="G2124">
        <v>3</v>
      </c>
      <c r="H2124">
        <v>0</v>
      </c>
      <c r="I2124" s="7">
        <v>1.1216636267886</v>
      </c>
      <c r="J2124" s="6">
        <v>1.74363718651829</v>
      </c>
      <c r="K2124" s="6">
        <v>0</v>
      </c>
      <c r="L2124">
        <v>-1.28657915243062</v>
      </c>
      <c r="M2124">
        <v>0.79706320892282001</v>
      </c>
    </row>
    <row r="2125" spans="1:13" x14ac:dyDescent="0.25">
      <c r="A2125">
        <v>2723</v>
      </c>
      <c r="B2125" t="str">
        <f>"PPCS"</f>
        <v>PPCS</v>
      </c>
      <c r="C2125" t="str">
        <f>""</f>
        <v/>
      </c>
      <c r="D2125">
        <v>34.005000000000003</v>
      </c>
      <c r="E2125">
        <v>8.6999999999999993</v>
      </c>
      <c r="F2125">
        <v>2</v>
      </c>
      <c r="G2125">
        <v>3</v>
      </c>
      <c r="H2125">
        <v>0</v>
      </c>
      <c r="I2125" s="7">
        <v>1.1216636267886</v>
      </c>
      <c r="J2125" s="6">
        <v>1.74363718651829</v>
      </c>
      <c r="K2125" s="6">
        <v>0</v>
      </c>
      <c r="L2125">
        <v>-1.28657915243062</v>
      </c>
      <c r="M2125">
        <v>0.79706320892282001</v>
      </c>
    </row>
    <row r="2126" spans="1:13" x14ac:dyDescent="0.25">
      <c r="A2126">
        <v>69</v>
      </c>
      <c r="B2126" t="str">
        <f>""</f>
        <v/>
      </c>
      <c r="C2126" t="str">
        <f>""</f>
        <v/>
      </c>
      <c r="D2126">
        <v>22.06</v>
      </c>
      <c r="E2126">
        <v>11.9</v>
      </c>
      <c r="F2126">
        <v>2</v>
      </c>
      <c r="G2126">
        <v>3</v>
      </c>
      <c r="H2126">
        <v>0</v>
      </c>
      <c r="I2126" s="7">
        <v>1.1216636267886</v>
      </c>
      <c r="J2126" s="6">
        <v>1.74363718651829</v>
      </c>
      <c r="K2126" s="6">
        <v>0</v>
      </c>
      <c r="L2126">
        <v>-1.28657915243062</v>
      </c>
      <c r="M2126">
        <v>0.79706320892282001</v>
      </c>
    </row>
    <row r="2127" spans="1:13" x14ac:dyDescent="0.25">
      <c r="A2127">
        <v>681</v>
      </c>
      <c r="B2127" t="str">
        <f>"APEH"</f>
        <v>APEH</v>
      </c>
      <c r="C2127" t="str">
        <f>""</f>
        <v/>
      </c>
      <c r="D2127">
        <v>81.224000000000004</v>
      </c>
      <c r="E2127">
        <v>2.9</v>
      </c>
      <c r="F2127">
        <v>2</v>
      </c>
      <c r="G2127">
        <v>2</v>
      </c>
      <c r="H2127">
        <v>1</v>
      </c>
      <c r="I2127" s="7">
        <v>1.1216636267886</v>
      </c>
      <c r="J2127" s="6">
        <v>1.1624247910121901</v>
      </c>
      <c r="K2127" s="6">
        <v>0.60348020787262302</v>
      </c>
      <c r="L2127">
        <v>-1.27035557121923</v>
      </c>
      <c r="M2127">
        <v>0.800592938006643</v>
      </c>
    </row>
    <row r="2128" spans="1:13" x14ac:dyDescent="0.25">
      <c r="A2128">
        <v>1677</v>
      </c>
      <c r="B2128" t="str">
        <f>"NUMA1"</f>
        <v>NUMA1</v>
      </c>
      <c r="C2128" t="str">
        <f>""</f>
        <v/>
      </c>
      <c r="D2128">
        <v>236.51</v>
      </c>
      <c r="E2128">
        <v>3.4</v>
      </c>
      <c r="F2128">
        <v>2</v>
      </c>
      <c r="G2128">
        <v>2</v>
      </c>
      <c r="H2128">
        <v>1</v>
      </c>
      <c r="I2128" s="7">
        <v>1.1216636267886</v>
      </c>
      <c r="J2128" s="6">
        <v>1.1624247910121901</v>
      </c>
      <c r="K2128" s="6">
        <v>0.60348020787262302</v>
      </c>
      <c r="L2128">
        <v>-1.27035557121923</v>
      </c>
      <c r="M2128">
        <v>0.800592938006643</v>
      </c>
    </row>
    <row r="2129" spans="1:13" x14ac:dyDescent="0.25">
      <c r="A2129">
        <v>913</v>
      </c>
      <c r="B2129" t="str">
        <f>"UQCRC1"</f>
        <v>UQCRC1</v>
      </c>
      <c r="C2129" t="str">
        <f>""</f>
        <v/>
      </c>
      <c r="D2129">
        <v>52.645000000000003</v>
      </c>
      <c r="E2129">
        <v>5.8</v>
      </c>
      <c r="F2129">
        <v>2</v>
      </c>
      <c r="G2129">
        <v>2</v>
      </c>
      <c r="H2129">
        <v>1</v>
      </c>
      <c r="I2129" s="7">
        <v>1.1216636267886</v>
      </c>
      <c r="J2129" s="6">
        <v>1.1624247910121901</v>
      </c>
      <c r="K2129" s="6">
        <v>0.60348020787262302</v>
      </c>
      <c r="L2129">
        <v>-1.27035557121923</v>
      </c>
      <c r="M2129">
        <v>0.800592938006643</v>
      </c>
    </row>
    <row r="2130" spans="1:13" x14ac:dyDescent="0.25">
      <c r="A2130">
        <v>2134</v>
      </c>
      <c r="B2130" t="str">
        <f>"ABHD12"</f>
        <v>ABHD12</v>
      </c>
      <c r="C2130" t="str">
        <f>""</f>
        <v/>
      </c>
      <c r="D2130">
        <v>41.386000000000003</v>
      </c>
      <c r="E2130">
        <v>3.6</v>
      </c>
      <c r="F2130">
        <v>2</v>
      </c>
      <c r="G2130">
        <v>2</v>
      </c>
      <c r="H2130">
        <v>1</v>
      </c>
      <c r="I2130" s="7">
        <v>1.1216636267886</v>
      </c>
      <c r="J2130" s="6">
        <v>1.1624247910121901</v>
      </c>
      <c r="K2130" s="6">
        <v>0.60348020787262302</v>
      </c>
      <c r="L2130">
        <v>-1.27035557121923</v>
      </c>
      <c r="M2130">
        <v>0.800592938006643</v>
      </c>
    </row>
    <row r="2131" spans="1:13" x14ac:dyDescent="0.25">
      <c r="A2131">
        <v>123</v>
      </c>
      <c r="B2131" t="str">
        <f>"DDX3X;DDX3Y"</f>
        <v>DDX3X;DDX3Y</v>
      </c>
      <c r="C2131" t="str">
        <f>""</f>
        <v/>
      </c>
      <c r="D2131">
        <v>73.242999999999995</v>
      </c>
      <c r="E2131">
        <v>6.9</v>
      </c>
      <c r="F2131">
        <v>2</v>
      </c>
      <c r="G2131">
        <v>2</v>
      </c>
      <c r="H2131">
        <v>1</v>
      </c>
      <c r="I2131" s="7">
        <v>1.1216636267886</v>
      </c>
      <c r="J2131" s="6">
        <v>1.1624247910121901</v>
      </c>
      <c r="K2131" s="6">
        <v>0.60348020787262302</v>
      </c>
      <c r="L2131">
        <v>-1.27035557121923</v>
      </c>
      <c r="M2131">
        <v>0.800592938006643</v>
      </c>
    </row>
    <row r="2132" spans="1:13" x14ac:dyDescent="0.25">
      <c r="A2132">
        <v>148</v>
      </c>
      <c r="B2132" t="str">
        <f>"POLR3A"</f>
        <v>POLR3A</v>
      </c>
      <c r="C2132" t="str">
        <f>""</f>
        <v/>
      </c>
      <c r="D2132">
        <v>155.63999999999999</v>
      </c>
      <c r="E2132">
        <v>4</v>
      </c>
      <c r="F2132">
        <v>2</v>
      </c>
      <c r="G2132">
        <v>2</v>
      </c>
      <c r="H2132">
        <v>1</v>
      </c>
      <c r="I2132" s="7">
        <v>1.1216636267886</v>
      </c>
      <c r="J2132" s="6">
        <v>1.1624247910121901</v>
      </c>
      <c r="K2132" s="6">
        <v>0.60348020787262302</v>
      </c>
      <c r="L2132">
        <v>-1.27035557121923</v>
      </c>
      <c r="M2132">
        <v>0.800592938006643</v>
      </c>
    </row>
    <row r="2133" spans="1:13" x14ac:dyDescent="0.25">
      <c r="A2133">
        <v>294</v>
      </c>
      <c r="B2133" t="str">
        <f>"NBN"</f>
        <v>NBN</v>
      </c>
      <c r="C2133" t="str">
        <f>""</f>
        <v/>
      </c>
      <c r="D2133">
        <v>84.957999999999998</v>
      </c>
      <c r="E2133">
        <v>4.9000000000000004</v>
      </c>
      <c r="F2133">
        <v>2</v>
      </c>
      <c r="G2133">
        <v>2</v>
      </c>
      <c r="H2133">
        <v>1</v>
      </c>
      <c r="I2133" s="7">
        <v>1.1216636267886</v>
      </c>
      <c r="J2133" s="6">
        <v>1.1624247910121901</v>
      </c>
      <c r="K2133" s="6">
        <v>0.60348020787262302</v>
      </c>
      <c r="L2133">
        <v>-1.27035557121923</v>
      </c>
      <c r="M2133">
        <v>0.800592938006643</v>
      </c>
    </row>
    <row r="2134" spans="1:13" x14ac:dyDescent="0.25">
      <c r="A2134">
        <v>714</v>
      </c>
      <c r="B2134" t="str">
        <f>"GCFC2"</f>
        <v>GCFC2</v>
      </c>
      <c r="C2134" t="str">
        <f>""</f>
        <v/>
      </c>
      <c r="D2134">
        <v>84.846000000000004</v>
      </c>
      <c r="E2134">
        <v>3</v>
      </c>
      <c r="F2134">
        <v>2</v>
      </c>
      <c r="G2134">
        <v>2</v>
      </c>
      <c r="H2134">
        <v>1</v>
      </c>
      <c r="I2134" s="7">
        <v>1.1216636267886</v>
      </c>
      <c r="J2134" s="6">
        <v>1.1624247910121901</v>
      </c>
      <c r="K2134" s="6">
        <v>0.60348020787262302</v>
      </c>
      <c r="L2134">
        <v>-1.27035557121923</v>
      </c>
      <c r="M2134">
        <v>0.800592938006643</v>
      </c>
    </row>
    <row r="2135" spans="1:13" x14ac:dyDescent="0.25">
      <c r="A2135">
        <v>898</v>
      </c>
      <c r="B2135" t="str">
        <f>"LRPAP1"</f>
        <v>LRPAP1</v>
      </c>
      <c r="C2135" t="str">
        <f>""</f>
        <v/>
      </c>
      <c r="D2135">
        <v>41.465000000000003</v>
      </c>
      <c r="E2135">
        <v>6.2</v>
      </c>
      <c r="F2135">
        <v>2</v>
      </c>
      <c r="G2135">
        <v>2</v>
      </c>
      <c r="H2135">
        <v>1</v>
      </c>
      <c r="I2135" s="7">
        <v>1.1216636267886</v>
      </c>
      <c r="J2135" s="6">
        <v>1.1624247910121901</v>
      </c>
      <c r="K2135" s="6">
        <v>0.60348020787262302</v>
      </c>
      <c r="L2135">
        <v>-1.27035557121923</v>
      </c>
      <c r="M2135">
        <v>0.800592938006643</v>
      </c>
    </row>
    <row r="2136" spans="1:13" x14ac:dyDescent="0.25">
      <c r="A2136">
        <v>944</v>
      </c>
      <c r="B2136" t="str">
        <f>"RPA3"</f>
        <v>RPA3</v>
      </c>
      <c r="C2136" t="str">
        <f>""</f>
        <v/>
      </c>
      <c r="D2136">
        <v>13.569000000000001</v>
      </c>
      <c r="E2136">
        <v>14</v>
      </c>
      <c r="F2136">
        <v>2</v>
      </c>
      <c r="G2136">
        <v>2</v>
      </c>
      <c r="H2136">
        <v>1</v>
      </c>
      <c r="I2136" s="7">
        <v>1.1216636267886</v>
      </c>
      <c r="J2136" s="6">
        <v>1.1624247910121901</v>
      </c>
      <c r="K2136" s="6">
        <v>0.60348020787262302</v>
      </c>
      <c r="L2136">
        <v>-1.27035557121923</v>
      </c>
      <c r="M2136">
        <v>0.800592938006643</v>
      </c>
    </row>
    <row r="2137" spans="1:13" x14ac:dyDescent="0.25">
      <c r="A2137">
        <v>1046</v>
      </c>
      <c r="B2137" t="str">
        <f>"USP5"</f>
        <v>USP5</v>
      </c>
      <c r="C2137" t="str">
        <f>""</f>
        <v/>
      </c>
      <c r="D2137">
        <v>93.307000000000002</v>
      </c>
      <c r="E2137">
        <v>5.6</v>
      </c>
      <c r="F2137">
        <v>2</v>
      </c>
      <c r="G2137">
        <v>2</v>
      </c>
      <c r="H2137">
        <v>1</v>
      </c>
      <c r="I2137" s="7">
        <v>1.1216636267886</v>
      </c>
      <c r="J2137" s="6">
        <v>1.1624247910121901</v>
      </c>
      <c r="K2137" s="6">
        <v>0.60348020787262302</v>
      </c>
      <c r="L2137">
        <v>-1.27035557121923</v>
      </c>
      <c r="M2137">
        <v>0.800592938006643</v>
      </c>
    </row>
    <row r="2138" spans="1:13" x14ac:dyDescent="0.25">
      <c r="A2138">
        <v>1054</v>
      </c>
      <c r="B2138" t="str">
        <f>"BAG6"</f>
        <v>BAG6</v>
      </c>
      <c r="C2138" t="str">
        <f>""</f>
        <v/>
      </c>
      <c r="D2138">
        <v>96.798000000000002</v>
      </c>
      <c r="E2138">
        <v>3.7</v>
      </c>
      <c r="F2138">
        <v>2</v>
      </c>
      <c r="G2138">
        <v>2</v>
      </c>
      <c r="H2138">
        <v>1</v>
      </c>
      <c r="I2138" s="7">
        <v>1.1216636267886</v>
      </c>
      <c r="J2138" s="6">
        <v>1.1624247910121901</v>
      </c>
      <c r="K2138" s="6">
        <v>0.60348020787262302</v>
      </c>
      <c r="L2138">
        <v>-1.27035557121923</v>
      </c>
      <c r="M2138">
        <v>0.800592938006643</v>
      </c>
    </row>
    <row r="2139" spans="1:13" x14ac:dyDescent="0.25">
      <c r="A2139">
        <v>1235</v>
      </c>
      <c r="B2139" t="str">
        <f>"CASP7"</f>
        <v>CASP7</v>
      </c>
      <c r="C2139" t="str">
        <f>""</f>
        <v/>
      </c>
      <c r="D2139">
        <v>31.614000000000001</v>
      </c>
      <c r="E2139">
        <v>8.3000000000000007</v>
      </c>
      <c r="F2139">
        <v>2</v>
      </c>
      <c r="G2139">
        <v>2</v>
      </c>
      <c r="H2139">
        <v>1</v>
      </c>
      <c r="I2139" s="7">
        <v>1.1216636267886</v>
      </c>
      <c r="J2139" s="6">
        <v>1.1624247910121901</v>
      </c>
      <c r="K2139" s="6">
        <v>0.60348020787262302</v>
      </c>
      <c r="L2139">
        <v>-1.27035557121923</v>
      </c>
      <c r="M2139">
        <v>0.800592938006643</v>
      </c>
    </row>
    <row r="2140" spans="1:13" x14ac:dyDescent="0.25">
      <c r="A2140">
        <v>1256</v>
      </c>
      <c r="B2140" t="str">
        <f>"EEFSEC"</f>
        <v>EEFSEC</v>
      </c>
      <c r="C2140" t="str">
        <f>""</f>
        <v/>
      </c>
      <c r="D2140">
        <v>62.578000000000003</v>
      </c>
      <c r="E2140">
        <v>2.6</v>
      </c>
      <c r="F2140">
        <v>2</v>
      </c>
      <c r="G2140">
        <v>2</v>
      </c>
      <c r="H2140">
        <v>1</v>
      </c>
      <c r="I2140" s="7">
        <v>1.1216636267886</v>
      </c>
      <c r="J2140" s="6">
        <v>1.1624247910121901</v>
      </c>
      <c r="K2140" s="6">
        <v>0.60348020787262302</v>
      </c>
      <c r="L2140">
        <v>-1.27035557121923</v>
      </c>
      <c r="M2140">
        <v>0.800592938006643</v>
      </c>
    </row>
    <row r="2141" spans="1:13" x14ac:dyDescent="0.25">
      <c r="A2141">
        <v>1294</v>
      </c>
      <c r="B2141" t="str">
        <f>"HSPE1"</f>
        <v>HSPE1</v>
      </c>
      <c r="C2141" t="str">
        <f>""</f>
        <v/>
      </c>
      <c r="D2141">
        <v>10.932</v>
      </c>
      <c r="E2141">
        <v>25.5</v>
      </c>
      <c r="F2141">
        <v>2</v>
      </c>
      <c r="G2141">
        <v>2</v>
      </c>
      <c r="H2141">
        <v>1</v>
      </c>
      <c r="I2141" s="7">
        <v>1.1216636267886</v>
      </c>
      <c r="J2141" s="6">
        <v>1.1624247910121901</v>
      </c>
      <c r="K2141" s="6">
        <v>0.60348020787262302</v>
      </c>
      <c r="L2141">
        <v>-1.27035557121923</v>
      </c>
      <c r="M2141">
        <v>0.800592938006643</v>
      </c>
    </row>
    <row r="2142" spans="1:13" x14ac:dyDescent="0.25">
      <c r="A2142">
        <v>1446</v>
      </c>
      <c r="B2142" t="str">
        <f>"MLLT1"</f>
        <v>MLLT1</v>
      </c>
      <c r="C2142" t="str">
        <f>""</f>
        <v/>
      </c>
      <c r="D2142">
        <v>62.055</v>
      </c>
      <c r="E2142">
        <v>2</v>
      </c>
      <c r="F2142">
        <v>2</v>
      </c>
      <c r="G2142">
        <v>2</v>
      </c>
      <c r="H2142">
        <v>1</v>
      </c>
      <c r="I2142" s="7">
        <v>1.1216636267886</v>
      </c>
      <c r="J2142" s="6">
        <v>1.1624247910121901</v>
      </c>
      <c r="K2142" s="6">
        <v>0.60348020787262302</v>
      </c>
      <c r="L2142">
        <v>-1.27035557121923</v>
      </c>
      <c r="M2142">
        <v>0.800592938006643</v>
      </c>
    </row>
    <row r="2143" spans="1:13" x14ac:dyDescent="0.25">
      <c r="A2143">
        <v>1520</v>
      </c>
      <c r="B2143" t="str">
        <f>"EPS8"</f>
        <v>EPS8</v>
      </c>
      <c r="C2143" t="str">
        <f>""</f>
        <v/>
      </c>
      <c r="D2143">
        <v>91.88</v>
      </c>
      <c r="E2143">
        <v>1.9</v>
      </c>
      <c r="F2143">
        <v>2</v>
      </c>
      <c r="G2143">
        <v>2</v>
      </c>
      <c r="H2143">
        <v>1</v>
      </c>
      <c r="I2143" s="7">
        <v>1.1216636267886</v>
      </c>
      <c r="J2143" s="6">
        <v>1.1624247910121901</v>
      </c>
      <c r="K2143" s="6">
        <v>0.60348020787262302</v>
      </c>
      <c r="L2143">
        <v>-1.27035557121923</v>
      </c>
      <c r="M2143">
        <v>0.800592938006643</v>
      </c>
    </row>
    <row r="2144" spans="1:13" x14ac:dyDescent="0.25">
      <c r="A2144">
        <v>1733</v>
      </c>
      <c r="B2144" t="str">
        <f>"TAF5"</f>
        <v>TAF5</v>
      </c>
      <c r="C2144" t="str">
        <f>""</f>
        <v/>
      </c>
      <c r="D2144">
        <v>80.507000000000005</v>
      </c>
      <c r="E2144">
        <v>4.4000000000000004</v>
      </c>
      <c r="F2144">
        <v>2</v>
      </c>
      <c r="G2144">
        <v>2</v>
      </c>
      <c r="H2144">
        <v>1</v>
      </c>
      <c r="I2144" s="7">
        <v>1.1216636267886</v>
      </c>
      <c r="J2144" s="6">
        <v>1.1624247910121901</v>
      </c>
      <c r="K2144" s="6">
        <v>0.60348020787262302</v>
      </c>
      <c r="L2144">
        <v>-1.27035557121923</v>
      </c>
      <c r="M2144">
        <v>0.800592938006643</v>
      </c>
    </row>
    <row r="2145" spans="1:13" x14ac:dyDescent="0.25">
      <c r="A2145">
        <v>1755</v>
      </c>
      <c r="B2145" t="str">
        <f>"ADRM1"</f>
        <v>ADRM1</v>
      </c>
      <c r="C2145" t="str">
        <f>""</f>
        <v/>
      </c>
      <c r="D2145">
        <v>42.152999999999999</v>
      </c>
      <c r="E2145">
        <v>4.9000000000000004</v>
      </c>
      <c r="F2145">
        <v>2</v>
      </c>
      <c r="G2145">
        <v>2</v>
      </c>
      <c r="H2145">
        <v>1</v>
      </c>
      <c r="I2145" s="7">
        <v>1.1216636267886</v>
      </c>
      <c r="J2145" s="6">
        <v>1.1624247910121901</v>
      </c>
      <c r="K2145" s="6">
        <v>0.60348020787262302</v>
      </c>
      <c r="L2145">
        <v>-1.27035557121923</v>
      </c>
      <c r="M2145">
        <v>0.800592938006643</v>
      </c>
    </row>
    <row r="2146" spans="1:13" x14ac:dyDescent="0.25">
      <c r="A2146">
        <v>1916</v>
      </c>
      <c r="B2146" t="str">
        <f>"NIPBL"</f>
        <v>NIPBL</v>
      </c>
      <c r="C2146" t="str">
        <f>""</f>
        <v/>
      </c>
      <c r="D2146">
        <v>316.05</v>
      </c>
      <c r="E2146">
        <v>2.4</v>
      </c>
      <c r="F2146">
        <v>2</v>
      </c>
      <c r="G2146">
        <v>2</v>
      </c>
      <c r="H2146">
        <v>1</v>
      </c>
      <c r="I2146" s="7">
        <v>1.1216636267886</v>
      </c>
      <c r="J2146" s="6">
        <v>1.1624247910121901</v>
      </c>
      <c r="K2146" s="6">
        <v>0.60348020787262302</v>
      </c>
      <c r="L2146">
        <v>-1.27035557121923</v>
      </c>
      <c r="M2146">
        <v>0.800592938006643</v>
      </c>
    </row>
    <row r="2147" spans="1:13" x14ac:dyDescent="0.25">
      <c r="A2147">
        <v>1959</v>
      </c>
      <c r="B2147" t="str">
        <f>"KDELC1"</f>
        <v>KDELC1</v>
      </c>
      <c r="C2147" t="str">
        <f>""</f>
        <v/>
      </c>
      <c r="D2147">
        <v>58.042000000000002</v>
      </c>
      <c r="E2147">
        <v>4</v>
      </c>
      <c r="F2147">
        <v>2</v>
      </c>
      <c r="G2147">
        <v>2</v>
      </c>
      <c r="H2147">
        <v>1</v>
      </c>
      <c r="I2147" s="7">
        <v>1.1216636267886</v>
      </c>
      <c r="J2147" s="6">
        <v>1.1624247910121901</v>
      </c>
      <c r="K2147" s="6">
        <v>0.60348020787262302</v>
      </c>
      <c r="L2147">
        <v>-1.27035557121923</v>
      </c>
      <c r="M2147">
        <v>0.800592938006643</v>
      </c>
    </row>
    <row r="2148" spans="1:13" x14ac:dyDescent="0.25">
      <c r="A2148">
        <v>2074</v>
      </c>
      <c r="B2148" t="str">
        <f>"ANKLE2"</f>
        <v>ANKLE2</v>
      </c>
      <c r="C2148" t="str">
        <f>""</f>
        <v/>
      </c>
      <c r="D2148">
        <v>104.11</v>
      </c>
      <c r="E2148">
        <v>4.7</v>
      </c>
      <c r="F2148">
        <v>2</v>
      </c>
      <c r="G2148">
        <v>2</v>
      </c>
      <c r="H2148">
        <v>1</v>
      </c>
      <c r="I2148" s="7">
        <v>1.1216636267886</v>
      </c>
      <c r="J2148" s="6">
        <v>1.1624247910121901</v>
      </c>
      <c r="K2148" s="6">
        <v>0.60348020787262302</v>
      </c>
      <c r="L2148">
        <v>-1.27035557121923</v>
      </c>
      <c r="M2148">
        <v>0.800592938006643</v>
      </c>
    </row>
    <row r="2149" spans="1:13" x14ac:dyDescent="0.25">
      <c r="A2149">
        <v>2165</v>
      </c>
      <c r="B2149" t="str">
        <f>"LRRC57"</f>
        <v>LRRC57</v>
      </c>
      <c r="C2149" t="str">
        <f>""</f>
        <v/>
      </c>
      <c r="D2149">
        <v>26.754000000000001</v>
      </c>
      <c r="E2149">
        <v>9.6</v>
      </c>
      <c r="F2149">
        <v>2</v>
      </c>
      <c r="G2149">
        <v>2</v>
      </c>
      <c r="H2149">
        <v>1</v>
      </c>
      <c r="I2149" s="7">
        <v>1.1216636267886</v>
      </c>
      <c r="J2149" s="6">
        <v>1.1624247910121901</v>
      </c>
      <c r="K2149" s="6">
        <v>0.60348020787262302</v>
      </c>
      <c r="L2149">
        <v>-1.27035557121923</v>
      </c>
      <c r="M2149">
        <v>0.800592938006643</v>
      </c>
    </row>
    <row r="2150" spans="1:13" x14ac:dyDescent="0.25">
      <c r="A2150">
        <v>2305</v>
      </c>
      <c r="B2150" t="str">
        <f>"SMARCC1;SMARCC2"</f>
        <v>SMARCC1;SMARCC2</v>
      </c>
      <c r="C2150" t="str">
        <f>""</f>
        <v/>
      </c>
      <c r="D2150">
        <v>122.87</v>
      </c>
      <c r="E2150">
        <v>2.9</v>
      </c>
      <c r="F2150">
        <v>2</v>
      </c>
      <c r="G2150">
        <v>2</v>
      </c>
      <c r="H2150">
        <v>1</v>
      </c>
      <c r="I2150" s="7">
        <v>1.1216636267886</v>
      </c>
      <c r="J2150" s="6">
        <v>1.1624247910121901</v>
      </c>
      <c r="K2150" s="6">
        <v>0.60348020787262302</v>
      </c>
      <c r="L2150">
        <v>-1.27035557121923</v>
      </c>
      <c r="M2150">
        <v>0.800592938006643</v>
      </c>
    </row>
    <row r="2151" spans="1:13" x14ac:dyDescent="0.25">
      <c r="A2151">
        <v>2319</v>
      </c>
      <c r="B2151" t="str">
        <f>"PIGT"</f>
        <v>PIGT</v>
      </c>
      <c r="C2151" t="str">
        <f>""</f>
        <v/>
      </c>
      <c r="D2151">
        <v>54.118000000000002</v>
      </c>
      <c r="E2151">
        <v>4.5999999999999996</v>
      </c>
      <c r="F2151">
        <v>2</v>
      </c>
      <c r="G2151">
        <v>2</v>
      </c>
      <c r="H2151">
        <v>1</v>
      </c>
      <c r="I2151" s="7">
        <v>1.1216636267886</v>
      </c>
      <c r="J2151" s="6">
        <v>1.1624247910121901</v>
      </c>
      <c r="K2151" s="6">
        <v>0.60348020787262302</v>
      </c>
      <c r="L2151">
        <v>-1.27035557121923</v>
      </c>
      <c r="M2151">
        <v>0.800592938006643</v>
      </c>
    </row>
    <row r="2152" spans="1:13" x14ac:dyDescent="0.25">
      <c r="A2152">
        <v>2612</v>
      </c>
      <c r="B2152" t="str">
        <f>"ASPSCR1"</f>
        <v>ASPSCR1</v>
      </c>
      <c r="C2152" t="str">
        <f>""</f>
        <v/>
      </c>
      <c r="D2152">
        <v>37.908999999999999</v>
      </c>
      <c r="E2152">
        <v>4.9000000000000004</v>
      </c>
      <c r="F2152">
        <v>2</v>
      </c>
      <c r="G2152">
        <v>2</v>
      </c>
      <c r="H2152">
        <v>1</v>
      </c>
      <c r="I2152" s="7">
        <v>1.1216636267886</v>
      </c>
      <c r="J2152" s="6">
        <v>1.1624247910121901</v>
      </c>
      <c r="K2152" s="6">
        <v>0.60348020787262302</v>
      </c>
      <c r="L2152">
        <v>-1.27035557121923</v>
      </c>
      <c r="M2152">
        <v>0.800592938006643</v>
      </c>
    </row>
    <row r="2153" spans="1:13" x14ac:dyDescent="0.25">
      <c r="A2153">
        <v>2626</v>
      </c>
      <c r="B2153" t="str">
        <f>"WDR12"</f>
        <v>WDR12</v>
      </c>
      <c r="C2153" t="str">
        <f>""</f>
        <v/>
      </c>
      <c r="D2153">
        <v>47.707000000000001</v>
      </c>
      <c r="E2153">
        <v>4</v>
      </c>
      <c r="F2153">
        <v>2</v>
      </c>
      <c r="G2153">
        <v>2</v>
      </c>
      <c r="H2153">
        <v>1</v>
      </c>
      <c r="I2153" s="7">
        <v>1.1216636267886</v>
      </c>
      <c r="J2153" s="6">
        <v>1.1624247910121901</v>
      </c>
      <c r="K2153" s="6">
        <v>0.60348020787262302</v>
      </c>
      <c r="L2153">
        <v>-1.27035557121923</v>
      </c>
      <c r="M2153">
        <v>0.800592938006643</v>
      </c>
    </row>
    <row r="2154" spans="1:13" x14ac:dyDescent="0.25">
      <c r="A2154">
        <v>2936</v>
      </c>
      <c r="B2154" t="str">
        <f>"ABCF2"</f>
        <v>ABCF2</v>
      </c>
      <c r="C2154" t="str">
        <f>""</f>
        <v/>
      </c>
      <c r="D2154">
        <v>71.289000000000001</v>
      </c>
      <c r="E2154">
        <v>6.7</v>
      </c>
      <c r="F2154">
        <v>2</v>
      </c>
      <c r="G2154">
        <v>2</v>
      </c>
      <c r="H2154">
        <v>1</v>
      </c>
      <c r="I2154" s="7">
        <v>1.1216636267886</v>
      </c>
      <c r="J2154" s="6">
        <v>1.1624247910121901</v>
      </c>
      <c r="K2154" s="6">
        <v>0.60348020787262302</v>
      </c>
      <c r="L2154">
        <v>-1.27035557121923</v>
      </c>
      <c r="M2154">
        <v>0.800592938006643</v>
      </c>
    </row>
    <row r="2155" spans="1:13" x14ac:dyDescent="0.25">
      <c r="A2155">
        <v>2944</v>
      </c>
      <c r="B2155" t="str">
        <f>"AFF4"</f>
        <v>AFF4</v>
      </c>
      <c r="C2155" t="str">
        <f>""</f>
        <v/>
      </c>
      <c r="D2155">
        <v>98.203999999999994</v>
      </c>
      <c r="E2155">
        <v>0.9</v>
      </c>
      <c r="F2155">
        <v>2</v>
      </c>
      <c r="G2155">
        <v>2</v>
      </c>
      <c r="H2155">
        <v>1</v>
      </c>
      <c r="I2155" s="7">
        <v>1.1216636267886</v>
      </c>
      <c r="J2155" s="6">
        <v>1.1624247910121901</v>
      </c>
      <c r="K2155" s="6">
        <v>0.60348020787262302</v>
      </c>
      <c r="L2155">
        <v>-1.27035557121923</v>
      </c>
      <c r="M2155">
        <v>0.800592938006643</v>
      </c>
    </row>
    <row r="2156" spans="1:13" x14ac:dyDescent="0.25">
      <c r="A2156">
        <v>3011</v>
      </c>
      <c r="B2156" t="str">
        <f>"SSR3"</f>
        <v>SSR3</v>
      </c>
      <c r="C2156" t="str">
        <f>""</f>
        <v/>
      </c>
      <c r="D2156">
        <v>21.08</v>
      </c>
      <c r="E2156">
        <v>7.6</v>
      </c>
      <c r="F2156">
        <v>2</v>
      </c>
      <c r="G2156">
        <v>2</v>
      </c>
      <c r="H2156">
        <v>1</v>
      </c>
      <c r="I2156" s="7">
        <v>1.1216636267886</v>
      </c>
      <c r="J2156" s="6">
        <v>1.1624247910121901</v>
      </c>
      <c r="K2156" s="6">
        <v>0.60348020787262302</v>
      </c>
      <c r="L2156">
        <v>-1.27035557121923</v>
      </c>
      <c r="M2156">
        <v>0.800592938006643</v>
      </c>
    </row>
    <row r="2157" spans="1:13" x14ac:dyDescent="0.25">
      <c r="A2157">
        <v>3096</v>
      </c>
      <c r="B2157" t="str">
        <f>"AK6"</f>
        <v>AK6</v>
      </c>
      <c r="C2157" t="str">
        <f>""</f>
        <v/>
      </c>
      <c r="D2157">
        <v>20.061</v>
      </c>
      <c r="E2157">
        <v>24.4</v>
      </c>
      <c r="F2157">
        <v>2</v>
      </c>
      <c r="G2157">
        <v>2</v>
      </c>
      <c r="H2157">
        <v>1</v>
      </c>
      <c r="I2157" s="7">
        <v>1.1216636267886</v>
      </c>
      <c r="J2157" s="6">
        <v>1.1624247910121901</v>
      </c>
      <c r="K2157" s="6">
        <v>0.60348020787262302</v>
      </c>
      <c r="L2157">
        <v>-1.27035557121923</v>
      </c>
      <c r="M2157">
        <v>0.800592938006643</v>
      </c>
    </row>
    <row r="2158" spans="1:13" x14ac:dyDescent="0.25">
      <c r="A2158">
        <v>3123</v>
      </c>
      <c r="B2158" t="str">
        <f>"PPME1"</f>
        <v>PPME1</v>
      </c>
      <c r="C2158" t="str">
        <f>""</f>
        <v/>
      </c>
      <c r="D2158">
        <v>42.314999999999998</v>
      </c>
      <c r="E2158">
        <v>11.7</v>
      </c>
      <c r="F2158">
        <v>2</v>
      </c>
      <c r="G2158">
        <v>2</v>
      </c>
      <c r="H2158">
        <v>1</v>
      </c>
      <c r="I2158" s="7">
        <v>1.1216636267886</v>
      </c>
      <c r="J2158" s="6">
        <v>1.1624247910121901</v>
      </c>
      <c r="K2158" s="6">
        <v>0.60348020787262302</v>
      </c>
      <c r="L2158">
        <v>-1.27035557121923</v>
      </c>
      <c r="M2158">
        <v>0.800592938006643</v>
      </c>
    </row>
    <row r="2159" spans="1:13" x14ac:dyDescent="0.25">
      <c r="A2159">
        <v>1306</v>
      </c>
      <c r="B2159" t="str">
        <f>"PSMC1"</f>
        <v>PSMC1</v>
      </c>
      <c r="C2159" t="str">
        <f>""</f>
        <v/>
      </c>
      <c r="D2159">
        <v>49.183999999999997</v>
      </c>
      <c r="E2159">
        <v>13.9</v>
      </c>
      <c r="F2159">
        <v>2</v>
      </c>
      <c r="G2159">
        <v>1</v>
      </c>
      <c r="H2159">
        <v>2</v>
      </c>
      <c r="I2159" s="7">
        <v>1.1216636267886</v>
      </c>
      <c r="J2159" s="6">
        <v>0.58121239550609605</v>
      </c>
      <c r="K2159" s="6">
        <v>1.20696041574525</v>
      </c>
      <c r="L2159">
        <v>-1.25453604901159</v>
      </c>
      <c r="M2159">
        <v>0.80059296080367603</v>
      </c>
    </row>
    <row r="2160" spans="1:13" x14ac:dyDescent="0.25">
      <c r="A2160">
        <v>3047</v>
      </c>
      <c r="B2160" t="str">
        <f>"FARSA"</f>
        <v>FARSA</v>
      </c>
      <c r="C2160" t="str">
        <f>""</f>
        <v/>
      </c>
      <c r="D2160">
        <v>54.156999999999996</v>
      </c>
      <c r="E2160">
        <v>1.5</v>
      </c>
      <c r="F2160">
        <v>2</v>
      </c>
      <c r="G2160">
        <v>1</v>
      </c>
      <c r="H2160">
        <v>2</v>
      </c>
      <c r="I2160" s="7">
        <v>1.1216636267886</v>
      </c>
      <c r="J2160" s="6">
        <v>0.58121239550609605</v>
      </c>
      <c r="K2160" s="6">
        <v>1.20696041574525</v>
      </c>
      <c r="L2160">
        <v>-1.25453604901159</v>
      </c>
      <c r="M2160">
        <v>0.80059296080367603</v>
      </c>
    </row>
    <row r="2161" spans="1:13" x14ac:dyDescent="0.25">
      <c r="A2161">
        <v>57</v>
      </c>
      <c r="B2161" t="str">
        <f>"KRT4"</f>
        <v>KRT4</v>
      </c>
      <c r="C2161" t="str">
        <f>""</f>
        <v/>
      </c>
      <c r="D2161">
        <v>63.91</v>
      </c>
      <c r="E2161">
        <v>12.8</v>
      </c>
      <c r="F2161">
        <v>2</v>
      </c>
      <c r="G2161">
        <v>1</v>
      </c>
      <c r="H2161">
        <v>2</v>
      </c>
      <c r="I2161" s="7">
        <v>1.1216636267886</v>
      </c>
      <c r="J2161" s="6">
        <v>0.58121239550609605</v>
      </c>
      <c r="K2161" s="6">
        <v>1.20696041574525</v>
      </c>
      <c r="L2161">
        <v>-1.25453604901159</v>
      </c>
      <c r="M2161">
        <v>0.80059296080367603</v>
      </c>
    </row>
    <row r="2162" spans="1:13" x14ac:dyDescent="0.25">
      <c r="A2162">
        <v>2236</v>
      </c>
      <c r="B2162" t="str">
        <f>"GTF3C2"</f>
        <v>GTF3C2</v>
      </c>
      <c r="C2162" t="str">
        <f>""</f>
        <v/>
      </c>
      <c r="D2162">
        <v>64.001999999999995</v>
      </c>
      <c r="E2162">
        <v>3.6</v>
      </c>
      <c r="F2162">
        <v>2</v>
      </c>
      <c r="G2162">
        <v>1</v>
      </c>
      <c r="H2162">
        <v>2</v>
      </c>
      <c r="I2162" s="7">
        <v>1.1216636267886</v>
      </c>
      <c r="J2162" s="6">
        <v>0.58121239550609605</v>
      </c>
      <c r="K2162" s="6">
        <v>1.20696041574525</v>
      </c>
      <c r="L2162">
        <v>-1.25453604901159</v>
      </c>
      <c r="M2162">
        <v>0.80059296080367603</v>
      </c>
    </row>
    <row r="2163" spans="1:13" x14ac:dyDescent="0.25">
      <c r="A2163">
        <v>504</v>
      </c>
      <c r="B2163" t="str">
        <f>"GBA"</f>
        <v>GBA</v>
      </c>
      <c r="C2163" t="str">
        <f>""</f>
        <v/>
      </c>
      <c r="D2163">
        <v>50.316000000000003</v>
      </c>
      <c r="E2163">
        <v>8.9</v>
      </c>
      <c r="F2163">
        <v>2</v>
      </c>
      <c r="G2163">
        <v>1</v>
      </c>
      <c r="H2163">
        <v>2</v>
      </c>
      <c r="I2163" s="7">
        <v>1.1216636267886</v>
      </c>
      <c r="J2163" s="6">
        <v>0.58121239550609605</v>
      </c>
      <c r="K2163" s="6">
        <v>1.20696041574525</v>
      </c>
      <c r="L2163">
        <v>-1.25453604901159</v>
      </c>
      <c r="M2163">
        <v>0.80059296080367603</v>
      </c>
    </row>
    <row r="2164" spans="1:13" x14ac:dyDescent="0.25">
      <c r="A2164">
        <v>2978</v>
      </c>
      <c r="B2164" t="str">
        <f>"RALY"</f>
        <v>RALY</v>
      </c>
      <c r="C2164" t="str">
        <f>""</f>
        <v/>
      </c>
      <c r="D2164">
        <v>30.364000000000001</v>
      </c>
      <c r="E2164">
        <v>3.8</v>
      </c>
      <c r="F2164">
        <v>2</v>
      </c>
      <c r="G2164">
        <v>1</v>
      </c>
      <c r="H2164">
        <v>2</v>
      </c>
      <c r="I2164" s="7">
        <v>1.1216636267886</v>
      </c>
      <c r="J2164" s="6">
        <v>0.58121239550609605</v>
      </c>
      <c r="K2164" s="6">
        <v>1.20696041574525</v>
      </c>
      <c r="L2164">
        <v>-1.25453604901159</v>
      </c>
      <c r="M2164">
        <v>0.80059296080367603</v>
      </c>
    </row>
    <row r="2165" spans="1:13" x14ac:dyDescent="0.25">
      <c r="A2165">
        <v>140</v>
      </c>
      <c r="B2165" t="str">
        <f>"MAP2K7"</f>
        <v>MAP2K7</v>
      </c>
      <c r="C2165" t="str">
        <f>"MAP2K7"</f>
        <v>MAP2K7</v>
      </c>
      <c r="D2165">
        <v>47.484000000000002</v>
      </c>
      <c r="E2165">
        <v>6.9</v>
      </c>
      <c r="F2165">
        <v>2</v>
      </c>
      <c r="G2165">
        <v>1</v>
      </c>
      <c r="H2165">
        <v>2</v>
      </c>
      <c r="I2165" s="7">
        <v>1.1216636267886</v>
      </c>
      <c r="J2165" s="6">
        <v>0.58121239550609605</v>
      </c>
      <c r="K2165" s="6">
        <v>1.20696041574525</v>
      </c>
      <c r="L2165">
        <v>-1.25453604901159</v>
      </c>
      <c r="M2165">
        <v>0.80059296080367603</v>
      </c>
    </row>
    <row r="2166" spans="1:13" x14ac:dyDescent="0.25">
      <c r="A2166">
        <v>161</v>
      </c>
      <c r="B2166" t="str">
        <f>"BTAF1"</f>
        <v>BTAF1</v>
      </c>
      <c r="C2166" t="str">
        <f>""</f>
        <v/>
      </c>
      <c r="D2166">
        <v>206.89</v>
      </c>
      <c r="E2166">
        <v>0.6</v>
      </c>
      <c r="F2166">
        <v>2</v>
      </c>
      <c r="G2166">
        <v>1</v>
      </c>
      <c r="H2166">
        <v>2</v>
      </c>
      <c r="I2166" s="7">
        <v>1.1216636267886</v>
      </c>
      <c r="J2166" s="6">
        <v>0.58121239550609605</v>
      </c>
      <c r="K2166" s="6">
        <v>1.20696041574525</v>
      </c>
      <c r="L2166">
        <v>-1.25453604901159</v>
      </c>
      <c r="M2166">
        <v>0.80059296080367603</v>
      </c>
    </row>
    <row r="2167" spans="1:13" x14ac:dyDescent="0.25">
      <c r="A2167">
        <v>177</v>
      </c>
      <c r="B2167" t="str">
        <f>"NKRF"</f>
        <v>NKRF</v>
      </c>
      <c r="C2167" t="str">
        <f>""</f>
        <v/>
      </c>
      <c r="D2167">
        <v>77.671999999999997</v>
      </c>
      <c r="E2167">
        <v>3.9</v>
      </c>
      <c r="F2167">
        <v>2</v>
      </c>
      <c r="G2167">
        <v>1</v>
      </c>
      <c r="H2167">
        <v>2</v>
      </c>
      <c r="I2167" s="7">
        <v>1.1216636267886</v>
      </c>
      <c r="J2167" s="6">
        <v>0.58121239550609605</v>
      </c>
      <c r="K2167" s="6">
        <v>1.20696041574525</v>
      </c>
      <c r="L2167">
        <v>-1.25453604901159</v>
      </c>
      <c r="M2167">
        <v>0.80059296080367603</v>
      </c>
    </row>
    <row r="2168" spans="1:13" x14ac:dyDescent="0.25">
      <c r="A2168">
        <v>1385</v>
      </c>
      <c r="B2168" t="str">
        <f>"TMF1"</f>
        <v>TMF1</v>
      </c>
      <c r="C2168" t="str">
        <f>""</f>
        <v/>
      </c>
      <c r="D2168">
        <v>122.84</v>
      </c>
      <c r="E2168">
        <v>2.5</v>
      </c>
      <c r="F2168">
        <v>2</v>
      </c>
      <c r="G2168">
        <v>1</v>
      </c>
      <c r="H2168">
        <v>2</v>
      </c>
      <c r="I2168" s="7">
        <v>1.1216636267886</v>
      </c>
      <c r="J2168" s="6">
        <v>0.58121239550609605</v>
      </c>
      <c r="K2168" s="6">
        <v>1.20696041574525</v>
      </c>
      <c r="L2168">
        <v>-1.25453604901159</v>
      </c>
      <c r="M2168">
        <v>0.80059296080367603</v>
      </c>
    </row>
    <row r="2169" spans="1:13" x14ac:dyDescent="0.25">
      <c r="A2169">
        <v>1509</v>
      </c>
      <c r="B2169" t="str">
        <f>"ASPH"</f>
        <v>ASPH</v>
      </c>
      <c r="C2169" t="str">
        <f>""</f>
        <v/>
      </c>
      <c r="D2169">
        <v>83.266999999999996</v>
      </c>
      <c r="E2169">
        <v>4.9000000000000004</v>
      </c>
      <c r="F2169">
        <v>2</v>
      </c>
      <c r="G2169">
        <v>1</v>
      </c>
      <c r="H2169">
        <v>2</v>
      </c>
      <c r="I2169" s="7">
        <v>1.1216636267886</v>
      </c>
      <c r="J2169" s="6">
        <v>0.58121239550609605</v>
      </c>
      <c r="K2169" s="6">
        <v>1.20696041574525</v>
      </c>
      <c r="L2169">
        <v>-1.25453604901159</v>
      </c>
      <c r="M2169">
        <v>0.80059296080367603</v>
      </c>
    </row>
    <row r="2170" spans="1:13" x14ac:dyDescent="0.25">
      <c r="A2170">
        <v>1529</v>
      </c>
      <c r="B2170" t="str">
        <f>"CSTF3"</f>
        <v>CSTF3</v>
      </c>
      <c r="C2170" t="str">
        <f>""</f>
        <v/>
      </c>
      <c r="D2170">
        <v>82.921000000000006</v>
      </c>
      <c r="E2170">
        <v>5.3</v>
      </c>
      <c r="F2170">
        <v>2</v>
      </c>
      <c r="G2170">
        <v>1</v>
      </c>
      <c r="H2170">
        <v>2</v>
      </c>
      <c r="I2170" s="7">
        <v>1.1216636267886</v>
      </c>
      <c r="J2170" s="6">
        <v>0.58121239550609605</v>
      </c>
      <c r="K2170" s="6">
        <v>1.20696041574525</v>
      </c>
      <c r="L2170">
        <v>-1.25453604901159</v>
      </c>
      <c r="M2170">
        <v>0.80059296080367603</v>
      </c>
    </row>
    <row r="2171" spans="1:13" x14ac:dyDescent="0.25">
      <c r="A2171">
        <v>1584</v>
      </c>
      <c r="B2171" t="str">
        <f>"CAMK2G;CAMK2B;CAMK2D;CAMK2A"</f>
        <v>CAMK2G;CAMK2B;CAMK2D;CAMK2A</v>
      </c>
      <c r="C2171" t="str">
        <f>"CAMK2G;CAMK2B;CAMK2D;CAMK2A"</f>
        <v>CAMK2G;CAMK2B;CAMK2D;CAMK2A</v>
      </c>
      <c r="D2171">
        <v>60.201000000000001</v>
      </c>
      <c r="E2171">
        <v>5.6</v>
      </c>
      <c r="F2171">
        <v>2</v>
      </c>
      <c r="G2171">
        <v>1</v>
      </c>
      <c r="H2171">
        <v>2</v>
      </c>
      <c r="I2171" s="7">
        <v>1.1216636267886</v>
      </c>
      <c r="J2171" s="6">
        <v>0.58121239550609605</v>
      </c>
      <c r="K2171" s="6">
        <v>1.20696041574525</v>
      </c>
      <c r="L2171">
        <v>-1.25453604901159</v>
      </c>
      <c r="M2171">
        <v>0.80059296080367603</v>
      </c>
    </row>
    <row r="2172" spans="1:13" x14ac:dyDescent="0.25">
      <c r="A2172">
        <v>1612</v>
      </c>
      <c r="B2172" t="str">
        <f>"CBFB"</f>
        <v>CBFB</v>
      </c>
      <c r="C2172" t="str">
        <f>""</f>
        <v/>
      </c>
      <c r="D2172">
        <v>21.507999999999999</v>
      </c>
      <c r="E2172">
        <v>21.4</v>
      </c>
      <c r="F2172">
        <v>2</v>
      </c>
      <c r="G2172">
        <v>1</v>
      </c>
      <c r="H2172">
        <v>2</v>
      </c>
      <c r="I2172" s="7">
        <v>1.1216636267886</v>
      </c>
      <c r="J2172" s="6">
        <v>0.58121239550609605</v>
      </c>
      <c r="K2172" s="6">
        <v>1.20696041574525</v>
      </c>
      <c r="L2172">
        <v>-1.25453604901159</v>
      </c>
      <c r="M2172">
        <v>0.80059296080367603</v>
      </c>
    </row>
    <row r="2173" spans="1:13" x14ac:dyDescent="0.25">
      <c r="A2173">
        <v>1620</v>
      </c>
      <c r="B2173" t="str">
        <f>"UBE4A"</f>
        <v>UBE4A</v>
      </c>
      <c r="C2173" t="str">
        <f>""</f>
        <v/>
      </c>
      <c r="D2173">
        <v>122.56</v>
      </c>
      <c r="E2173">
        <v>2.4</v>
      </c>
      <c r="F2173">
        <v>2</v>
      </c>
      <c r="G2173">
        <v>1</v>
      </c>
      <c r="H2173">
        <v>2</v>
      </c>
      <c r="I2173" s="7">
        <v>1.1216636267886</v>
      </c>
      <c r="J2173" s="6">
        <v>0.58121239550609605</v>
      </c>
      <c r="K2173" s="6">
        <v>1.20696041574525</v>
      </c>
      <c r="L2173">
        <v>-1.25453604901159</v>
      </c>
      <c r="M2173">
        <v>0.80059296080367603</v>
      </c>
    </row>
    <row r="2174" spans="1:13" x14ac:dyDescent="0.25">
      <c r="A2174">
        <v>1751</v>
      </c>
      <c r="B2174" t="str">
        <f>"STXBP2"</f>
        <v>STXBP2</v>
      </c>
      <c r="C2174" t="str">
        <f>""</f>
        <v/>
      </c>
      <c r="D2174">
        <v>66.137</v>
      </c>
      <c r="E2174">
        <v>4.9000000000000004</v>
      </c>
      <c r="F2174">
        <v>2</v>
      </c>
      <c r="G2174">
        <v>1</v>
      </c>
      <c r="H2174">
        <v>2</v>
      </c>
      <c r="I2174" s="7">
        <v>1.1216636267886</v>
      </c>
      <c r="J2174" s="6">
        <v>0.58121239550609605</v>
      </c>
      <c r="K2174" s="6">
        <v>1.20696041574525</v>
      </c>
      <c r="L2174">
        <v>-1.25453604901159</v>
      </c>
      <c r="M2174">
        <v>0.80059296080367603</v>
      </c>
    </row>
    <row r="2175" spans="1:13" x14ac:dyDescent="0.25">
      <c r="A2175">
        <v>2000</v>
      </c>
      <c r="B2175" t="str">
        <f>"TRMT10C"</f>
        <v>TRMT10C</v>
      </c>
      <c r="C2175" t="str">
        <f>""</f>
        <v/>
      </c>
      <c r="D2175">
        <v>47.345999999999997</v>
      </c>
      <c r="E2175">
        <v>3</v>
      </c>
      <c r="F2175">
        <v>2</v>
      </c>
      <c r="G2175">
        <v>1</v>
      </c>
      <c r="H2175">
        <v>2</v>
      </c>
      <c r="I2175" s="7">
        <v>1.1216636267886</v>
      </c>
      <c r="J2175" s="6">
        <v>0.58121239550609605</v>
      </c>
      <c r="K2175" s="6">
        <v>1.20696041574525</v>
      </c>
      <c r="L2175">
        <v>-1.25453604901159</v>
      </c>
      <c r="M2175">
        <v>0.80059296080367603</v>
      </c>
    </row>
    <row r="2176" spans="1:13" x14ac:dyDescent="0.25">
      <c r="A2176">
        <v>2035</v>
      </c>
      <c r="B2176" t="str">
        <f>"CTU1"</f>
        <v>CTU1</v>
      </c>
      <c r="C2176" t="str">
        <f>""</f>
        <v/>
      </c>
      <c r="D2176">
        <v>36.450000000000003</v>
      </c>
      <c r="E2176">
        <v>11.8</v>
      </c>
      <c r="F2176">
        <v>2</v>
      </c>
      <c r="G2176">
        <v>1</v>
      </c>
      <c r="H2176">
        <v>2</v>
      </c>
      <c r="I2176" s="7">
        <v>1.1216636267886</v>
      </c>
      <c r="J2176" s="6">
        <v>0.58121239550609605</v>
      </c>
      <c r="K2176" s="6">
        <v>1.20696041574525</v>
      </c>
      <c r="L2176">
        <v>-1.25453604901159</v>
      </c>
      <c r="M2176">
        <v>0.80059296080367603</v>
      </c>
    </row>
    <row r="2177" spans="1:13" x14ac:dyDescent="0.25">
      <c r="A2177">
        <v>2044</v>
      </c>
      <c r="B2177" t="str">
        <f>"PABPN1"</f>
        <v>PABPN1</v>
      </c>
      <c r="C2177" t="str">
        <f>""</f>
        <v/>
      </c>
      <c r="D2177">
        <v>37.17</v>
      </c>
      <c r="E2177">
        <v>3</v>
      </c>
      <c r="F2177">
        <v>2</v>
      </c>
      <c r="G2177">
        <v>1</v>
      </c>
      <c r="H2177">
        <v>2</v>
      </c>
      <c r="I2177" s="7">
        <v>1.1216636267886</v>
      </c>
      <c r="J2177" s="6">
        <v>0.58121239550609605</v>
      </c>
      <c r="K2177" s="6">
        <v>1.20696041574525</v>
      </c>
      <c r="L2177">
        <v>-1.25453604901159</v>
      </c>
      <c r="M2177">
        <v>0.80059296080367603</v>
      </c>
    </row>
    <row r="2178" spans="1:13" x14ac:dyDescent="0.25">
      <c r="A2178">
        <v>2247</v>
      </c>
      <c r="B2178" t="str">
        <f>"PCNP"</f>
        <v>PCNP</v>
      </c>
      <c r="C2178" t="str">
        <f>""</f>
        <v/>
      </c>
      <c r="D2178">
        <v>13.544</v>
      </c>
      <c r="E2178">
        <v>11.5</v>
      </c>
      <c r="F2178">
        <v>2</v>
      </c>
      <c r="G2178">
        <v>1</v>
      </c>
      <c r="H2178">
        <v>2</v>
      </c>
      <c r="I2178" s="7">
        <v>1.1216636267886</v>
      </c>
      <c r="J2178" s="6">
        <v>0.58121239550609605</v>
      </c>
      <c r="K2178" s="6">
        <v>1.20696041574525</v>
      </c>
      <c r="L2178">
        <v>-1.25453604901159</v>
      </c>
      <c r="M2178">
        <v>0.80059296080367603</v>
      </c>
    </row>
    <row r="2179" spans="1:13" x14ac:dyDescent="0.25">
      <c r="A2179">
        <v>2480</v>
      </c>
      <c r="B2179" t="str">
        <f>"POP1"</f>
        <v>POP1</v>
      </c>
      <c r="C2179" t="str">
        <f>""</f>
        <v/>
      </c>
      <c r="D2179">
        <v>114.71</v>
      </c>
      <c r="E2179">
        <v>5</v>
      </c>
      <c r="F2179">
        <v>2</v>
      </c>
      <c r="G2179">
        <v>1</v>
      </c>
      <c r="H2179">
        <v>2</v>
      </c>
      <c r="I2179" s="7">
        <v>1.1216636267886</v>
      </c>
      <c r="J2179" s="6">
        <v>0.58121239550609605</v>
      </c>
      <c r="K2179" s="6">
        <v>1.20696041574525</v>
      </c>
      <c r="L2179">
        <v>-1.25453604901159</v>
      </c>
      <c r="M2179">
        <v>0.80059296080367603</v>
      </c>
    </row>
    <row r="2180" spans="1:13" x14ac:dyDescent="0.25">
      <c r="A2180">
        <v>2566</v>
      </c>
      <c r="B2180" t="str">
        <f>"KATNB1"</f>
        <v>KATNB1</v>
      </c>
      <c r="C2180" t="str">
        <f>""</f>
        <v/>
      </c>
      <c r="D2180">
        <v>72.332999999999998</v>
      </c>
      <c r="E2180">
        <v>1.4</v>
      </c>
      <c r="F2180">
        <v>2</v>
      </c>
      <c r="G2180">
        <v>1</v>
      </c>
      <c r="H2180">
        <v>2</v>
      </c>
      <c r="I2180" s="7">
        <v>1.1216636267886</v>
      </c>
      <c r="J2180" s="6">
        <v>0.58121239550609605</v>
      </c>
      <c r="K2180" s="6">
        <v>1.20696041574525</v>
      </c>
      <c r="L2180">
        <v>-1.25453604901159</v>
      </c>
      <c r="M2180">
        <v>0.80059296080367603</v>
      </c>
    </row>
    <row r="2181" spans="1:13" x14ac:dyDescent="0.25">
      <c r="A2181">
        <v>2635</v>
      </c>
      <c r="B2181" t="str">
        <f>"CLPB"</f>
        <v>CLPB</v>
      </c>
      <c r="C2181" t="str">
        <f>""</f>
        <v/>
      </c>
      <c r="D2181">
        <v>57.662999999999997</v>
      </c>
      <c r="E2181">
        <v>2.2000000000000002</v>
      </c>
      <c r="F2181">
        <v>2</v>
      </c>
      <c r="G2181">
        <v>1</v>
      </c>
      <c r="H2181">
        <v>2</v>
      </c>
      <c r="I2181" s="7">
        <v>1.1216636267886</v>
      </c>
      <c r="J2181" s="6">
        <v>0.58121239550609605</v>
      </c>
      <c r="K2181" s="6">
        <v>1.20696041574525</v>
      </c>
      <c r="L2181">
        <v>-1.25453604901159</v>
      </c>
      <c r="M2181">
        <v>0.80059296080367603</v>
      </c>
    </row>
    <row r="2182" spans="1:13" x14ac:dyDescent="0.25">
      <c r="A2182">
        <v>2705</v>
      </c>
      <c r="B2182" t="str">
        <f>"NOL11"</f>
        <v>NOL11</v>
      </c>
      <c r="C2182" t="str">
        <f>""</f>
        <v/>
      </c>
      <c r="D2182">
        <v>81.123000000000005</v>
      </c>
      <c r="E2182">
        <v>1.9</v>
      </c>
      <c r="F2182">
        <v>2</v>
      </c>
      <c r="G2182">
        <v>1</v>
      </c>
      <c r="H2182">
        <v>2</v>
      </c>
      <c r="I2182" s="7">
        <v>1.1216636267886</v>
      </c>
      <c r="J2182" s="6">
        <v>0.58121239550609605</v>
      </c>
      <c r="K2182" s="6">
        <v>1.20696041574525</v>
      </c>
      <c r="L2182">
        <v>-1.25453604901159</v>
      </c>
      <c r="M2182">
        <v>0.80059296080367603</v>
      </c>
    </row>
    <row r="2183" spans="1:13" x14ac:dyDescent="0.25">
      <c r="A2183">
        <v>2734</v>
      </c>
      <c r="B2183" t="str">
        <f>"TAF9B"</f>
        <v>TAF9B</v>
      </c>
      <c r="C2183" t="str">
        <f>""</f>
        <v/>
      </c>
      <c r="D2183">
        <v>27.622</v>
      </c>
      <c r="E2183">
        <v>18.3</v>
      </c>
      <c r="F2183">
        <v>2</v>
      </c>
      <c r="G2183">
        <v>1</v>
      </c>
      <c r="H2183">
        <v>2</v>
      </c>
      <c r="I2183" s="7">
        <v>1.1216636267886</v>
      </c>
      <c r="J2183" s="6">
        <v>0.58121239550609605</v>
      </c>
      <c r="K2183" s="6">
        <v>1.20696041574525</v>
      </c>
      <c r="L2183">
        <v>-1.25453604901159</v>
      </c>
      <c r="M2183">
        <v>0.80059296080367603</v>
      </c>
    </row>
    <row r="2184" spans="1:13" x14ac:dyDescent="0.25">
      <c r="A2184">
        <v>2793</v>
      </c>
      <c r="B2184" t="str">
        <f>"PHPT1"</f>
        <v>PHPT1</v>
      </c>
      <c r="C2184" t="str">
        <f>""</f>
        <v/>
      </c>
      <c r="D2184">
        <v>13.832000000000001</v>
      </c>
      <c r="E2184">
        <v>27.2</v>
      </c>
      <c r="F2184">
        <v>2</v>
      </c>
      <c r="G2184">
        <v>1</v>
      </c>
      <c r="H2184">
        <v>2</v>
      </c>
      <c r="I2184" s="7">
        <v>1.1216636267886</v>
      </c>
      <c r="J2184" s="6">
        <v>0.58121239550609605</v>
      </c>
      <c r="K2184" s="6">
        <v>1.20696041574525</v>
      </c>
      <c r="L2184">
        <v>-1.25453604901159</v>
      </c>
      <c r="M2184">
        <v>0.80059296080367603</v>
      </c>
    </row>
    <row r="2185" spans="1:13" x14ac:dyDescent="0.25">
      <c r="A2185">
        <v>2835</v>
      </c>
      <c r="B2185" t="str">
        <f>"NECAP2"</f>
        <v>NECAP2</v>
      </c>
      <c r="C2185" t="str">
        <f>""</f>
        <v/>
      </c>
      <c r="D2185">
        <v>19.419</v>
      </c>
      <c r="E2185">
        <v>8.1</v>
      </c>
      <c r="F2185">
        <v>2</v>
      </c>
      <c r="G2185">
        <v>1</v>
      </c>
      <c r="H2185">
        <v>2</v>
      </c>
      <c r="I2185" s="7">
        <v>1.1216636267886</v>
      </c>
      <c r="J2185" s="6">
        <v>0.58121239550609605</v>
      </c>
      <c r="K2185" s="6">
        <v>1.20696041574525</v>
      </c>
      <c r="L2185">
        <v>-1.25453604901159</v>
      </c>
      <c r="M2185">
        <v>0.80059296080367603</v>
      </c>
    </row>
    <row r="2186" spans="1:13" x14ac:dyDescent="0.25">
      <c r="A2186">
        <v>2914</v>
      </c>
      <c r="B2186" t="str">
        <f>"ORC3"</f>
        <v>ORC3</v>
      </c>
      <c r="C2186" t="str">
        <f>""</f>
        <v/>
      </c>
      <c r="D2186">
        <v>82.323999999999998</v>
      </c>
      <c r="E2186">
        <v>2.9</v>
      </c>
      <c r="F2186">
        <v>2</v>
      </c>
      <c r="G2186">
        <v>1</v>
      </c>
      <c r="H2186">
        <v>2</v>
      </c>
      <c r="I2186" s="7">
        <v>1.1216636267886</v>
      </c>
      <c r="J2186" s="6">
        <v>0.58121239550609605</v>
      </c>
      <c r="K2186" s="6">
        <v>1.20696041574525</v>
      </c>
      <c r="L2186">
        <v>-1.25453604901159</v>
      </c>
      <c r="M2186">
        <v>0.80059296080367603</v>
      </c>
    </row>
    <row r="2187" spans="1:13" x14ac:dyDescent="0.25">
      <c r="A2187">
        <v>3040</v>
      </c>
      <c r="B2187" t="str">
        <f>"C14orf166"</f>
        <v>C14orf166</v>
      </c>
      <c r="C2187" t="str">
        <f>""</f>
        <v/>
      </c>
      <c r="D2187">
        <v>28.068000000000001</v>
      </c>
      <c r="E2187">
        <v>6.6</v>
      </c>
      <c r="F2187">
        <v>2</v>
      </c>
      <c r="G2187">
        <v>1</v>
      </c>
      <c r="H2187">
        <v>2</v>
      </c>
      <c r="I2187" s="7">
        <v>1.1216636267886</v>
      </c>
      <c r="J2187" s="6">
        <v>0.58121239550609605</v>
      </c>
      <c r="K2187" s="6">
        <v>1.20696041574525</v>
      </c>
      <c r="L2187">
        <v>-1.25453604901159</v>
      </c>
      <c r="M2187">
        <v>0.80059296080367603</v>
      </c>
    </row>
    <row r="2188" spans="1:13" x14ac:dyDescent="0.25">
      <c r="A2188">
        <v>3162</v>
      </c>
      <c r="B2188" t="str">
        <f>"IVNS1ABP"</f>
        <v>IVNS1ABP</v>
      </c>
      <c r="C2188" t="str">
        <f>""</f>
        <v/>
      </c>
      <c r="D2188">
        <v>71.728999999999999</v>
      </c>
      <c r="E2188">
        <v>5.0999999999999996</v>
      </c>
      <c r="F2188">
        <v>2</v>
      </c>
      <c r="G2188">
        <v>1</v>
      </c>
      <c r="H2188">
        <v>2</v>
      </c>
      <c r="I2188" s="7">
        <v>1.1216636267886</v>
      </c>
      <c r="J2188" s="6">
        <v>0.58121239550609605</v>
      </c>
      <c r="K2188" s="6">
        <v>1.20696041574525</v>
      </c>
      <c r="L2188">
        <v>-1.25453604901159</v>
      </c>
      <c r="M2188">
        <v>0.80059296080367603</v>
      </c>
    </row>
    <row r="2189" spans="1:13" x14ac:dyDescent="0.25">
      <c r="A2189">
        <v>710</v>
      </c>
      <c r="B2189" t="str">
        <f>"DSP"</f>
        <v>DSP</v>
      </c>
      <c r="C2189" t="str">
        <f>""</f>
        <v/>
      </c>
      <c r="D2189">
        <v>331.77</v>
      </c>
      <c r="E2189">
        <v>10.1</v>
      </c>
      <c r="F2189">
        <v>16</v>
      </c>
      <c r="G2189">
        <v>22</v>
      </c>
      <c r="H2189">
        <v>11</v>
      </c>
      <c r="I2189" s="7">
        <v>8.9733090143088301</v>
      </c>
      <c r="J2189" s="6">
        <v>12.786672701134099</v>
      </c>
      <c r="K2189" s="6">
        <v>6.6382822865988498</v>
      </c>
      <c r="L2189">
        <v>1.0823741251280901</v>
      </c>
      <c r="M2189">
        <v>0.80278746744879503</v>
      </c>
    </row>
    <row r="2190" spans="1:13" x14ac:dyDescent="0.25">
      <c r="A2190">
        <v>1500</v>
      </c>
      <c r="B2190" t="str">
        <f>"AP1B1"</f>
        <v>AP1B1</v>
      </c>
      <c r="C2190" t="str">
        <f>""</f>
        <v/>
      </c>
      <c r="D2190">
        <v>103.56</v>
      </c>
      <c r="E2190">
        <v>8.5</v>
      </c>
      <c r="F2190">
        <v>6</v>
      </c>
      <c r="G2190">
        <v>7</v>
      </c>
      <c r="H2190">
        <v>3</v>
      </c>
      <c r="I2190" s="7">
        <v>3.3649908803658102</v>
      </c>
      <c r="J2190" s="6">
        <v>4.0684867685426802</v>
      </c>
      <c r="K2190" s="6">
        <v>1.8104406236178701</v>
      </c>
      <c r="L2190">
        <v>-1.14476354474218</v>
      </c>
      <c r="M2190">
        <v>0.80513187361196603</v>
      </c>
    </row>
    <row r="2191" spans="1:13" x14ac:dyDescent="0.25">
      <c r="A2191">
        <v>1473</v>
      </c>
      <c r="B2191" t="str">
        <f>"C1QBP"</f>
        <v>C1QBP</v>
      </c>
      <c r="C2191" t="str">
        <f>""</f>
        <v/>
      </c>
      <c r="D2191">
        <v>31.361999999999998</v>
      </c>
      <c r="E2191">
        <v>8.5</v>
      </c>
      <c r="F2191">
        <v>6</v>
      </c>
      <c r="G2191">
        <v>6</v>
      </c>
      <c r="H2191">
        <v>4</v>
      </c>
      <c r="I2191" s="7">
        <v>3.3649908803658102</v>
      </c>
      <c r="J2191" s="6">
        <v>3.4872743730365801</v>
      </c>
      <c r="K2191" s="6">
        <v>2.4139208314904899</v>
      </c>
      <c r="L2191">
        <v>-1.1404438469631999</v>
      </c>
      <c r="M2191">
        <v>0.80601295660551397</v>
      </c>
    </row>
    <row r="2192" spans="1:13" x14ac:dyDescent="0.25">
      <c r="A2192">
        <v>899</v>
      </c>
      <c r="B2192" t="str">
        <f>"ADSL"</f>
        <v>ADSL</v>
      </c>
      <c r="C2192" t="str">
        <f>""</f>
        <v/>
      </c>
      <c r="D2192">
        <v>48.328000000000003</v>
      </c>
      <c r="E2192">
        <v>10.8</v>
      </c>
      <c r="F2192">
        <v>6</v>
      </c>
      <c r="G2192">
        <v>6</v>
      </c>
      <c r="H2192">
        <v>4</v>
      </c>
      <c r="I2192" s="7">
        <v>3.3649908803658102</v>
      </c>
      <c r="J2192" s="6">
        <v>3.4872743730365801</v>
      </c>
      <c r="K2192" s="6">
        <v>2.4139208314904899</v>
      </c>
      <c r="L2192">
        <v>-1.1404438469631999</v>
      </c>
      <c r="M2192">
        <v>0.80601295660551397</v>
      </c>
    </row>
    <row r="2193" spans="1:13" x14ac:dyDescent="0.25">
      <c r="A2193">
        <v>2053</v>
      </c>
      <c r="B2193" t="str">
        <f>"KTN1"</f>
        <v>KTN1</v>
      </c>
      <c r="C2193" t="str">
        <f>""</f>
        <v/>
      </c>
      <c r="D2193">
        <v>149.61000000000001</v>
      </c>
      <c r="E2193">
        <v>4.5999999999999996</v>
      </c>
      <c r="F2193">
        <v>6</v>
      </c>
      <c r="G2193">
        <v>4</v>
      </c>
      <c r="H2193">
        <v>6</v>
      </c>
      <c r="I2193" s="7">
        <v>3.3649908803658102</v>
      </c>
      <c r="J2193" s="6">
        <v>2.32484958202439</v>
      </c>
      <c r="K2193" s="6">
        <v>3.6208812472357401</v>
      </c>
      <c r="L2193">
        <v>-1.1319015195931901</v>
      </c>
      <c r="M2193">
        <v>0.80601300358245298</v>
      </c>
    </row>
    <row r="2194" spans="1:13" x14ac:dyDescent="0.25">
      <c r="A2194">
        <v>1686</v>
      </c>
      <c r="B2194" t="str">
        <f>"PSMD6"</f>
        <v>PSMD6</v>
      </c>
      <c r="C2194" t="str">
        <f>""</f>
        <v/>
      </c>
      <c r="D2194">
        <v>45.530999999999999</v>
      </c>
      <c r="E2194">
        <v>16.2</v>
      </c>
      <c r="F2194">
        <v>6</v>
      </c>
      <c r="G2194">
        <v>4</v>
      </c>
      <c r="H2194">
        <v>6</v>
      </c>
      <c r="I2194" s="7">
        <v>3.3649908803658102</v>
      </c>
      <c r="J2194" s="6">
        <v>2.32484958202439</v>
      </c>
      <c r="K2194" s="6">
        <v>3.6208812472357401</v>
      </c>
      <c r="L2194">
        <v>-1.1319015195931901</v>
      </c>
      <c r="M2194">
        <v>0.80601300358245298</v>
      </c>
    </row>
    <row r="2195" spans="1:13" x14ac:dyDescent="0.25">
      <c r="A2195">
        <v>1691</v>
      </c>
      <c r="B2195" t="str">
        <f>"NCAPD2"</f>
        <v>NCAPD2</v>
      </c>
      <c r="C2195" t="str">
        <f>""</f>
        <v/>
      </c>
      <c r="D2195">
        <v>157.18</v>
      </c>
      <c r="E2195">
        <v>5.0999999999999996</v>
      </c>
      <c r="F2195">
        <v>6</v>
      </c>
      <c r="G2195">
        <v>4</v>
      </c>
      <c r="H2195">
        <v>6</v>
      </c>
      <c r="I2195" s="7">
        <v>3.3649908803658102</v>
      </c>
      <c r="J2195" s="6">
        <v>2.32484958202439</v>
      </c>
      <c r="K2195" s="6">
        <v>3.6208812472357401</v>
      </c>
      <c r="L2195">
        <v>-1.1319015195931901</v>
      </c>
      <c r="M2195">
        <v>0.80601300358245298</v>
      </c>
    </row>
    <row r="2196" spans="1:13" x14ac:dyDescent="0.25">
      <c r="A2196">
        <v>2544</v>
      </c>
      <c r="B2196" t="str">
        <f>"ESYT1"</f>
        <v>ESYT1</v>
      </c>
      <c r="C2196" t="str">
        <f>""</f>
        <v/>
      </c>
      <c r="D2196">
        <v>122.85</v>
      </c>
      <c r="E2196">
        <v>4.7</v>
      </c>
      <c r="F2196">
        <v>6</v>
      </c>
      <c r="G2196">
        <v>5</v>
      </c>
      <c r="H2196">
        <v>5</v>
      </c>
      <c r="I2196" s="7">
        <v>3.3649908803658102</v>
      </c>
      <c r="J2196" s="6">
        <v>2.9060619775304799</v>
      </c>
      <c r="K2196" s="6">
        <v>3.0174010393631101</v>
      </c>
      <c r="L2196">
        <v>-1.1361566268815799</v>
      </c>
      <c r="M2196">
        <v>0.80630646204095202</v>
      </c>
    </row>
    <row r="2197" spans="1:13" x14ac:dyDescent="0.25">
      <c r="A2197">
        <v>1305</v>
      </c>
      <c r="B2197" t="str">
        <f>"PPP1CB;PPP1CA;PPP1CC"</f>
        <v>PPP1CB;PPP1CA;PPP1CC</v>
      </c>
      <c r="C2197" t="str">
        <f>""</f>
        <v/>
      </c>
      <c r="D2197">
        <v>37.186</v>
      </c>
      <c r="E2197">
        <v>16.8</v>
      </c>
      <c r="F2197">
        <v>6</v>
      </c>
      <c r="G2197">
        <v>5</v>
      </c>
      <c r="H2197">
        <v>5</v>
      </c>
      <c r="I2197" s="7">
        <v>3.3649908803658102</v>
      </c>
      <c r="J2197" s="6">
        <v>2.9060619775304799</v>
      </c>
      <c r="K2197" s="6">
        <v>3.0174010393631101</v>
      </c>
      <c r="L2197">
        <v>-1.1361566268815799</v>
      </c>
      <c r="M2197">
        <v>0.80630646204095202</v>
      </c>
    </row>
    <row r="2198" spans="1:13" x14ac:dyDescent="0.25">
      <c r="A2198">
        <v>696</v>
      </c>
      <c r="B2198" t="str">
        <f>"HSP90B1"</f>
        <v>HSP90B1</v>
      </c>
      <c r="C2198" t="str">
        <f>""</f>
        <v/>
      </c>
      <c r="D2198">
        <v>92.468000000000004</v>
      </c>
      <c r="E2198">
        <v>15.6</v>
      </c>
      <c r="F2198">
        <v>12</v>
      </c>
      <c r="G2198">
        <v>13</v>
      </c>
      <c r="H2198">
        <v>8</v>
      </c>
      <c r="I2198" s="7">
        <v>6.7299817607316301</v>
      </c>
      <c r="J2198" s="6">
        <v>7.5557611415792598</v>
      </c>
      <c r="K2198" s="6">
        <v>4.8278416629809797</v>
      </c>
      <c r="L2198">
        <v>-1.08691822031846</v>
      </c>
      <c r="M2198">
        <v>0.82759287966484796</v>
      </c>
    </row>
    <row r="2199" spans="1:13" x14ac:dyDescent="0.25">
      <c r="A2199">
        <v>1240</v>
      </c>
      <c r="B2199" t="str">
        <f>"NPEPPS"</f>
        <v>NPEPPS</v>
      </c>
      <c r="C2199" t="str">
        <f>""</f>
        <v/>
      </c>
      <c r="D2199">
        <v>103.28</v>
      </c>
      <c r="E2199">
        <v>8.9</v>
      </c>
      <c r="F2199">
        <v>12</v>
      </c>
      <c r="G2199">
        <v>9</v>
      </c>
      <c r="H2199">
        <v>12</v>
      </c>
      <c r="I2199" s="7">
        <v>6.7299817607316301</v>
      </c>
      <c r="J2199" s="6">
        <v>5.2309115595548699</v>
      </c>
      <c r="K2199" s="6">
        <v>7.2417624944714696</v>
      </c>
      <c r="L2199">
        <v>-1.0791561988359799</v>
      </c>
      <c r="M2199">
        <v>0.82798385979994304</v>
      </c>
    </row>
    <row r="2200" spans="1:13" x14ac:dyDescent="0.25">
      <c r="A2200">
        <v>936</v>
      </c>
      <c r="B2200" t="str">
        <f>"SHMT2"</f>
        <v>SHMT2</v>
      </c>
      <c r="C2200" t="str">
        <f>""</f>
        <v/>
      </c>
      <c r="D2200">
        <v>53.454000000000001</v>
      </c>
      <c r="E2200">
        <v>7.2</v>
      </c>
      <c r="F2200">
        <v>12</v>
      </c>
      <c r="G2200">
        <v>11</v>
      </c>
      <c r="H2200">
        <v>10</v>
      </c>
      <c r="I2200" s="7">
        <v>6.7299817607316301</v>
      </c>
      <c r="J2200" s="6">
        <v>6.3933363505670604</v>
      </c>
      <c r="K2200" s="6">
        <v>6.03480207872623</v>
      </c>
      <c r="L2200">
        <v>-1.08302330216551</v>
      </c>
      <c r="M2200">
        <v>0.82817912966914597</v>
      </c>
    </row>
    <row r="2201" spans="1:13" x14ac:dyDescent="0.25">
      <c r="A2201">
        <v>1353</v>
      </c>
      <c r="B2201" t="str">
        <f>"YWHAZ"</f>
        <v>YWHAZ</v>
      </c>
      <c r="C2201" t="str">
        <f>""</f>
        <v/>
      </c>
      <c r="D2201">
        <v>27.745000000000001</v>
      </c>
      <c r="E2201">
        <v>26.5</v>
      </c>
      <c r="F2201">
        <v>40</v>
      </c>
      <c r="G2201">
        <v>40</v>
      </c>
      <c r="H2201">
        <v>39</v>
      </c>
      <c r="I2201" s="7">
        <v>22.433272535772101</v>
      </c>
      <c r="J2201" s="6">
        <v>23.2484958202439</v>
      </c>
      <c r="K2201" s="6">
        <v>23.535728107032298</v>
      </c>
      <c r="L2201">
        <v>1.0427418436760401</v>
      </c>
      <c r="M2201">
        <v>0.82991937371159097</v>
      </c>
    </row>
    <row r="2202" spans="1:13" x14ac:dyDescent="0.25">
      <c r="A2202">
        <v>545</v>
      </c>
      <c r="B2202" t="str">
        <f>"IGKV A18;IGKV2D-26;IGKV2D-30;IGKV2D-29;IGKV2D-28;IGKV2-40"</f>
        <v>IGKV A18;IGKV2D-26;IGKV2D-30;IGKV2D-29;IGKV2D-28;IGKV2-40</v>
      </c>
      <c r="C2202" t="str">
        <f>""</f>
        <v/>
      </c>
      <c r="D2202">
        <v>13.185</v>
      </c>
      <c r="E2202">
        <v>16.7</v>
      </c>
      <c r="F2202">
        <v>10</v>
      </c>
      <c r="G2202">
        <v>5</v>
      </c>
      <c r="H2202">
        <v>22</v>
      </c>
      <c r="I2202" s="7">
        <v>5.6083181339430199</v>
      </c>
      <c r="J2202" s="6">
        <v>2.9060619775304799</v>
      </c>
      <c r="K2202" s="6">
        <v>13.2765645731977</v>
      </c>
      <c r="L2202">
        <v>1.4427343603055101</v>
      </c>
      <c r="M2202">
        <v>0.83412402117666695</v>
      </c>
    </row>
    <row r="2203" spans="1:13" x14ac:dyDescent="0.25">
      <c r="A2203">
        <v>40</v>
      </c>
      <c r="B2203" t="str">
        <f>"KRT14"</f>
        <v>KRT14</v>
      </c>
      <c r="C2203" t="str">
        <f>""</f>
        <v/>
      </c>
      <c r="D2203">
        <v>51.561</v>
      </c>
      <c r="E2203">
        <v>20.6</v>
      </c>
      <c r="F2203">
        <v>7</v>
      </c>
      <c r="G2203">
        <v>7</v>
      </c>
      <c r="H2203">
        <v>5</v>
      </c>
      <c r="I2203" s="7">
        <v>3.9258226937601099</v>
      </c>
      <c r="J2203" s="6">
        <v>4.0684867685426802</v>
      </c>
      <c r="K2203" s="6">
        <v>3.0174010393631101</v>
      </c>
      <c r="L2203">
        <v>-1.1080679796764601</v>
      </c>
      <c r="M2203">
        <v>0.83510155614771797</v>
      </c>
    </row>
    <row r="2204" spans="1:13" x14ac:dyDescent="0.25">
      <c r="A2204">
        <v>2910</v>
      </c>
      <c r="B2204" t="str">
        <f>"ATXN10"</f>
        <v>ATXN10</v>
      </c>
      <c r="C2204" t="str">
        <f>""</f>
        <v/>
      </c>
      <c r="D2204">
        <v>53.488</v>
      </c>
      <c r="E2204">
        <v>8.6</v>
      </c>
      <c r="F2204">
        <v>7</v>
      </c>
      <c r="G2204">
        <v>7</v>
      </c>
      <c r="H2204">
        <v>5</v>
      </c>
      <c r="I2204" s="7">
        <v>3.9258226937601099</v>
      </c>
      <c r="J2204" s="6">
        <v>4.0684867685426802</v>
      </c>
      <c r="K2204" s="6">
        <v>3.0174010393631101</v>
      </c>
      <c r="L2204">
        <v>-1.1080679796764601</v>
      </c>
      <c r="M2204">
        <v>0.83510155614771797</v>
      </c>
    </row>
    <row r="2205" spans="1:13" x14ac:dyDescent="0.25">
      <c r="A2205">
        <v>698</v>
      </c>
      <c r="B2205" t="str">
        <f>"MYL6;MYL6B"</f>
        <v>MYL6;MYL6B</v>
      </c>
      <c r="C2205" t="str">
        <f>""</f>
        <v/>
      </c>
      <c r="D2205">
        <v>16.960999999999999</v>
      </c>
      <c r="E2205">
        <v>15.9</v>
      </c>
      <c r="F2205">
        <v>7</v>
      </c>
      <c r="G2205">
        <v>5</v>
      </c>
      <c r="H2205">
        <v>7</v>
      </c>
      <c r="I2205" s="7">
        <v>3.9258226937601099</v>
      </c>
      <c r="J2205" s="6">
        <v>2.9060619775304799</v>
      </c>
      <c r="K2205" s="6">
        <v>4.2243614551083599</v>
      </c>
      <c r="L2205">
        <v>-1.10114714247965</v>
      </c>
      <c r="M2205">
        <v>0.83510162601228299</v>
      </c>
    </row>
    <row r="2206" spans="1:13" x14ac:dyDescent="0.25">
      <c r="A2206">
        <v>2475</v>
      </c>
      <c r="B2206" t="str">
        <f>"VAT1"</f>
        <v>VAT1</v>
      </c>
      <c r="C2206" t="str">
        <f>""</f>
        <v/>
      </c>
      <c r="D2206">
        <v>41.92</v>
      </c>
      <c r="E2206">
        <v>9.9</v>
      </c>
      <c r="F2206">
        <v>13</v>
      </c>
      <c r="G2206">
        <v>12</v>
      </c>
      <c r="H2206">
        <v>11</v>
      </c>
      <c r="I2206" s="7">
        <v>7.2908135741259299</v>
      </c>
      <c r="J2206" s="6">
        <v>6.9745487460731601</v>
      </c>
      <c r="K2206" s="6">
        <v>6.6382822865988498</v>
      </c>
      <c r="L2206">
        <v>-1.0711678645870699</v>
      </c>
      <c r="M2206">
        <v>0.84522155885191397</v>
      </c>
    </row>
    <row r="2207" spans="1:13" x14ac:dyDescent="0.25">
      <c r="A2207">
        <v>2797</v>
      </c>
      <c r="B2207" t="str">
        <f>"FARSB"</f>
        <v>FARSB</v>
      </c>
      <c r="C2207" t="str">
        <f>""</f>
        <v/>
      </c>
      <c r="D2207">
        <v>66.114999999999995</v>
      </c>
      <c r="E2207">
        <v>14.3</v>
      </c>
      <c r="F2207">
        <v>19</v>
      </c>
      <c r="G2207">
        <v>21</v>
      </c>
      <c r="H2207">
        <v>17</v>
      </c>
      <c r="I2207" s="7">
        <v>10.655804454491699</v>
      </c>
      <c r="J2207" s="6">
        <v>12.205460305628</v>
      </c>
      <c r="K2207" s="6">
        <v>10.259163533834601</v>
      </c>
      <c r="L2207">
        <v>1.05410266936689</v>
      </c>
      <c r="M2207">
        <v>0.84710525161490902</v>
      </c>
    </row>
    <row r="2208" spans="1:13" x14ac:dyDescent="0.25">
      <c r="A2208">
        <v>1329</v>
      </c>
      <c r="B2208" t="str">
        <f>"ACTG2;ACTA1;ACTC1;ACTA2"</f>
        <v>ACTG2;ACTA1;ACTC1;ACTA2</v>
      </c>
      <c r="C2208" t="str">
        <f>""</f>
        <v/>
      </c>
      <c r="D2208">
        <v>41.875999999999998</v>
      </c>
      <c r="E2208">
        <v>33</v>
      </c>
      <c r="F2208">
        <v>34</v>
      </c>
      <c r="G2208">
        <v>40</v>
      </c>
      <c r="H2208">
        <v>27</v>
      </c>
      <c r="I2208" s="7">
        <v>19.068281655406299</v>
      </c>
      <c r="J2208" s="6">
        <v>23.2484958202439</v>
      </c>
      <c r="K2208" s="6">
        <v>16.2939656125608</v>
      </c>
      <c r="L2208">
        <v>1.0368648352116601</v>
      </c>
      <c r="M2208">
        <v>0.85217450263320105</v>
      </c>
    </row>
    <row r="2209" spans="1:13" x14ac:dyDescent="0.25">
      <c r="A2209">
        <v>207</v>
      </c>
      <c r="B2209" t="str">
        <f>"PSMD3"</f>
        <v>PSMD3</v>
      </c>
      <c r="C2209" t="str">
        <f>""</f>
        <v/>
      </c>
      <c r="D2209">
        <v>60.976999999999997</v>
      </c>
      <c r="E2209">
        <v>20</v>
      </c>
      <c r="F2209">
        <v>17</v>
      </c>
      <c r="G2209">
        <v>17</v>
      </c>
      <c r="H2209">
        <v>17</v>
      </c>
      <c r="I2209" s="7">
        <v>9.5341408277031405</v>
      </c>
      <c r="J2209" s="6">
        <v>9.88061072360364</v>
      </c>
      <c r="K2209" s="6">
        <v>10.259163533834601</v>
      </c>
      <c r="L2209">
        <v>1.0561924048215501</v>
      </c>
      <c r="M2209">
        <v>0.85513995051070701</v>
      </c>
    </row>
    <row r="2210" spans="1:13" x14ac:dyDescent="0.25">
      <c r="A2210">
        <v>806</v>
      </c>
      <c r="B2210" t="str">
        <f>"RPS3"</f>
        <v>RPS3</v>
      </c>
      <c r="C2210" t="str">
        <f>""</f>
        <v/>
      </c>
      <c r="D2210">
        <v>26.687999999999999</v>
      </c>
      <c r="E2210">
        <v>25.5</v>
      </c>
      <c r="F2210">
        <v>17</v>
      </c>
      <c r="G2210">
        <v>18</v>
      </c>
      <c r="H2210">
        <v>16</v>
      </c>
      <c r="I2210" s="7">
        <v>9.5341408277031405</v>
      </c>
      <c r="J2210" s="6">
        <v>10.461823119109701</v>
      </c>
      <c r="K2210" s="6">
        <v>9.6556833259619594</v>
      </c>
      <c r="L2210">
        <v>1.0550246114792401</v>
      </c>
      <c r="M2210">
        <v>0.855188547604537</v>
      </c>
    </row>
    <row r="2211" spans="1:13" x14ac:dyDescent="0.25">
      <c r="A2211">
        <v>1737</v>
      </c>
      <c r="B2211" t="str">
        <f>"TSN"</f>
        <v>TSN</v>
      </c>
      <c r="C2211" t="str">
        <f>""</f>
        <v/>
      </c>
      <c r="D2211">
        <v>26.183</v>
      </c>
      <c r="E2211">
        <v>25.4</v>
      </c>
      <c r="F2211">
        <v>1</v>
      </c>
      <c r="G2211">
        <v>0</v>
      </c>
      <c r="H2211">
        <v>4</v>
      </c>
      <c r="I2211" s="7">
        <v>0.56083181339430199</v>
      </c>
      <c r="J2211" s="6">
        <v>0</v>
      </c>
      <c r="K2211" s="6">
        <v>2.4139208314904899</v>
      </c>
      <c r="L2211">
        <v>2.1520897832817298</v>
      </c>
      <c r="M2211">
        <v>0.85522057168662302</v>
      </c>
    </row>
    <row r="2212" spans="1:13" x14ac:dyDescent="0.25">
      <c r="A2212">
        <v>1188</v>
      </c>
      <c r="B2212" t="str">
        <f>"HRSP12"</f>
        <v>HRSP12</v>
      </c>
      <c r="C2212" t="str">
        <f>""</f>
        <v/>
      </c>
      <c r="D2212">
        <v>14.494</v>
      </c>
      <c r="E2212">
        <v>15.3</v>
      </c>
      <c r="F2212">
        <v>1</v>
      </c>
      <c r="G2212">
        <v>0</v>
      </c>
      <c r="H2212">
        <v>4</v>
      </c>
      <c r="I2212" s="7">
        <v>0.56083181339430199</v>
      </c>
      <c r="J2212" s="6">
        <v>0</v>
      </c>
      <c r="K2212" s="6">
        <v>2.4139208314904899</v>
      </c>
      <c r="L2212">
        <v>2.1520897832817298</v>
      </c>
      <c r="M2212">
        <v>0.85522057168662302</v>
      </c>
    </row>
    <row r="2213" spans="1:13" x14ac:dyDescent="0.25">
      <c r="A2213">
        <v>889</v>
      </c>
      <c r="B2213" t="str">
        <f>"PDIA3"</f>
        <v>PDIA3</v>
      </c>
      <c r="C2213" t="str">
        <f>""</f>
        <v/>
      </c>
      <c r="D2213">
        <v>56.781999999999996</v>
      </c>
      <c r="E2213">
        <v>19.8</v>
      </c>
      <c r="F2213">
        <v>8</v>
      </c>
      <c r="G2213">
        <v>5</v>
      </c>
      <c r="H2213">
        <v>9</v>
      </c>
      <c r="I2213" s="7">
        <v>4.4866545071544204</v>
      </c>
      <c r="J2213" s="6">
        <v>2.9060619775304799</v>
      </c>
      <c r="K2213" s="6">
        <v>5.4313218708536004</v>
      </c>
      <c r="L2213">
        <v>-1.0762739460589901</v>
      </c>
      <c r="M2213">
        <v>0.85866351448029998</v>
      </c>
    </row>
    <row r="2214" spans="1:13" x14ac:dyDescent="0.25">
      <c r="A2214">
        <v>382</v>
      </c>
      <c r="B2214" t="str">
        <f>"UBR5"</f>
        <v>UBR5</v>
      </c>
      <c r="C2214" t="str">
        <f>""</f>
        <v/>
      </c>
      <c r="D2214">
        <v>309.22000000000003</v>
      </c>
      <c r="E2214">
        <v>3.4</v>
      </c>
      <c r="F2214">
        <v>8</v>
      </c>
      <c r="G2214">
        <v>5</v>
      </c>
      <c r="H2214">
        <v>9</v>
      </c>
      <c r="I2214" s="7">
        <v>4.4866545071544204</v>
      </c>
      <c r="J2214" s="6">
        <v>2.9060619775304799</v>
      </c>
      <c r="K2214" s="6">
        <v>5.4313218708536004</v>
      </c>
      <c r="L2214">
        <v>-1.0762739460589901</v>
      </c>
      <c r="M2214">
        <v>0.85866351448029998</v>
      </c>
    </row>
    <row r="2215" spans="1:13" x14ac:dyDescent="0.25">
      <c r="A2215">
        <v>101</v>
      </c>
      <c r="B2215" t="str">
        <f>"PGRMC1"</f>
        <v>PGRMC1</v>
      </c>
      <c r="C2215" t="str">
        <f>""</f>
        <v/>
      </c>
      <c r="D2215">
        <v>21.670999999999999</v>
      </c>
      <c r="E2215">
        <v>10.8</v>
      </c>
      <c r="F2215">
        <v>8</v>
      </c>
      <c r="G2215">
        <v>8</v>
      </c>
      <c r="H2215">
        <v>6</v>
      </c>
      <c r="I2215" s="7">
        <v>4.4866545071544204</v>
      </c>
      <c r="J2215" s="6">
        <v>4.6496991640487702</v>
      </c>
      <c r="K2215" s="6">
        <v>3.6208812472357401</v>
      </c>
      <c r="L2215">
        <v>-1.0849672656668099</v>
      </c>
      <c r="M2215">
        <v>0.85920631253040203</v>
      </c>
    </row>
    <row r="2216" spans="1:13" x14ac:dyDescent="0.25">
      <c r="A2216">
        <v>2467</v>
      </c>
      <c r="B2216" t="str">
        <f>"UHRF1"</f>
        <v>UHRF1</v>
      </c>
      <c r="C2216" t="str">
        <f>""</f>
        <v/>
      </c>
      <c r="D2216">
        <v>89.813000000000002</v>
      </c>
      <c r="E2216">
        <v>12</v>
      </c>
      <c r="F2216">
        <v>8</v>
      </c>
      <c r="G2216">
        <v>8</v>
      </c>
      <c r="H2216">
        <v>6</v>
      </c>
      <c r="I2216" s="7">
        <v>4.4866545071544204</v>
      </c>
      <c r="J2216" s="6">
        <v>4.6496991640487702</v>
      </c>
      <c r="K2216" s="6">
        <v>3.6208812472357401</v>
      </c>
      <c r="L2216">
        <v>-1.0849672656668099</v>
      </c>
      <c r="M2216">
        <v>0.85920631253040203</v>
      </c>
    </row>
    <row r="2217" spans="1:13" x14ac:dyDescent="0.25">
      <c r="A2217">
        <v>3152</v>
      </c>
      <c r="B2217" t="str">
        <f>"BZW2"</f>
        <v>BZW2</v>
      </c>
      <c r="C2217" t="str">
        <f>""</f>
        <v/>
      </c>
      <c r="D2217">
        <v>48.161999999999999</v>
      </c>
      <c r="E2217">
        <v>7.6</v>
      </c>
      <c r="F2217">
        <v>8</v>
      </c>
      <c r="G2217">
        <v>7</v>
      </c>
      <c r="H2217">
        <v>7</v>
      </c>
      <c r="I2217" s="7">
        <v>4.4866545071544204</v>
      </c>
      <c r="J2217" s="6">
        <v>4.0684867685426802</v>
      </c>
      <c r="K2217" s="6">
        <v>4.2243614551083599</v>
      </c>
      <c r="L2217">
        <v>-1.08205393036341</v>
      </c>
      <c r="M2217">
        <v>0.85938723512793802</v>
      </c>
    </row>
    <row r="2218" spans="1:13" x14ac:dyDescent="0.25">
      <c r="A2218">
        <v>336</v>
      </c>
      <c r="B2218" t="str">
        <f>"CSDE1"</f>
        <v>CSDE1</v>
      </c>
      <c r="C2218" t="str">
        <f>""</f>
        <v/>
      </c>
      <c r="D2218">
        <v>85.745999999999995</v>
      </c>
      <c r="E2218">
        <v>12.3</v>
      </c>
      <c r="F2218">
        <v>16</v>
      </c>
      <c r="G2218">
        <v>17</v>
      </c>
      <c r="H2218">
        <v>15</v>
      </c>
      <c r="I2218" s="7">
        <v>8.9733090143088301</v>
      </c>
      <c r="J2218" s="6">
        <v>9.88061072360364</v>
      </c>
      <c r="K2218" s="6">
        <v>9.0522031180893396</v>
      </c>
      <c r="L2218">
        <v>1.0549516243953401</v>
      </c>
      <c r="M2218">
        <v>0.85947911799921695</v>
      </c>
    </row>
    <row r="2219" spans="1:13" x14ac:dyDescent="0.25">
      <c r="A2219">
        <v>1856</v>
      </c>
      <c r="B2219" t="str">
        <f>"FKBP15"</f>
        <v>FKBP15</v>
      </c>
      <c r="C2219" t="str">
        <f>""</f>
        <v/>
      </c>
      <c r="D2219">
        <v>133.63</v>
      </c>
      <c r="E2219">
        <v>4.7</v>
      </c>
      <c r="F2219">
        <v>3</v>
      </c>
      <c r="G2219">
        <v>4</v>
      </c>
      <c r="H2219">
        <v>1</v>
      </c>
      <c r="I2219" s="7">
        <v>1.68249544018291</v>
      </c>
      <c r="J2219" s="6">
        <v>2.32484958202439</v>
      </c>
      <c r="K2219" s="6">
        <v>0.60348020787262302</v>
      </c>
      <c r="L2219">
        <v>-1.1491160906723401</v>
      </c>
      <c r="M2219">
        <v>0.86047194463852605</v>
      </c>
    </row>
    <row r="2220" spans="1:13" x14ac:dyDescent="0.25">
      <c r="A2220">
        <v>1396</v>
      </c>
      <c r="B2220" t="str">
        <f>"RPL36AL;RPL36A"</f>
        <v>RPL36AL;RPL36A</v>
      </c>
      <c r="C2220" t="str">
        <f>""</f>
        <v/>
      </c>
      <c r="D2220">
        <v>12.468999999999999</v>
      </c>
      <c r="E2220">
        <v>20.8</v>
      </c>
      <c r="F2220">
        <v>3</v>
      </c>
      <c r="G2220">
        <v>4</v>
      </c>
      <c r="H2220">
        <v>1</v>
      </c>
      <c r="I2220" s="7">
        <v>1.68249544018291</v>
      </c>
      <c r="J2220" s="6">
        <v>2.32484958202439</v>
      </c>
      <c r="K2220" s="6">
        <v>0.60348020787262302</v>
      </c>
      <c r="L2220">
        <v>-1.1491160906723401</v>
      </c>
      <c r="M2220">
        <v>0.86047194463852605</v>
      </c>
    </row>
    <row r="2221" spans="1:13" x14ac:dyDescent="0.25">
      <c r="A2221">
        <v>2464</v>
      </c>
      <c r="B2221" t="str">
        <f>"RBM15"</f>
        <v>RBM15</v>
      </c>
      <c r="C2221" t="str">
        <f>""</f>
        <v/>
      </c>
      <c r="D2221">
        <v>99.7</v>
      </c>
      <c r="E2221">
        <v>6.4</v>
      </c>
      <c r="F2221">
        <v>3</v>
      </c>
      <c r="G2221">
        <v>1</v>
      </c>
      <c r="H2221">
        <v>4</v>
      </c>
      <c r="I2221" s="7">
        <v>1.68249544018291</v>
      </c>
      <c r="J2221" s="6">
        <v>0.58121239550609605</v>
      </c>
      <c r="K2221" s="6">
        <v>2.4139208314904899</v>
      </c>
      <c r="L2221">
        <v>-1.1234862109089201</v>
      </c>
      <c r="M2221">
        <v>0.86047205286946904</v>
      </c>
    </row>
    <row r="2222" spans="1:13" x14ac:dyDescent="0.25">
      <c r="A2222">
        <v>2017</v>
      </c>
      <c r="B2222" t="str">
        <f>"ZFYVE16"</f>
        <v>ZFYVE16</v>
      </c>
      <c r="C2222" t="str">
        <f>""</f>
        <v/>
      </c>
      <c r="D2222">
        <v>168.9</v>
      </c>
      <c r="E2222">
        <v>3.9</v>
      </c>
      <c r="F2222">
        <v>3</v>
      </c>
      <c r="G2222">
        <v>1</v>
      </c>
      <c r="H2222">
        <v>4</v>
      </c>
      <c r="I2222" s="7">
        <v>1.68249544018291</v>
      </c>
      <c r="J2222" s="6">
        <v>0.58121239550609605</v>
      </c>
      <c r="K2222" s="6">
        <v>2.4139208314904899</v>
      </c>
      <c r="L2222">
        <v>-1.1234862109089201</v>
      </c>
      <c r="M2222">
        <v>0.86047205286946904</v>
      </c>
    </row>
    <row r="2223" spans="1:13" x14ac:dyDescent="0.25">
      <c r="A2223">
        <v>980</v>
      </c>
      <c r="B2223" t="str">
        <f>"ETFB"</f>
        <v>ETFB</v>
      </c>
      <c r="C2223" t="str">
        <f>""</f>
        <v/>
      </c>
      <c r="D2223">
        <v>27.843</v>
      </c>
      <c r="E2223">
        <v>8.6</v>
      </c>
      <c r="F2223">
        <v>14</v>
      </c>
      <c r="G2223">
        <v>13</v>
      </c>
      <c r="H2223">
        <v>12</v>
      </c>
      <c r="I2223" s="7">
        <v>7.8516453875202297</v>
      </c>
      <c r="J2223" s="6">
        <v>7.5557611415792598</v>
      </c>
      <c r="K2223" s="6">
        <v>7.2417624944714696</v>
      </c>
      <c r="L2223">
        <v>-1.0612107242581501</v>
      </c>
      <c r="M2223">
        <v>0.86072812234832796</v>
      </c>
    </row>
    <row r="2224" spans="1:13" x14ac:dyDescent="0.25">
      <c r="A2224">
        <v>3000</v>
      </c>
      <c r="B2224" t="str">
        <f>"MYO6"</f>
        <v>MYO6</v>
      </c>
      <c r="C2224" t="str">
        <f>""</f>
        <v/>
      </c>
      <c r="D2224">
        <v>145.04</v>
      </c>
      <c r="E2224">
        <v>3.8</v>
      </c>
      <c r="F2224">
        <v>3</v>
      </c>
      <c r="G2224">
        <v>3</v>
      </c>
      <c r="H2224">
        <v>2</v>
      </c>
      <c r="I2224" s="7">
        <v>1.68249544018291</v>
      </c>
      <c r="J2224" s="6">
        <v>1.74363718651829</v>
      </c>
      <c r="K2224" s="6">
        <v>1.20696041574525</v>
      </c>
      <c r="L2224">
        <v>-1.1404438469631999</v>
      </c>
      <c r="M2224">
        <v>0.86216061992340198</v>
      </c>
    </row>
    <row r="2225" spans="1:13" x14ac:dyDescent="0.25">
      <c r="A2225">
        <v>1191</v>
      </c>
      <c r="B2225" t="str">
        <f>"MRPL12"</f>
        <v>MRPL12</v>
      </c>
      <c r="C2225" t="str">
        <f>""</f>
        <v/>
      </c>
      <c r="D2225">
        <v>21.347999999999999</v>
      </c>
      <c r="E2225">
        <v>6.1</v>
      </c>
      <c r="F2225">
        <v>3</v>
      </c>
      <c r="G2225">
        <v>3</v>
      </c>
      <c r="H2225">
        <v>2</v>
      </c>
      <c r="I2225" s="7">
        <v>1.68249544018291</v>
      </c>
      <c r="J2225" s="6">
        <v>1.74363718651829</v>
      </c>
      <c r="K2225" s="6">
        <v>1.20696041574525</v>
      </c>
      <c r="L2225">
        <v>-1.1404438469631999</v>
      </c>
      <c r="M2225">
        <v>0.86216061992340198</v>
      </c>
    </row>
    <row r="2226" spans="1:13" x14ac:dyDescent="0.25">
      <c r="A2226">
        <v>326</v>
      </c>
      <c r="B2226" t="str">
        <f>"PMPCB"</f>
        <v>PMPCB</v>
      </c>
      <c r="C2226" t="str">
        <f>""</f>
        <v/>
      </c>
      <c r="D2226">
        <v>54.366</v>
      </c>
      <c r="E2226">
        <v>6.3</v>
      </c>
      <c r="F2226">
        <v>3</v>
      </c>
      <c r="G2226">
        <v>3</v>
      </c>
      <c r="H2226">
        <v>2</v>
      </c>
      <c r="I2226" s="7">
        <v>1.68249544018291</v>
      </c>
      <c r="J2226" s="6">
        <v>1.74363718651829</v>
      </c>
      <c r="K2226" s="6">
        <v>1.20696041574525</v>
      </c>
      <c r="L2226">
        <v>-1.1404438469631999</v>
      </c>
      <c r="M2226">
        <v>0.86216061992340198</v>
      </c>
    </row>
    <row r="2227" spans="1:13" x14ac:dyDescent="0.25">
      <c r="A2227">
        <v>1906</v>
      </c>
      <c r="B2227" t="str">
        <f>"CIAPIN1"</f>
        <v>CIAPIN1</v>
      </c>
      <c r="C2227" t="str">
        <f>""</f>
        <v/>
      </c>
      <c r="D2227">
        <v>11.734999999999999</v>
      </c>
      <c r="E2227">
        <v>10.199999999999999</v>
      </c>
      <c r="F2227">
        <v>3</v>
      </c>
      <c r="G2227">
        <v>3</v>
      </c>
      <c r="H2227">
        <v>2</v>
      </c>
      <c r="I2227" s="7">
        <v>1.68249544018291</v>
      </c>
      <c r="J2227" s="6">
        <v>1.74363718651829</v>
      </c>
      <c r="K2227" s="6">
        <v>1.20696041574525</v>
      </c>
      <c r="L2227">
        <v>-1.1404438469631999</v>
      </c>
      <c r="M2227">
        <v>0.86216061992340198</v>
      </c>
    </row>
    <row r="2228" spans="1:13" x14ac:dyDescent="0.25">
      <c r="A2228">
        <v>115</v>
      </c>
      <c r="B2228" t="str">
        <f>"PIK3C2A"</f>
        <v>PIK3C2A</v>
      </c>
      <c r="C2228" t="str">
        <f>""</f>
        <v/>
      </c>
      <c r="D2228">
        <v>190.68</v>
      </c>
      <c r="E2228">
        <v>1.5</v>
      </c>
      <c r="F2228">
        <v>3</v>
      </c>
      <c r="G2228">
        <v>3</v>
      </c>
      <c r="H2228">
        <v>2</v>
      </c>
      <c r="I2228" s="7">
        <v>1.68249544018291</v>
      </c>
      <c r="J2228" s="6">
        <v>1.74363718651829</v>
      </c>
      <c r="K2228" s="6">
        <v>1.20696041574525</v>
      </c>
      <c r="L2228">
        <v>-1.1404438469631999</v>
      </c>
      <c r="M2228">
        <v>0.86216061992340198</v>
      </c>
    </row>
    <row r="2229" spans="1:13" x14ac:dyDescent="0.25">
      <c r="A2229">
        <v>374</v>
      </c>
      <c r="B2229" t="str">
        <f>"PRPF6"</f>
        <v>PRPF6</v>
      </c>
      <c r="C2229" t="str">
        <f>""</f>
        <v/>
      </c>
      <c r="D2229">
        <v>102.43</v>
      </c>
      <c r="E2229">
        <v>2.2000000000000002</v>
      </c>
      <c r="F2229">
        <v>3</v>
      </c>
      <c r="G2229">
        <v>3</v>
      </c>
      <c r="H2229">
        <v>2</v>
      </c>
      <c r="I2229" s="7">
        <v>1.68249544018291</v>
      </c>
      <c r="J2229" s="6">
        <v>1.74363718651829</v>
      </c>
      <c r="K2229" s="6">
        <v>1.20696041574525</v>
      </c>
      <c r="L2229">
        <v>-1.1404438469631999</v>
      </c>
      <c r="M2229">
        <v>0.86216061992340198</v>
      </c>
    </row>
    <row r="2230" spans="1:13" x14ac:dyDescent="0.25">
      <c r="A2230">
        <v>721</v>
      </c>
      <c r="B2230" t="str">
        <f>"FAH"</f>
        <v>FAH</v>
      </c>
      <c r="C2230" t="str">
        <f>""</f>
        <v/>
      </c>
      <c r="D2230">
        <v>38.613999999999997</v>
      </c>
      <c r="E2230">
        <v>5.7</v>
      </c>
      <c r="F2230">
        <v>3</v>
      </c>
      <c r="G2230">
        <v>3</v>
      </c>
      <c r="H2230">
        <v>2</v>
      </c>
      <c r="I2230" s="7">
        <v>1.68249544018291</v>
      </c>
      <c r="J2230" s="6">
        <v>1.74363718651829</v>
      </c>
      <c r="K2230" s="6">
        <v>1.20696041574525</v>
      </c>
      <c r="L2230">
        <v>-1.1404438469631999</v>
      </c>
      <c r="M2230">
        <v>0.86216061992340198</v>
      </c>
    </row>
    <row r="2231" spans="1:13" x14ac:dyDescent="0.25">
      <c r="A2231">
        <v>1186</v>
      </c>
      <c r="B2231" t="str">
        <f>"KIF11"</f>
        <v>KIF11</v>
      </c>
      <c r="C2231" t="str">
        <f>""</f>
        <v/>
      </c>
      <c r="D2231">
        <v>119.16</v>
      </c>
      <c r="E2231">
        <v>1.8</v>
      </c>
      <c r="F2231">
        <v>3</v>
      </c>
      <c r="G2231">
        <v>3</v>
      </c>
      <c r="H2231">
        <v>2</v>
      </c>
      <c r="I2231" s="7">
        <v>1.68249544018291</v>
      </c>
      <c r="J2231" s="6">
        <v>1.74363718651829</v>
      </c>
      <c r="K2231" s="6">
        <v>1.20696041574525</v>
      </c>
      <c r="L2231">
        <v>-1.1404438469631999</v>
      </c>
      <c r="M2231">
        <v>0.86216061992340198</v>
      </c>
    </row>
    <row r="2232" spans="1:13" x14ac:dyDescent="0.25">
      <c r="A2232">
        <v>1273</v>
      </c>
      <c r="B2232" t="str">
        <f>"RAB2A;RAB2B"</f>
        <v>RAB2A;RAB2B</v>
      </c>
      <c r="C2232" t="str">
        <f>""</f>
        <v/>
      </c>
      <c r="D2232">
        <v>20.847000000000001</v>
      </c>
      <c r="E2232">
        <v>28.7</v>
      </c>
      <c r="F2232">
        <v>3</v>
      </c>
      <c r="G2232">
        <v>3</v>
      </c>
      <c r="H2232">
        <v>2</v>
      </c>
      <c r="I2232" s="7">
        <v>1.68249544018291</v>
      </c>
      <c r="J2232" s="6">
        <v>1.74363718651829</v>
      </c>
      <c r="K2232" s="6">
        <v>1.20696041574525</v>
      </c>
      <c r="L2232">
        <v>-1.1404438469631999</v>
      </c>
      <c r="M2232">
        <v>0.86216061992340198</v>
      </c>
    </row>
    <row r="2233" spans="1:13" x14ac:dyDescent="0.25">
      <c r="A2233">
        <v>1337</v>
      </c>
      <c r="B2233" t="str">
        <f>"RPS26"</f>
        <v>RPS26</v>
      </c>
      <c r="C2233" t="str">
        <f>""</f>
        <v/>
      </c>
      <c r="D2233">
        <v>13.015000000000001</v>
      </c>
      <c r="E2233">
        <v>13</v>
      </c>
      <c r="F2233">
        <v>3</v>
      </c>
      <c r="G2233">
        <v>3</v>
      </c>
      <c r="H2233">
        <v>2</v>
      </c>
      <c r="I2233" s="7">
        <v>1.68249544018291</v>
      </c>
      <c r="J2233" s="6">
        <v>1.74363718651829</v>
      </c>
      <c r="K2233" s="6">
        <v>1.20696041574525</v>
      </c>
      <c r="L2233">
        <v>-1.1404438469631999</v>
      </c>
      <c r="M2233">
        <v>0.86216061992340198</v>
      </c>
    </row>
    <row r="2234" spans="1:13" x14ac:dyDescent="0.25">
      <c r="A2234">
        <v>1882</v>
      </c>
      <c r="B2234" t="str">
        <f>"PRPF38B"</f>
        <v>PRPF38B</v>
      </c>
      <c r="C2234" t="str">
        <f>""</f>
        <v/>
      </c>
      <c r="D2234">
        <v>21.061</v>
      </c>
      <c r="E2234">
        <v>6.3</v>
      </c>
      <c r="F2234">
        <v>3</v>
      </c>
      <c r="G2234">
        <v>3</v>
      </c>
      <c r="H2234">
        <v>2</v>
      </c>
      <c r="I2234" s="7">
        <v>1.68249544018291</v>
      </c>
      <c r="J2234" s="6">
        <v>1.74363718651829</v>
      </c>
      <c r="K2234" s="6">
        <v>1.20696041574525</v>
      </c>
      <c r="L2234">
        <v>-1.1404438469631999</v>
      </c>
      <c r="M2234">
        <v>0.86216061992340198</v>
      </c>
    </row>
    <row r="2235" spans="1:13" x14ac:dyDescent="0.25">
      <c r="A2235">
        <v>2216</v>
      </c>
      <c r="B2235" t="str">
        <f>"HM13"</f>
        <v>HM13</v>
      </c>
      <c r="C2235" t="str">
        <f>""</f>
        <v/>
      </c>
      <c r="D2235">
        <v>36.813000000000002</v>
      </c>
      <c r="E2235">
        <v>3</v>
      </c>
      <c r="F2235">
        <v>3</v>
      </c>
      <c r="G2235">
        <v>3</v>
      </c>
      <c r="H2235">
        <v>2</v>
      </c>
      <c r="I2235" s="7">
        <v>1.68249544018291</v>
      </c>
      <c r="J2235" s="6">
        <v>1.74363718651829</v>
      </c>
      <c r="K2235" s="6">
        <v>1.20696041574525</v>
      </c>
      <c r="L2235">
        <v>-1.1404438469631999</v>
      </c>
      <c r="M2235">
        <v>0.86216061992340198</v>
      </c>
    </row>
    <row r="2236" spans="1:13" x14ac:dyDescent="0.25">
      <c r="A2236">
        <v>2826</v>
      </c>
      <c r="B2236" t="str">
        <f>"FANCI"</f>
        <v>FANCI</v>
      </c>
      <c r="C2236" t="str">
        <f>""</f>
        <v/>
      </c>
      <c r="D2236">
        <v>142.44</v>
      </c>
      <c r="E2236">
        <v>4.7</v>
      </c>
      <c r="F2236">
        <v>3</v>
      </c>
      <c r="G2236">
        <v>3</v>
      </c>
      <c r="H2236">
        <v>2</v>
      </c>
      <c r="I2236" s="7">
        <v>1.68249544018291</v>
      </c>
      <c r="J2236" s="6">
        <v>1.74363718651829</v>
      </c>
      <c r="K2236" s="6">
        <v>1.20696041574525</v>
      </c>
      <c r="L2236">
        <v>-1.1404438469631999</v>
      </c>
      <c r="M2236">
        <v>0.86216061992340198</v>
      </c>
    </row>
    <row r="2237" spans="1:13" x14ac:dyDescent="0.25">
      <c r="A2237">
        <v>2896</v>
      </c>
      <c r="B2237" t="str">
        <f>"STK26"</f>
        <v>STK26</v>
      </c>
      <c r="C2237" t="str">
        <f>"STK26"</f>
        <v>STK26</v>
      </c>
      <c r="D2237">
        <v>37.770000000000003</v>
      </c>
      <c r="E2237">
        <v>3.5</v>
      </c>
      <c r="F2237">
        <v>3</v>
      </c>
      <c r="G2237">
        <v>3</v>
      </c>
      <c r="H2237">
        <v>2</v>
      </c>
      <c r="I2237" s="7">
        <v>1.68249544018291</v>
      </c>
      <c r="J2237" s="6">
        <v>1.74363718651829</v>
      </c>
      <c r="K2237" s="6">
        <v>1.20696041574525</v>
      </c>
      <c r="L2237">
        <v>-1.1404438469631999</v>
      </c>
      <c r="M2237">
        <v>0.86216061992340198</v>
      </c>
    </row>
    <row r="2238" spans="1:13" x14ac:dyDescent="0.25">
      <c r="A2238">
        <v>2563</v>
      </c>
      <c r="B2238" t="str">
        <f>"VAMP8"</f>
        <v>VAMP8</v>
      </c>
      <c r="C2238" t="str">
        <f>""</f>
        <v/>
      </c>
      <c r="D2238">
        <v>11.438000000000001</v>
      </c>
      <c r="E2238">
        <v>18</v>
      </c>
      <c r="F2238">
        <v>3</v>
      </c>
      <c r="G2238">
        <v>2</v>
      </c>
      <c r="H2238">
        <v>3</v>
      </c>
      <c r="I2238" s="7">
        <v>1.68249544018291</v>
      </c>
      <c r="J2238" s="6">
        <v>1.1624247910121901</v>
      </c>
      <c r="K2238" s="6">
        <v>1.8104406236178701</v>
      </c>
      <c r="L2238">
        <v>-1.1319015195931901</v>
      </c>
      <c r="M2238">
        <v>0.86216063678673205</v>
      </c>
    </row>
    <row r="2239" spans="1:13" x14ac:dyDescent="0.25">
      <c r="A2239">
        <v>2596</v>
      </c>
      <c r="B2239" t="str">
        <f>"ITPA"</f>
        <v>ITPA</v>
      </c>
      <c r="C2239" t="str">
        <f>""</f>
        <v/>
      </c>
      <c r="D2239">
        <v>16.832999999999998</v>
      </c>
      <c r="E2239">
        <v>5.9</v>
      </c>
      <c r="F2239">
        <v>3</v>
      </c>
      <c r="G2239">
        <v>2</v>
      </c>
      <c r="H2239">
        <v>3</v>
      </c>
      <c r="I2239" s="7">
        <v>1.68249544018291</v>
      </c>
      <c r="J2239" s="6">
        <v>1.1624247910121901</v>
      </c>
      <c r="K2239" s="6">
        <v>1.8104406236178701</v>
      </c>
      <c r="L2239">
        <v>-1.1319015195931901</v>
      </c>
      <c r="M2239">
        <v>0.86216063678673205</v>
      </c>
    </row>
    <row r="2240" spans="1:13" x14ac:dyDescent="0.25">
      <c r="A2240">
        <v>1601</v>
      </c>
      <c r="B2240" t="str">
        <f>"MOGS"</f>
        <v>MOGS</v>
      </c>
      <c r="C2240" t="str">
        <f>""</f>
        <v/>
      </c>
      <c r="D2240">
        <v>80.701999999999998</v>
      </c>
      <c r="E2240">
        <v>3</v>
      </c>
      <c r="F2240">
        <v>3</v>
      </c>
      <c r="G2240">
        <v>2</v>
      </c>
      <c r="H2240">
        <v>3</v>
      </c>
      <c r="I2240" s="7">
        <v>1.68249544018291</v>
      </c>
      <c r="J2240" s="6">
        <v>1.1624247910121901</v>
      </c>
      <c r="K2240" s="6">
        <v>1.8104406236178701</v>
      </c>
      <c r="L2240">
        <v>-1.1319015195931901</v>
      </c>
      <c r="M2240">
        <v>0.86216063678673205</v>
      </c>
    </row>
    <row r="2241" spans="1:13" x14ac:dyDescent="0.25">
      <c r="A2241">
        <v>776</v>
      </c>
      <c r="B2241" t="str">
        <f>"ATP6V1C1;ATP6V1C2"</f>
        <v>ATP6V1C1;ATP6V1C2</v>
      </c>
      <c r="C2241" t="str">
        <f>""</f>
        <v/>
      </c>
      <c r="D2241">
        <v>43.941000000000003</v>
      </c>
      <c r="E2241">
        <v>4.7</v>
      </c>
      <c r="F2241">
        <v>3</v>
      </c>
      <c r="G2241">
        <v>2</v>
      </c>
      <c r="H2241">
        <v>3</v>
      </c>
      <c r="I2241" s="7">
        <v>1.68249544018291</v>
      </c>
      <c r="J2241" s="6">
        <v>1.1624247910121901</v>
      </c>
      <c r="K2241" s="6">
        <v>1.8104406236178701</v>
      </c>
      <c r="L2241">
        <v>-1.1319015195931901</v>
      </c>
      <c r="M2241">
        <v>0.86216063678673205</v>
      </c>
    </row>
    <row r="2242" spans="1:13" x14ac:dyDescent="0.25">
      <c r="A2242">
        <v>2226</v>
      </c>
      <c r="B2242" t="str">
        <f>"NUP210"</f>
        <v>NUP210</v>
      </c>
      <c r="C2242" t="str">
        <f>""</f>
        <v/>
      </c>
      <c r="D2242">
        <v>205.11</v>
      </c>
      <c r="E2242">
        <v>2</v>
      </c>
      <c r="F2242">
        <v>3</v>
      </c>
      <c r="G2242">
        <v>2</v>
      </c>
      <c r="H2242">
        <v>3</v>
      </c>
      <c r="I2242" s="7">
        <v>1.68249544018291</v>
      </c>
      <c r="J2242" s="6">
        <v>1.1624247910121901</v>
      </c>
      <c r="K2242" s="6">
        <v>1.8104406236178701</v>
      </c>
      <c r="L2242">
        <v>-1.1319015195931901</v>
      </c>
      <c r="M2242">
        <v>0.86216063678673205</v>
      </c>
    </row>
    <row r="2243" spans="1:13" x14ac:dyDescent="0.25">
      <c r="A2243">
        <v>2994</v>
      </c>
      <c r="B2243" t="str">
        <f>"MED23"</f>
        <v>MED23</v>
      </c>
      <c r="C2243" t="str">
        <f>""</f>
        <v/>
      </c>
      <c r="D2243">
        <v>155.55000000000001</v>
      </c>
      <c r="E2243">
        <v>1.7</v>
      </c>
      <c r="F2243">
        <v>3</v>
      </c>
      <c r="G2243">
        <v>2</v>
      </c>
      <c r="H2243">
        <v>3</v>
      </c>
      <c r="I2243" s="7">
        <v>1.68249544018291</v>
      </c>
      <c r="J2243" s="6">
        <v>1.1624247910121901</v>
      </c>
      <c r="K2243" s="6">
        <v>1.8104406236178701</v>
      </c>
      <c r="L2243">
        <v>-1.1319015195931901</v>
      </c>
      <c r="M2243">
        <v>0.86216063678673205</v>
      </c>
    </row>
    <row r="2244" spans="1:13" x14ac:dyDescent="0.25">
      <c r="A2244">
        <v>432</v>
      </c>
      <c r="B2244" t="str">
        <f>"CLPTM1"</f>
        <v>CLPTM1</v>
      </c>
      <c r="C2244" t="str">
        <f>""</f>
        <v/>
      </c>
      <c r="D2244">
        <v>65.596000000000004</v>
      </c>
      <c r="E2244">
        <v>7.4</v>
      </c>
      <c r="F2244">
        <v>3</v>
      </c>
      <c r="G2244">
        <v>2</v>
      </c>
      <c r="H2244">
        <v>3</v>
      </c>
      <c r="I2244" s="7">
        <v>1.68249544018291</v>
      </c>
      <c r="J2244" s="6">
        <v>1.1624247910121901</v>
      </c>
      <c r="K2244" s="6">
        <v>1.8104406236178701</v>
      </c>
      <c r="L2244">
        <v>-1.1319015195931901</v>
      </c>
      <c r="M2244">
        <v>0.86216063678673205</v>
      </c>
    </row>
    <row r="2245" spans="1:13" x14ac:dyDescent="0.25">
      <c r="A2245">
        <v>550</v>
      </c>
      <c r="B2245" t="str">
        <f>"CDK1"</f>
        <v>CDK1</v>
      </c>
      <c r="C2245" t="str">
        <f>"CDK1"</f>
        <v>CDK1</v>
      </c>
      <c r="D2245">
        <v>27.501999999999999</v>
      </c>
      <c r="E2245">
        <v>20.399999999999999</v>
      </c>
      <c r="F2245">
        <v>3</v>
      </c>
      <c r="G2245">
        <v>2</v>
      </c>
      <c r="H2245">
        <v>3</v>
      </c>
      <c r="I2245" s="7">
        <v>1.68249544018291</v>
      </c>
      <c r="J2245" s="6">
        <v>1.1624247910121901</v>
      </c>
      <c r="K2245" s="6">
        <v>1.8104406236178701</v>
      </c>
      <c r="L2245">
        <v>-1.1319015195931901</v>
      </c>
      <c r="M2245">
        <v>0.86216063678673205</v>
      </c>
    </row>
    <row r="2246" spans="1:13" x14ac:dyDescent="0.25">
      <c r="A2246">
        <v>607</v>
      </c>
      <c r="B2246" t="str">
        <f>"HMGB1;HMGB1P1"</f>
        <v>HMGB1;HMGB1P1</v>
      </c>
      <c r="C2246" t="str">
        <f>""</f>
        <v/>
      </c>
      <c r="D2246">
        <v>24.893000000000001</v>
      </c>
      <c r="E2246">
        <v>21.9</v>
      </c>
      <c r="F2246">
        <v>3</v>
      </c>
      <c r="G2246">
        <v>2</v>
      </c>
      <c r="H2246">
        <v>3</v>
      </c>
      <c r="I2246" s="7">
        <v>1.68249544018291</v>
      </c>
      <c r="J2246" s="6">
        <v>1.1624247910121901</v>
      </c>
      <c r="K2246" s="6">
        <v>1.8104406236178701</v>
      </c>
      <c r="L2246">
        <v>-1.1319015195931901</v>
      </c>
      <c r="M2246">
        <v>0.86216063678673205</v>
      </c>
    </row>
    <row r="2247" spans="1:13" x14ac:dyDescent="0.25">
      <c r="A2247">
        <v>1504</v>
      </c>
      <c r="B2247" t="str">
        <f>"KIAA0196"</f>
        <v>KIAA0196</v>
      </c>
      <c r="C2247" t="str">
        <f>""</f>
        <v/>
      </c>
      <c r="D2247">
        <v>134.28</v>
      </c>
      <c r="E2247">
        <v>7.8</v>
      </c>
      <c r="F2247">
        <v>3</v>
      </c>
      <c r="G2247">
        <v>2</v>
      </c>
      <c r="H2247">
        <v>3</v>
      </c>
      <c r="I2247" s="7">
        <v>1.68249544018291</v>
      </c>
      <c r="J2247" s="6">
        <v>1.1624247910121901</v>
      </c>
      <c r="K2247" s="6">
        <v>1.8104406236178701</v>
      </c>
      <c r="L2247">
        <v>-1.1319015195931901</v>
      </c>
      <c r="M2247">
        <v>0.86216063678673205</v>
      </c>
    </row>
    <row r="2248" spans="1:13" x14ac:dyDescent="0.25">
      <c r="A2248">
        <v>2440</v>
      </c>
      <c r="B2248" t="str">
        <f>"PUS7"</f>
        <v>PUS7</v>
      </c>
      <c r="C2248" t="str">
        <f>""</f>
        <v/>
      </c>
      <c r="D2248">
        <v>75.034999999999997</v>
      </c>
      <c r="E2248">
        <v>3.6</v>
      </c>
      <c r="F2248">
        <v>3</v>
      </c>
      <c r="G2248">
        <v>2</v>
      </c>
      <c r="H2248">
        <v>3</v>
      </c>
      <c r="I2248" s="7">
        <v>1.68249544018291</v>
      </c>
      <c r="J2248" s="6">
        <v>1.1624247910121901</v>
      </c>
      <c r="K2248" s="6">
        <v>1.8104406236178701</v>
      </c>
      <c r="L2248">
        <v>-1.1319015195931901</v>
      </c>
      <c r="M2248">
        <v>0.86216063678673205</v>
      </c>
    </row>
    <row r="2249" spans="1:13" x14ac:dyDescent="0.25">
      <c r="A2249">
        <v>2628</v>
      </c>
      <c r="B2249" t="str">
        <f>"ACTR6"</f>
        <v>ACTR6</v>
      </c>
      <c r="C2249" t="str">
        <f>""</f>
        <v/>
      </c>
      <c r="D2249">
        <v>45.81</v>
      </c>
      <c r="E2249">
        <v>8.1</v>
      </c>
      <c r="F2249">
        <v>3</v>
      </c>
      <c r="G2249">
        <v>2</v>
      </c>
      <c r="H2249">
        <v>3</v>
      </c>
      <c r="I2249" s="7">
        <v>1.68249544018291</v>
      </c>
      <c r="J2249" s="6">
        <v>1.1624247910121901</v>
      </c>
      <c r="K2249" s="6">
        <v>1.8104406236178701</v>
      </c>
      <c r="L2249">
        <v>-1.1319015195931901</v>
      </c>
      <c r="M2249">
        <v>0.86216063678673205</v>
      </c>
    </row>
    <row r="2250" spans="1:13" x14ac:dyDescent="0.25">
      <c r="A2250">
        <v>2760</v>
      </c>
      <c r="B2250" t="str">
        <f>"RIC8A"</f>
        <v>RIC8A</v>
      </c>
      <c r="C2250" t="str">
        <f>""</f>
        <v/>
      </c>
      <c r="D2250">
        <v>59.612000000000002</v>
      </c>
      <c r="E2250">
        <v>6.6</v>
      </c>
      <c r="F2250">
        <v>3</v>
      </c>
      <c r="G2250">
        <v>2</v>
      </c>
      <c r="H2250">
        <v>3</v>
      </c>
      <c r="I2250" s="7">
        <v>1.68249544018291</v>
      </c>
      <c r="J2250" s="6">
        <v>1.1624247910121901</v>
      </c>
      <c r="K2250" s="6">
        <v>1.8104406236178701</v>
      </c>
      <c r="L2250">
        <v>-1.1319015195931901</v>
      </c>
      <c r="M2250">
        <v>0.86216063678673205</v>
      </c>
    </row>
    <row r="2251" spans="1:13" x14ac:dyDescent="0.25">
      <c r="A2251">
        <v>2915</v>
      </c>
      <c r="B2251" t="str">
        <f>"COPG2"</f>
        <v>COPG2</v>
      </c>
      <c r="C2251" t="str">
        <f>""</f>
        <v/>
      </c>
      <c r="D2251">
        <v>81.481999999999999</v>
      </c>
      <c r="E2251">
        <v>7.7</v>
      </c>
      <c r="F2251">
        <v>3</v>
      </c>
      <c r="G2251">
        <v>2</v>
      </c>
      <c r="H2251">
        <v>3</v>
      </c>
      <c r="I2251" s="7">
        <v>1.68249544018291</v>
      </c>
      <c r="J2251" s="6">
        <v>1.1624247910121901</v>
      </c>
      <c r="K2251" s="6">
        <v>1.8104406236178701</v>
      </c>
      <c r="L2251">
        <v>-1.1319015195931901</v>
      </c>
      <c r="M2251">
        <v>0.86216063678673205</v>
      </c>
    </row>
    <row r="2252" spans="1:13" x14ac:dyDescent="0.25">
      <c r="A2252">
        <v>3075</v>
      </c>
      <c r="B2252" t="str">
        <f>"SUGT1"</f>
        <v>SUGT1</v>
      </c>
      <c r="C2252" t="str">
        <f>""</f>
        <v/>
      </c>
      <c r="D2252">
        <v>37.804000000000002</v>
      </c>
      <c r="E2252">
        <v>17.7</v>
      </c>
      <c r="F2252">
        <v>15</v>
      </c>
      <c r="G2252">
        <v>17</v>
      </c>
      <c r="H2252">
        <v>13</v>
      </c>
      <c r="I2252" s="7">
        <v>8.4124772009145303</v>
      </c>
      <c r="J2252" s="6">
        <v>9.88061072360364</v>
      </c>
      <c r="K2252" s="6">
        <v>7.8452427023441</v>
      </c>
      <c r="L2252">
        <v>1.05354540657898</v>
      </c>
      <c r="M2252">
        <v>0.86408637195960802</v>
      </c>
    </row>
    <row r="2253" spans="1:13" x14ac:dyDescent="0.25">
      <c r="A2253">
        <v>293</v>
      </c>
      <c r="B2253" t="str">
        <f>"PFDN1"</f>
        <v>PFDN1</v>
      </c>
      <c r="C2253" t="str">
        <f>""</f>
        <v/>
      </c>
      <c r="D2253">
        <v>14.21</v>
      </c>
      <c r="E2253">
        <v>9</v>
      </c>
      <c r="F2253">
        <v>1</v>
      </c>
      <c r="G2253">
        <v>5</v>
      </c>
      <c r="H2253">
        <v>0</v>
      </c>
      <c r="I2253" s="7">
        <v>0.56083181339430199</v>
      </c>
      <c r="J2253" s="6">
        <v>2.9060619775304799</v>
      </c>
      <c r="K2253" s="6">
        <v>0</v>
      </c>
      <c r="L2253">
        <v>2.5908497950055902</v>
      </c>
      <c r="M2253">
        <v>0.86604033412914005</v>
      </c>
    </row>
    <row r="2254" spans="1:13" x14ac:dyDescent="0.25">
      <c r="A2254">
        <v>2790</v>
      </c>
      <c r="B2254" t="str">
        <f>"RAB6B"</f>
        <v>RAB6B</v>
      </c>
      <c r="C2254" t="str">
        <f>""</f>
        <v/>
      </c>
      <c r="D2254">
        <v>23.460999999999999</v>
      </c>
      <c r="E2254">
        <v>24.5</v>
      </c>
      <c r="F2254">
        <v>15</v>
      </c>
      <c r="G2254">
        <v>12</v>
      </c>
      <c r="H2254">
        <v>15</v>
      </c>
      <c r="I2254" s="7">
        <v>8.4124772009145303</v>
      </c>
      <c r="J2254" s="6">
        <v>6.9745487460731601</v>
      </c>
      <c r="K2254" s="6">
        <v>9.0522031180893396</v>
      </c>
      <c r="L2254">
        <v>-1.0498043860934401</v>
      </c>
      <c r="M2254">
        <v>0.87481614376703298</v>
      </c>
    </row>
    <row r="2255" spans="1:13" x14ac:dyDescent="0.25">
      <c r="A2255">
        <v>1094</v>
      </c>
      <c r="B2255" t="str">
        <f>"FASN"</f>
        <v>FASN</v>
      </c>
      <c r="C2255" t="str">
        <f>""</f>
        <v/>
      </c>
      <c r="D2255">
        <v>273.42</v>
      </c>
      <c r="E2255">
        <v>13</v>
      </c>
      <c r="F2255">
        <v>46</v>
      </c>
      <c r="G2255">
        <v>36</v>
      </c>
      <c r="H2255">
        <v>55</v>
      </c>
      <c r="I2255" s="7">
        <v>25.7982634161379</v>
      </c>
      <c r="J2255" s="6">
        <v>20.923646238219501</v>
      </c>
      <c r="K2255" s="6">
        <v>33.1914114329943</v>
      </c>
      <c r="L2255">
        <v>1.0488120226992199</v>
      </c>
      <c r="M2255">
        <v>0.87696811457316404</v>
      </c>
    </row>
    <row r="2256" spans="1:13" x14ac:dyDescent="0.25">
      <c r="A2256">
        <v>1663</v>
      </c>
      <c r="B2256" t="str">
        <f>"GANAB"</f>
        <v>GANAB</v>
      </c>
      <c r="C2256" t="str">
        <f>""</f>
        <v/>
      </c>
      <c r="D2256">
        <v>109.44</v>
      </c>
      <c r="E2256">
        <v>15.8</v>
      </c>
      <c r="F2256">
        <v>9</v>
      </c>
      <c r="G2256">
        <v>5</v>
      </c>
      <c r="H2256">
        <v>11</v>
      </c>
      <c r="I2256" s="7">
        <v>5.0474863205487202</v>
      </c>
      <c r="J2256" s="6">
        <v>2.9060619775304799</v>
      </c>
      <c r="K2256" s="6">
        <v>6.6382822865988498</v>
      </c>
      <c r="L2256">
        <v>-1.05769158799495</v>
      </c>
      <c r="M2256">
        <v>0.87856767933295099</v>
      </c>
    </row>
    <row r="2257" spans="1:13" x14ac:dyDescent="0.25">
      <c r="A2257">
        <v>669</v>
      </c>
      <c r="B2257" t="str">
        <f>"XRCC6"</f>
        <v>XRCC6</v>
      </c>
      <c r="C2257" t="str">
        <f>""</f>
        <v/>
      </c>
      <c r="D2257">
        <v>69.841999999999999</v>
      </c>
      <c r="E2257">
        <v>12.3</v>
      </c>
      <c r="F2257">
        <v>9</v>
      </c>
      <c r="G2257">
        <v>10</v>
      </c>
      <c r="H2257">
        <v>6</v>
      </c>
      <c r="I2257" s="7">
        <v>5.0474863205487202</v>
      </c>
      <c r="J2257" s="6">
        <v>5.8121239550609696</v>
      </c>
      <c r="K2257" s="6">
        <v>3.6208812472357401</v>
      </c>
      <c r="L2257">
        <v>-1.07017566773307</v>
      </c>
      <c r="M2257">
        <v>0.87931316096665602</v>
      </c>
    </row>
    <row r="2258" spans="1:13" x14ac:dyDescent="0.25">
      <c r="A2258">
        <v>955</v>
      </c>
      <c r="B2258" t="str">
        <f>"COPB2"</f>
        <v>COPB2</v>
      </c>
      <c r="C2258" t="str">
        <f>""</f>
        <v/>
      </c>
      <c r="D2258">
        <v>99.045000000000002</v>
      </c>
      <c r="E2258">
        <v>11.3</v>
      </c>
      <c r="F2258">
        <v>9</v>
      </c>
      <c r="G2258">
        <v>9</v>
      </c>
      <c r="H2258">
        <v>7</v>
      </c>
      <c r="I2258" s="7">
        <v>5.0474863205487202</v>
      </c>
      <c r="J2258" s="6">
        <v>5.2309115595548699</v>
      </c>
      <c r="K2258" s="6">
        <v>4.2243614551083599</v>
      </c>
      <c r="L2258">
        <v>-1.0676553310985499</v>
      </c>
      <c r="M2258">
        <v>0.87976027251487898</v>
      </c>
    </row>
    <row r="2259" spans="1:13" x14ac:dyDescent="0.25">
      <c r="A2259">
        <v>1482</v>
      </c>
      <c r="B2259" t="str">
        <f>"DHX9"</f>
        <v>DHX9</v>
      </c>
      <c r="C2259" t="str">
        <f>""</f>
        <v/>
      </c>
      <c r="D2259">
        <v>140.96</v>
      </c>
      <c r="E2259">
        <v>5.8</v>
      </c>
      <c r="F2259">
        <v>9</v>
      </c>
      <c r="G2259">
        <v>7</v>
      </c>
      <c r="H2259">
        <v>9</v>
      </c>
      <c r="I2259" s="7">
        <v>5.0474863205487202</v>
      </c>
      <c r="J2259" s="6">
        <v>4.0684867685426802</v>
      </c>
      <c r="K2259" s="6">
        <v>5.4313218708536004</v>
      </c>
      <c r="L2259">
        <v>-1.06265010425926</v>
      </c>
      <c r="M2259">
        <v>0.87976036964177395</v>
      </c>
    </row>
    <row r="2260" spans="1:13" x14ac:dyDescent="0.25">
      <c r="A2260">
        <v>232</v>
      </c>
      <c r="B2260" t="str">
        <f>"BUB3"</f>
        <v>BUB3</v>
      </c>
      <c r="C2260" t="str">
        <f>""</f>
        <v/>
      </c>
      <c r="D2260">
        <v>36.954000000000001</v>
      </c>
      <c r="E2260">
        <v>13.5</v>
      </c>
      <c r="F2260">
        <v>9</v>
      </c>
      <c r="G2260">
        <v>8</v>
      </c>
      <c r="H2260">
        <v>8</v>
      </c>
      <c r="I2260" s="7">
        <v>5.0474863205487202</v>
      </c>
      <c r="J2260" s="6">
        <v>4.6496991640487702</v>
      </c>
      <c r="K2260" s="6">
        <v>4.8278416629809797</v>
      </c>
      <c r="L2260">
        <v>-1.0651468377014801</v>
      </c>
      <c r="M2260">
        <v>0.87990931174809195</v>
      </c>
    </row>
    <row r="2261" spans="1:13" x14ac:dyDescent="0.25">
      <c r="A2261">
        <v>2975</v>
      </c>
      <c r="B2261" t="str">
        <f>"CPSF3"</f>
        <v>CPSF3</v>
      </c>
      <c r="C2261" t="str">
        <f>""</f>
        <v/>
      </c>
      <c r="D2261">
        <v>77.484999999999999</v>
      </c>
      <c r="E2261">
        <v>4.0999999999999996</v>
      </c>
      <c r="F2261">
        <v>9</v>
      </c>
      <c r="G2261">
        <v>8</v>
      </c>
      <c r="H2261">
        <v>8</v>
      </c>
      <c r="I2261" s="7">
        <v>5.0474863205487202</v>
      </c>
      <c r="J2261" s="6">
        <v>4.6496991640487702</v>
      </c>
      <c r="K2261" s="6">
        <v>4.8278416629809797</v>
      </c>
      <c r="L2261">
        <v>-1.0651468377014801</v>
      </c>
      <c r="M2261">
        <v>0.87990931174809195</v>
      </c>
    </row>
    <row r="2262" spans="1:13" x14ac:dyDescent="0.25">
      <c r="A2262">
        <v>287</v>
      </c>
      <c r="B2262" t="str">
        <f>"EIF5B"</f>
        <v>EIF5B</v>
      </c>
      <c r="C2262" t="str">
        <f>""</f>
        <v/>
      </c>
      <c r="D2262">
        <v>138.83000000000001</v>
      </c>
      <c r="E2262">
        <v>4.5999999999999996</v>
      </c>
      <c r="F2262">
        <v>9</v>
      </c>
      <c r="G2262">
        <v>8</v>
      </c>
      <c r="H2262">
        <v>8</v>
      </c>
      <c r="I2262" s="7">
        <v>5.0474863205487202</v>
      </c>
      <c r="J2262" s="6">
        <v>4.6496991640487702</v>
      </c>
      <c r="K2262" s="6">
        <v>4.8278416629809797</v>
      </c>
      <c r="L2262">
        <v>-1.0651468377014801</v>
      </c>
      <c r="M2262">
        <v>0.87990931174809195</v>
      </c>
    </row>
    <row r="2263" spans="1:13" x14ac:dyDescent="0.25">
      <c r="A2263">
        <v>994</v>
      </c>
      <c r="B2263" t="str">
        <f>"CCT6A"</f>
        <v>CCT6A</v>
      </c>
      <c r="C2263" t="str">
        <f>""</f>
        <v/>
      </c>
      <c r="D2263">
        <v>53.287999999999997</v>
      </c>
      <c r="E2263">
        <v>7.8</v>
      </c>
      <c r="F2263">
        <v>11</v>
      </c>
      <c r="G2263">
        <v>11</v>
      </c>
      <c r="H2263">
        <v>11</v>
      </c>
      <c r="I2263" s="7">
        <v>6.1691499473373197</v>
      </c>
      <c r="J2263" s="6">
        <v>6.3933363505670604</v>
      </c>
      <c r="K2263" s="6">
        <v>6.6382822865988498</v>
      </c>
      <c r="L2263">
        <v>1.0561924048215501</v>
      </c>
      <c r="M2263">
        <v>0.88327909371013003</v>
      </c>
    </row>
    <row r="2264" spans="1:13" x14ac:dyDescent="0.25">
      <c r="A2264">
        <v>1333</v>
      </c>
      <c r="B2264" t="str">
        <f>"RAN"</f>
        <v>RAN</v>
      </c>
      <c r="C2264" t="str">
        <f>""</f>
        <v/>
      </c>
      <c r="D2264">
        <v>24.422999999999998</v>
      </c>
      <c r="E2264">
        <v>4.5999999999999996</v>
      </c>
      <c r="F2264">
        <v>11</v>
      </c>
      <c r="G2264">
        <v>10</v>
      </c>
      <c r="H2264">
        <v>12</v>
      </c>
      <c r="I2264" s="7">
        <v>6.1691499473373197</v>
      </c>
      <c r="J2264" s="6">
        <v>5.8121239550609696</v>
      </c>
      <c r="K2264" s="6">
        <v>7.2417624944714696</v>
      </c>
      <c r="L2264">
        <v>1.05799717635058</v>
      </c>
      <c r="M2264">
        <v>0.88337280675032204</v>
      </c>
    </row>
    <row r="2265" spans="1:13" x14ac:dyDescent="0.25">
      <c r="A2265">
        <v>1328</v>
      </c>
      <c r="B2265" t="str">
        <f>"PPP2CB;PPP2CA"</f>
        <v>PPP2CB;PPP2CA</v>
      </c>
      <c r="C2265" t="str">
        <f>""</f>
        <v/>
      </c>
      <c r="D2265">
        <v>35.575000000000003</v>
      </c>
      <c r="E2265">
        <v>12.9</v>
      </c>
      <c r="F2265">
        <v>11</v>
      </c>
      <c r="G2265">
        <v>10</v>
      </c>
      <c r="H2265">
        <v>12</v>
      </c>
      <c r="I2265" s="7">
        <v>6.1691499473373197</v>
      </c>
      <c r="J2265" s="6">
        <v>5.8121239550609696</v>
      </c>
      <c r="K2265" s="6">
        <v>7.2417624944714696</v>
      </c>
      <c r="L2265">
        <v>1.05799717635058</v>
      </c>
      <c r="M2265">
        <v>0.88337280675032204</v>
      </c>
    </row>
    <row r="2266" spans="1:13" x14ac:dyDescent="0.25">
      <c r="A2266">
        <v>2955</v>
      </c>
      <c r="B2266" t="str">
        <f>"PUF60"</f>
        <v>PUF60</v>
      </c>
      <c r="C2266" t="str">
        <f>""</f>
        <v/>
      </c>
      <c r="D2266">
        <v>55.399000000000001</v>
      </c>
      <c r="E2266">
        <v>19.7</v>
      </c>
      <c r="F2266">
        <v>23</v>
      </c>
      <c r="G2266">
        <v>24</v>
      </c>
      <c r="H2266">
        <v>18</v>
      </c>
      <c r="I2266" s="7">
        <v>12.8991317080689</v>
      </c>
      <c r="J2266" s="6">
        <v>13.949097492146301</v>
      </c>
      <c r="K2266" s="6">
        <v>10.862643741707201</v>
      </c>
      <c r="L2266">
        <v>-1.03976029626403</v>
      </c>
      <c r="M2266">
        <v>0.88801146581027401</v>
      </c>
    </row>
    <row r="2267" spans="1:13" x14ac:dyDescent="0.25">
      <c r="A2267">
        <v>1660</v>
      </c>
      <c r="B2267" t="str">
        <f>"PDCD11"</f>
        <v>PDCD11</v>
      </c>
      <c r="C2267" t="str">
        <f>""</f>
        <v/>
      </c>
      <c r="D2267">
        <v>208.7</v>
      </c>
      <c r="E2267">
        <v>4.7</v>
      </c>
      <c r="F2267">
        <v>10</v>
      </c>
      <c r="G2267">
        <v>10</v>
      </c>
      <c r="H2267">
        <v>10</v>
      </c>
      <c r="I2267" s="7">
        <v>5.6083181339430199</v>
      </c>
      <c r="J2267" s="6">
        <v>5.8121239550609696</v>
      </c>
      <c r="K2267" s="6">
        <v>6.03480207872623</v>
      </c>
      <c r="L2267">
        <v>1.0561924048215501</v>
      </c>
      <c r="M2267">
        <v>0.88867985926429105</v>
      </c>
    </row>
    <row r="2268" spans="1:13" x14ac:dyDescent="0.25">
      <c r="A2268">
        <v>1325</v>
      </c>
      <c r="B2268" t="str">
        <f>"ETF1"</f>
        <v>ETF1</v>
      </c>
      <c r="C2268" t="str">
        <f>""</f>
        <v/>
      </c>
      <c r="D2268">
        <v>49.03</v>
      </c>
      <c r="E2268">
        <v>13.5</v>
      </c>
      <c r="F2268">
        <v>10</v>
      </c>
      <c r="G2268">
        <v>9</v>
      </c>
      <c r="H2268">
        <v>11</v>
      </c>
      <c r="I2268" s="7">
        <v>5.6083181339430199</v>
      </c>
      <c r="J2268" s="6">
        <v>5.2309115595548699</v>
      </c>
      <c r="K2268" s="6">
        <v>6.6382822865988498</v>
      </c>
      <c r="L2268">
        <v>1.0581776535034799</v>
      </c>
      <c r="M2268">
        <v>0.88878810174230505</v>
      </c>
    </row>
    <row r="2269" spans="1:13" x14ac:dyDescent="0.25">
      <c r="A2269">
        <v>667</v>
      </c>
      <c r="B2269" t="str">
        <f>"ACTN1"</f>
        <v>ACTN1</v>
      </c>
      <c r="C2269" t="str">
        <f>""</f>
        <v/>
      </c>
      <c r="D2269">
        <v>102.71</v>
      </c>
      <c r="E2269">
        <v>15.6</v>
      </c>
      <c r="F2269">
        <v>10</v>
      </c>
      <c r="G2269">
        <v>11</v>
      </c>
      <c r="H2269">
        <v>9</v>
      </c>
      <c r="I2269" s="7">
        <v>5.6083181339430199</v>
      </c>
      <c r="J2269" s="6">
        <v>6.3933363505670604</v>
      </c>
      <c r="K2269" s="6">
        <v>5.4313218708536004</v>
      </c>
      <c r="L2269">
        <v>1.05420715613962</v>
      </c>
      <c r="M2269">
        <v>0.88878815436454195</v>
      </c>
    </row>
    <row r="2270" spans="1:13" x14ac:dyDescent="0.25">
      <c r="A2270">
        <v>1594</v>
      </c>
      <c r="B2270" t="str">
        <f>"CUL1"</f>
        <v>CUL1</v>
      </c>
      <c r="C2270" t="str">
        <f>""</f>
        <v/>
      </c>
      <c r="D2270">
        <v>89.677000000000007</v>
      </c>
      <c r="E2270">
        <v>5.9</v>
      </c>
      <c r="F2270">
        <v>9</v>
      </c>
      <c r="G2270">
        <v>9</v>
      </c>
      <c r="H2270">
        <v>9</v>
      </c>
      <c r="I2270" s="7">
        <v>5.0474863205487202</v>
      </c>
      <c r="J2270" s="6">
        <v>5.2309115595548699</v>
      </c>
      <c r="K2270" s="6">
        <v>5.4313218708536004</v>
      </c>
      <c r="L2270">
        <v>1.0561924048215501</v>
      </c>
      <c r="M2270">
        <v>0.89436293348816398</v>
      </c>
    </row>
    <row r="2271" spans="1:13" x14ac:dyDescent="0.25">
      <c r="A2271">
        <v>1237</v>
      </c>
      <c r="B2271" t="str">
        <f>"ADAR"</f>
        <v>ADAR</v>
      </c>
      <c r="C2271" t="str">
        <f>""</f>
        <v/>
      </c>
      <c r="D2271">
        <v>103.64</v>
      </c>
      <c r="E2271">
        <v>7.7</v>
      </c>
      <c r="F2271">
        <v>9</v>
      </c>
      <c r="G2271">
        <v>10</v>
      </c>
      <c r="H2271">
        <v>8</v>
      </c>
      <c r="I2271" s="7">
        <v>5.0474863205487202</v>
      </c>
      <c r="J2271" s="6">
        <v>5.8121239550609696</v>
      </c>
      <c r="K2271" s="6">
        <v>4.8278416629809797</v>
      </c>
      <c r="L2271">
        <v>1.05398657295274</v>
      </c>
      <c r="M2271">
        <v>0.89448987210692998</v>
      </c>
    </row>
    <row r="2272" spans="1:13" x14ac:dyDescent="0.25">
      <c r="A2272">
        <v>2483</v>
      </c>
      <c r="B2272" t="str">
        <f>"DNAJC7"</f>
        <v>DNAJC7</v>
      </c>
      <c r="C2272" t="str">
        <f>""</f>
        <v/>
      </c>
      <c r="D2272">
        <v>50.095999999999997</v>
      </c>
      <c r="E2272">
        <v>17.100000000000001</v>
      </c>
      <c r="F2272">
        <v>9</v>
      </c>
      <c r="G2272">
        <v>10</v>
      </c>
      <c r="H2272">
        <v>8</v>
      </c>
      <c r="I2272" s="7">
        <v>5.0474863205487202</v>
      </c>
      <c r="J2272" s="6">
        <v>5.8121239550609696</v>
      </c>
      <c r="K2272" s="6">
        <v>4.8278416629809797</v>
      </c>
      <c r="L2272">
        <v>1.05398657295274</v>
      </c>
      <c r="M2272">
        <v>0.89448987210692998</v>
      </c>
    </row>
    <row r="2273" spans="1:13" x14ac:dyDescent="0.25">
      <c r="A2273">
        <v>1155</v>
      </c>
      <c r="B2273" t="str">
        <f>"DAP3"</f>
        <v>DAP3</v>
      </c>
      <c r="C2273" t="str">
        <f>""</f>
        <v/>
      </c>
      <c r="D2273">
        <v>41.043999999999997</v>
      </c>
      <c r="E2273">
        <v>13.7</v>
      </c>
      <c r="F2273">
        <v>9</v>
      </c>
      <c r="G2273">
        <v>11</v>
      </c>
      <c r="H2273">
        <v>7</v>
      </c>
      <c r="I2273" s="7">
        <v>5.0474863205487202</v>
      </c>
      <c r="J2273" s="6">
        <v>6.3933363505670604</v>
      </c>
      <c r="K2273" s="6">
        <v>4.2243614551083599</v>
      </c>
      <c r="L2273">
        <v>1.0517807410839299</v>
      </c>
      <c r="M2273">
        <v>0.89487102726589696</v>
      </c>
    </row>
    <row r="2274" spans="1:13" x14ac:dyDescent="0.25">
      <c r="A2274">
        <v>1472</v>
      </c>
      <c r="B2274" t="str">
        <f>"RPL18"</f>
        <v>RPL18</v>
      </c>
      <c r="C2274" t="str">
        <f>""</f>
        <v/>
      </c>
      <c r="D2274">
        <v>18.091000000000001</v>
      </c>
      <c r="E2274">
        <v>31.4</v>
      </c>
      <c r="F2274">
        <v>10</v>
      </c>
      <c r="G2274">
        <v>6</v>
      </c>
      <c r="H2274">
        <v>12</v>
      </c>
      <c r="I2274" s="7">
        <v>5.6083181339430199</v>
      </c>
      <c r="J2274" s="6">
        <v>3.4872743730365801</v>
      </c>
      <c r="K2274" s="6">
        <v>7.2417624944714696</v>
      </c>
      <c r="L2274">
        <v>-1.0454467075096601</v>
      </c>
      <c r="M2274">
        <v>0.89666524723866103</v>
      </c>
    </row>
    <row r="2275" spans="1:13" x14ac:dyDescent="0.25">
      <c r="A2275">
        <v>1771</v>
      </c>
      <c r="B2275" t="str">
        <f>"FSCN1"</f>
        <v>FSCN1</v>
      </c>
      <c r="C2275" t="str">
        <f>""</f>
        <v/>
      </c>
      <c r="D2275">
        <v>54.529000000000003</v>
      </c>
      <c r="E2275">
        <v>7.3</v>
      </c>
      <c r="F2275">
        <v>10</v>
      </c>
      <c r="G2275">
        <v>11</v>
      </c>
      <c r="H2275">
        <v>7</v>
      </c>
      <c r="I2275" s="7">
        <v>5.6083181339430199</v>
      </c>
      <c r="J2275" s="6">
        <v>6.3933363505670604</v>
      </c>
      <c r="K2275" s="6">
        <v>4.2243614551083599</v>
      </c>
      <c r="L2275">
        <v>-1.05640944705457</v>
      </c>
      <c r="M2275">
        <v>0.89729276760160603</v>
      </c>
    </row>
    <row r="2276" spans="1:13" x14ac:dyDescent="0.25">
      <c r="A2276">
        <v>1768</v>
      </c>
      <c r="B2276" t="str">
        <f>"SRSF7"</f>
        <v>SRSF7</v>
      </c>
      <c r="C2276" t="str">
        <f>""</f>
        <v/>
      </c>
      <c r="D2276">
        <v>15.257</v>
      </c>
      <c r="E2276">
        <v>15.9</v>
      </c>
      <c r="F2276">
        <v>10</v>
      </c>
      <c r="G2276">
        <v>9</v>
      </c>
      <c r="H2276">
        <v>9</v>
      </c>
      <c r="I2276" s="7">
        <v>5.6083181339430199</v>
      </c>
      <c r="J2276" s="6">
        <v>5.2309115595548699</v>
      </c>
      <c r="K2276" s="6">
        <v>5.4313218708536004</v>
      </c>
      <c r="L2276">
        <v>-1.0519968767422001</v>
      </c>
      <c r="M2276">
        <v>0.89779474228206402</v>
      </c>
    </row>
    <row r="2277" spans="1:13" x14ac:dyDescent="0.25">
      <c r="A2277">
        <v>2125</v>
      </c>
      <c r="B2277" t="str">
        <f>"CCAR2"</f>
        <v>CCAR2</v>
      </c>
      <c r="C2277" t="str">
        <f>""</f>
        <v/>
      </c>
      <c r="D2277">
        <v>102.9</v>
      </c>
      <c r="E2277">
        <v>8.1999999999999993</v>
      </c>
      <c r="F2277">
        <v>10</v>
      </c>
      <c r="G2277">
        <v>9</v>
      </c>
      <c r="H2277">
        <v>9</v>
      </c>
      <c r="I2277" s="7">
        <v>5.6083181339430199</v>
      </c>
      <c r="J2277" s="6">
        <v>5.2309115595548699</v>
      </c>
      <c r="K2277" s="6">
        <v>5.4313218708536004</v>
      </c>
      <c r="L2277">
        <v>-1.0519968767422001</v>
      </c>
      <c r="M2277">
        <v>0.89779474228206402</v>
      </c>
    </row>
    <row r="2278" spans="1:13" x14ac:dyDescent="0.25">
      <c r="A2278">
        <v>1451</v>
      </c>
      <c r="B2278" t="str">
        <f>"GLO1"</f>
        <v>GLO1</v>
      </c>
      <c r="C2278" t="str">
        <f>""</f>
        <v/>
      </c>
      <c r="D2278">
        <v>19.042999999999999</v>
      </c>
      <c r="E2278">
        <v>14.8</v>
      </c>
      <c r="F2278">
        <v>10</v>
      </c>
      <c r="G2278">
        <v>9</v>
      </c>
      <c r="H2278">
        <v>9</v>
      </c>
      <c r="I2278" s="7">
        <v>5.6083181339430199</v>
      </c>
      <c r="J2278" s="6">
        <v>5.2309115595548699</v>
      </c>
      <c r="K2278" s="6">
        <v>5.4313218708536004</v>
      </c>
      <c r="L2278">
        <v>-1.0519968767422001</v>
      </c>
      <c r="M2278">
        <v>0.89779474228206402</v>
      </c>
    </row>
    <row r="2279" spans="1:13" x14ac:dyDescent="0.25">
      <c r="A2279">
        <v>1034</v>
      </c>
      <c r="B2279" t="str">
        <f>"MATR3"</f>
        <v>MATR3</v>
      </c>
      <c r="C2279" t="str">
        <f>""</f>
        <v/>
      </c>
      <c r="D2279">
        <v>94.622</v>
      </c>
      <c r="E2279">
        <v>12.5</v>
      </c>
      <c r="F2279">
        <v>10</v>
      </c>
      <c r="G2279">
        <v>9</v>
      </c>
      <c r="H2279">
        <v>9</v>
      </c>
      <c r="I2279" s="7">
        <v>5.6083181339430199</v>
      </c>
      <c r="J2279" s="6">
        <v>5.2309115595548699</v>
      </c>
      <c r="K2279" s="6">
        <v>5.4313218708536004</v>
      </c>
      <c r="L2279">
        <v>-1.0519968767422001</v>
      </c>
      <c r="M2279">
        <v>0.89779474228206402</v>
      </c>
    </row>
    <row r="2280" spans="1:13" x14ac:dyDescent="0.25">
      <c r="A2280">
        <v>256</v>
      </c>
      <c r="B2280" t="str">
        <f>"PRPSAP2"</f>
        <v>PRPSAP2</v>
      </c>
      <c r="C2280" t="str">
        <f>""</f>
        <v/>
      </c>
      <c r="D2280">
        <v>35.546999999999997</v>
      </c>
      <c r="E2280">
        <v>9.6999999999999993</v>
      </c>
      <c r="F2280">
        <v>4</v>
      </c>
      <c r="G2280">
        <v>5</v>
      </c>
      <c r="H2280">
        <v>2</v>
      </c>
      <c r="I2280" s="7">
        <v>2.2433272535772102</v>
      </c>
      <c r="J2280" s="6">
        <v>2.9060619775304799</v>
      </c>
      <c r="K2280" s="6">
        <v>1.20696041574525</v>
      </c>
      <c r="L2280">
        <v>-1.0908412544725099</v>
      </c>
      <c r="M2280">
        <v>0.89916772116695398</v>
      </c>
    </row>
    <row r="2281" spans="1:13" x14ac:dyDescent="0.25">
      <c r="A2281">
        <v>1190</v>
      </c>
      <c r="B2281" t="str">
        <f>"HK2"</f>
        <v>HK2</v>
      </c>
      <c r="C2281" t="str">
        <f>""</f>
        <v/>
      </c>
      <c r="D2281">
        <v>102.38</v>
      </c>
      <c r="E2281">
        <v>4</v>
      </c>
      <c r="F2281">
        <v>4</v>
      </c>
      <c r="G2281">
        <v>4</v>
      </c>
      <c r="H2281">
        <v>3</v>
      </c>
      <c r="I2281" s="7">
        <v>2.2433272535772102</v>
      </c>
      <c r="J2281" s="6">
        <v>2.32484958202439</v>
      </c>
      <c r="K2281" s="6">
        <v>1.8104406236178701</v>
      </c>
      <c r="L2281">
        <v>-1.0849672656668099</v>
      </c>
      <c r="M2281">
        <v>0.90020029755081898</v>
      </c>
    </row>
    <row r="2282" spans="1:13" x14ac:dyDescent="0.25">
      <c r="A2282">
        <v>2671</v>
      </c>
      <c r="B2282" t="str">
        <f>"UNC45A"</f>
        <v>UNC45A</v>
      </c>
      <c r="C2282" t="str">
        <f>""</f>
        <v/>
      </c>
      <c r="D2282">
        <v>101.67</v>
      </c>
      <c r="E2282">
        <v>5.0999999999999996</v>
      </c>
      <c r="F2282">
        <v>4</v>
      </c>
      <c r="G2282">
        <v>4</v>
      </c>
      <c r="H2282">
        <v>3</v>
      </c>
      <c r="I2282" s="7">
        <v>2.2433272535772102</v>
      </c>
      <c r="J2282" s="6">
        <v>2.32484958202439</v>
      </c>
      <c r="K2282" s="6">
        <v>1.8104406236178701</v>
      </c>
      <c r="L2282">
        <v>-1.0849672656668099</v>
      </c>
      <c r="M2282">
        <v>0.90020029755081898</v>
      </c>
    </row>
    <row r="2283" spans="1:13" x14ac:dyDescent="0.25">
      <c r="A2283">
        <v>2030</v>
      </c>
      <c r="B2283" t="str">
        <f>"WAPAL"</f>
        <v>WAPAL</v>
      </c>
      <c r="C2283" t="str">
        <f>""</f>
        <v/>
      </c>
      <c r="D2283">
        <v>132.94</v>
      </c>
      <c r="E2283">
        <v>3</v>
      </c>
      <c r="F2283">
        <v>4</v>
      </c>
      <c r="G2283">
        <v>4</v>
      </c>
      <c r="H2283">
        <v>3</v>
      </c>
      <c r="I2283" s="7">
        <v>2.2433272535772102</v>
      </c>
      <c r="J2283" s="6">
        <v>2.32484958202439</v>
      </c>
      <c r="K2283" s="6">
        <v>1.8104406236178701</v>
      </c>
      <c r="L2283">
        <v>-1.0849672656668099</v>
      </c>
      <c r="M2283">
        <v>0.90020029755081898</v>
      </c>
    </row>
    <row r="2284" spans="1:13" x14ac:dyDescent="0.25">
      <c r="A2284">
        <v>945</v>
      </c>
      <c r="B2284" t="str">
        <f>"RFC4"</f>
        <v>RFC4</v>
      </c>
      <c r="C2284" t="str">
        <f>""</f>
        <v/>
      </c>
      <c r="D2284">
        <v>33.674999999999997</v>
      </c>
      <c r="E2284">
        <v>6.3</v>
      </c>
      <c r="F2284">
        <v>4</v>
      </c>
      <c r="G2284">
        <v>4</v>
      </c>
      <c r="H2284">
        <v>3</v>
      </c>
      <c r="I2284" s="7">
        <v>2.2433272535772102</v>
      </c>
      <c r="J2284" s="6">
        <v>2.32484958202439</v>
      </c>
      <c r="K2284" s="6">
        <v>1.8104406236178701</v>
      </c>
      <c r="L2284">
        <v>-1.0849672656668099</v>
      </c>
      <c r="M2284">
        <v>0.90020029755081898</v>
      </c>
    </row>
    <row r="2285" spans="1:13" x14ac:dyDescent="0.25">
      <c r="A2285">
        <v>1127</v>
      </c>
      <c r="B2285" t="str">
        <f>"LIG3"</f>
        <v>LIG3</v>
      </c>
      <c r="C2285" t="str">
        <f>""</f>
        <v/>
      </c>
      <c r="D2285">
        <v>102.69</v>
      </c>
      <c r="E2285">
        <v>6.4</v>
      </c>
      <c r="F2285">
        <v>4</v>
      </c>
      <c r="G2285">
        <v>4</v>
      </c>
      <c r="H2285">
        <v>3</v>
      </c>
      <c r="I2285" s="7">
        <v>2.2433272535772102</v>
      </c>
      <c r="J2285" s="6">
        <v>2.32484958202439</v>
      </c>
      <c r="K2285" s="6">
        <v>1.8104406236178701</v>
      </c>
      <c r="L2285">
        <v>-1.0849672656668099</v>
      </c>
      <c r="M2285">
        <v>0.90020029755081898</v>
      </c>
    </row>
    <row r="2286" spans="1:13" x14ac:dyDescent="0.25">
      <c r="A2286">
        <v>1202</v>
      </c>
      <c r="B2286" t="str">
        <f>"RABGGTB"</f>
        <v>RABGGTB</v>
      </c>
      <c r="C2286" t="str">
        <f>""</f>
        <v/>
      </c>
      <c r="D2286">
        <v>36.923999999999999</v>
      </c>
      <c r="E2286">
        <v>6.3</v>
      </c>
      <c r="F2286">
        <v>4</v>
      </c>
      <c r="G2286">
        <v>4</v>
      </c>
      <c r="H2286">
        <v>3</v>
      </c>
      <c r="I2286" s="7">
        <v>2.2433272535772102</v>
      </c>
      <c r="J2286" s="6">
        <v>2.32484958202439</v>
      </c>
      <c r="K2286" s="6">
        <v>1.8104406236178701</v>
      </c>
      <c r="L2286">
        <v>-1.0849672656668099</v>
      </c>
      <c r="M2286">
        <v>0.90020029755081898</v>
      </c>
    </row>
    <row r="2287" spans="1:13" x14ac:dyDescent="0.25">
      <c r="A2287">
        <v>1641</v>
      </c>
      <c r="B2287" t="str">
        <f>"TRIM25"</f>
        <v>TRIM25</v>
      </c>
      <c r="C2287" t="str">
        <f>""</f>
        <v/>
      </c>
      <c r="D2287">
        <v>70.972999999999999</v>
      </c>
      <c r="E2287">
        <v>12.2</v>
      </c>
      <c r="F2287">
        <v>4</v>
      </c>
      <c r="G2287">
        <v>4</v>
      </c>
      <c r="H2287">
        <v>3</v>
      </c>
      <c r="I2287" s="7">
        <v>2.2433272535772102</v>
      </c>
      <c r="J2287" s="6">
        <v>2.32484958202439</v>
      </c>
      <c r="K2287" s="6">
        <v>1.8104406236178701</v>
      </c>
      <c r="L2287">
        <v>-1.0849672656668099</v>
      </c>
      <c r="M2287">
        <v>0.90020029755081898</v>
      </c>
    </row>
    <row r="2288" spans="1:13" x14ac:dyDescent="0.25">
      <c r="A2288">
        <v>1670</v>
      </c>
      <c r="B2288" t="str">
        <f>"LASP1"</f>
        <v>LASP1</v>
      </c>
      <c r="C2288" t="str">
        <f>""</f>
        <v/>
      </c>
      <c r="D2288">
        <v>29.716999999999999</v>
      </c>
      <c r="E2288">
        <v>5.4</v>
      </c>
      <c r="F2288">
        <v>4</v>
      </c>
      <c r="G2288">
        <v>4</v>
      </c>
      <c r="H2288">
        <v>3</v>
      </c>
      <c r="I2288" s="7">
        <v>2.2433272535772102</v>
      </c>
      <c r="J2288" s="6">
        <v>2.32484958202439</v>
      </c>
      <c r="K2288" s="6">
        <v>1.8104406236178701</v>
      </c>
      <c r="L2288">
        <v>-1.0849672656668099</v>
      </c>
      <c r="M2288">
        <v>0.90020029755081898</v>
      </c>
    </row>
    <row r="2289" spans="1:13" x14ac:dyDescent="0.25">
      <c r="A2289">
        <v>1839</v>
      </c>
      <c r="B2289" t="str">
        <f>"PITRM1"</f>
        <v>PITRM1</v>
      </c>
      <c r="C2289" t="str">
        <f>""</f>
        <v/>
      </c>
      <c r="D2289">
        <v>106.06</v>
      </c>
      <c r="E2289">
        <v>2.1</v>
      </c>
      <c r="F2289">
        <v>4</v>
      </c>
      <c r="G2289">
        <v>4</v>
      </c>
      <c r="H2289">
        <v>3</v>
      </c>
      <c r="I2289" s="7">
        <v>2.2433272535772102</v>
      </c>
      <c r="J2289" s="6">
        <v>2.32484958202439</v>
      </c>
      <c r="K2289" s="6">
        <v>1.8104406236178701</v>
      </c>
      <c r="L2289">
        <v>-1.0849672656668099</v>
      </c>
      <c r="M2289">
        <v>0.90020029755081898</v>
      </c>
    </row>
    <row r="2290" spans="1:13" x14ac:dyDescent="0.25">
      <c r="A2290">
        <v>2079</v>
      </c>
      <c r="B2290" t="str">
        <f>"DNAAF5"</f>
        <v>DNAAF5</v>
      </c>
      <c r="C2290" t="str">
        <f>""</f>
        <v/>
      </c>
      <c r="D2290">
        <v>93.52</v>
      </c>
      <c r="E2290">
        <v>6.1</v>
      </c>
      <c r="F2290">
        <v>4</v>
      </c>
      <c r="G2290">
        <v>4</v>
      </c>
      <c r="H2290">
        <v>3</v>
      </c>
      <c r="I2290" s="7">
        <v>2.2433272535772102</v>
      </c>
      <c r="J2290" s="6">
        <v>2.32484958202439</v>
      </c>
      <c r="K2290" s="6">
        <v>1.8104406236178701</v>
      </c>
      <c r="L2290">
        <v>-1.0849672656668099</v>
      </c>
      <c r="M2290">
        <v>0.90020029755081898</v>
      </c>
    </row>
    <row r="2291" spans="1:13" x14ac:dyDescent="0.25">
      <c r="A2291">
        <v>3083</v>
      </c>
      <c r="B2291" t="str">
        <f>"CAB39"</f>
        <v>CAB39</v>
      </c>
      <c r="C2291" t="str">
        <f>""</f>
        <v/>
      </c>
      <c r="D2291">
        <v>39.869</v>
      </c>
      <c r="E2291">
        <v>10.9</v>
      </c>
      <c r="F2291">
        <v>4</v>
      </c>
      <c r="G2291">
        <v>4</v>
      </c>
      <c r="H2291">
        <v>3</v>
      </c>
      <c r="I2291" s="7">
        <v>2.2433272535772102</v>
      </c>
      <c r="J2291" s="6">
        <v>2.32484958202439</v>
      </c>
      <c r="K2291" s="6">
        <v>1.8104406236178701</v>
      </c>
      <c r="L2291">
        <v>-1.0849672656668099</v>
      </c>
      <c r="M2291">
        <v>0.90020029755081898</v>
      </c>
    </row>
    <row r="2292" spans="1:13" x14ac:dyDescent="0.25">
      <c r="A2292">
        <v>496</v>
      </c>
      <c r="B2292" t="str">
        <f>"TFRC"</f>
        <v>TFRC</v>
      </c>
      <c r="C2292" t="str">
        <f>""</f>
        <v/>
      </c>
      <c r="D2292">
        <v>84.87</v>
      </c>
      <c r="E2292">
        <v>5.3</v>
      </c>
      <c r="F2292">
        <v>4</v>
      </c>
      <c r="G2292">
        <v>3</v>
      </c>
      <c r="H2292">
        <v>4</v>
      </c>
      <c r="I2292" s="7">
        <v>2.2433272535772102</v>
      </c>
      <c r="J2292" s="6">
        <v>1.74363718651829</v>
      </c>
      <c r="K2292" s="6">
        <v>2.4139208314904899</v>
      </c>
      <c r="L2292">
        <v>-1.0791561988359799</v>
      </c>
      <c r="M2292">
        <v>0.90020030930869099</v>
      </c>
    </row>
    <row r="2293" spans="1:13" x14ac:dyDescent="0.25">
      <c r="A2293">
        <v>999</v>
      </c>
      <c r="B2293" t="str">
        <f>"STAT3"</f>
        <v>STAT3</v>
      </c>
      <c r="C2293" t="str">
        <f>""</f>
        <v/>
      </c>
      <c r="D2293">
        <v>83.125</v>
      </c>
      <c r="E2293">
        <v>1.9</v>
      </c>
      <c r="F2293">
        <v>4</v>
      </c>
      <c r="G2293">
        <v>3</v>
      </c>
      <c r="H2293">
        <v>4</v>
      </c>
      <c r="I2293" s="7">
        <v>2.2433272535772102</v>
      </c>
      <c r="J2293" s="6">
        <v>1.74363718651829</v>
      </c>
      <c r="K2293" s="6">
        <v>2.4139208314904899</v>
      </c>
      <c r="L2293">
        <v>-1.0791561988359799</v>
      </c>
      <c r="M2293">
        <v>0.90020030930869099</v>
      </c>
    </row>
    <row r="2294" spans="1:13" x14ac:dyDescent="0.25">
      <c r="A2294">
        <v>521</v>
      </c>
      <c r="B2294" t="str">
        <f>"TYMS"</f>
        <v>TYMS</v>
      </c>
      <c r="C2294" t="str">
        <f>""</f>
        <v/>
      </c>
      <c r="D2294">
        <v>35.716000000000001</v>
      </c>
      <c r="E2294">
        <v>7.3</v>
      </c>
      <c r="F2294">
        <v>4</v>
      </c>
      <c r="G2294">
        <v>3</v>
      </c>
      <c r="H2294">
        <v>4</v>
      </c>
      <c r="I2294" s="7">
        <v>2.2433272535772102</v>
      </c>
      <c r="J2294" s="6">
        <v>1.74363718651829</v>
      </c>
      <c r="K2294" s="6">
        <v>2.4139208314904899</v>
      </c>
      <c r="L2294">
        <v>-1.0791561988359799</v>
      </c>
      <c r="M2294">
        <v>0.90020030930869099</v>
      </c>
    </row>
    <row r="2295" spans="1:13" x14ac:dyDescent="0.25">
      <c r="A2295">
        <v>1944</v>
      </c>
      <c r="B2295" t="str">
        <f>"TTC37"</f>
        <v>TTC37</v>
      </c>
      <c r="C2295" t="str">
        <f>""</f>
        <v/>
      </c>
      <c r="D2295">
        <v>175.48</v>
      </c>
      <c r="E2295">
        <v>3.8</v>
      </c>
      <c r="F2295">
        <v>4</v>
      </c>
      <c r="G2295">
        <v>3</v>
      </c>
      <c r="H2295">
        <v>4</v>
      </c>
      <c r="I2295" s="7">
        <v>2.2433272535772102</v>
      </c>
      <c r="J2295" s="6">
        <v>1.74363718651829</v>
      </c>
      <c r="K2295" s="6">
        <v>2.4139208314904899</v>
      </c>
      <c r="L2295">
        <v>-1.0791561988359799</v>
      </c>
      <c r="M2295">
        <v>0.90020030930869099</v>
      </c>
    </row>
    <row r="2296" spans="1:13" x14ac:dyDescent="0.25">
      <c r="A2296">
        <v>2206</v>
      </c>
      <c r="B2296" t="str">
        <f>"NPLOC4"</f>
        <v>NPLOC4</v>
      </c>
      <c r="C2296" t="str">
        <f>""</f>
        <v/>
      </c>
      <c r="D2296">
        <v>68.119</v>
      </c>
      <c r="E2296">
        <v>11.5</v>
      </c>
      <c r="F2296">
        <v>4</v>
      </c>
      <c r="G2296">
        <v>3</v>
      </c>
      <c r="H2296">
        <v>4</v>
      </c>
      <c r="I2296" s="7">
        <v>2.2433272535772102</v>
      </c>
      <c r="J2296" s="6">
        <v>1.74363718651829</v>
      </c>
      <c r="K2296" s="6">
        <v>2.4139208314904899</v>
      </c>
      <c r="L2296">
        <v>-1.0791561988359799</v>
      </c>
      <c r="M2296">
        <v>0.90020030930869099</v>
      </c>
    </row>
    <row r="2297" spans="1:13" x14ac:dyDescent="0.25">
      <c r="A2297">
        <v>2630</v>
      </c>
      <c r="B2297" t="str">
        <f>"DDX24"</f>
        <v>DDX24</v>
      </c>
      <c r="C2297" t="str">
        <f>""</f>
        <v/>
      </c>
      <c r="D2297">
        <v>96.331000000000003</v>
      </c>
      <c r="E2297">
        <v>3.4</v>
      </c>
      <c r="F2297">
        <v>4</v>
      </c>
      <c r="G2297">
        <v>3</v>
      </c>
      <c r="H2297">
        <v>4</v>
      </c>
      <c r="I2297" s="7">
        <v>2.2433272535772102</v>
      </c>
      <c r="J2297" s="6">
        <v>1.74363718651829</v>
      </c>
      <c r="K2297" s="6">
        <v>2.4139208314904899</v>
      </c>
      <c r="L2297">
        <v>-1.0791561988359799</v>
      </c>
      <c r="M2297">
        <v>0.90020030930869099</v>
      </c>
    </row>
    <row r="2298" spans="1:13" x14ac:dyDescent="0.25">
      <c r="A2298">
        <v>3105</v>
      </c>
      <c r="B2298" t="str">
        <f>"HBS1L"</f>
        <v>HBS1L</v>
      </c>
      <c r="C2298" t="str">
        <f>""</f>
        <v/>
      </c>
      <c r="D2298">
        <v>70.623999999999995</v>
      </c>
      <c r="E2298">
        <v>9.1999999999999993</v>
      </c>
      <c r="F2298">
        <v>4</v>
      </c>
      <c r="G2298">
        <v>3</v>
      </c>
      <c r="H2298">
        <v>4</v>
      </c>
      <c r="I2298" s="7">
        <v>2.2433272535772102</v>
      </c>
      <c r="J2298" s="6">
        <v>1.74363718651829</v>
      </c>
      <c r="K2298" s="6">
        <v>2.4139208314904899</v>
      </c>
      <c r="L2298">
        <v>-1.0791561988359799</v>
      </c>
      <c r="M2298">
        <v>0.90020030930869099</v>
      </c>
    </row>
    <row r="2299" spans="1:13" x14ac:dyDescent="0.25">
      <c r="A2299">
        <v>1521</v>
      </c>
      <c r="B2299" t="str">
        <f>"TRAP1"</f>
        <v>TRAP1</v>
      </c>
      <c r="C2299" t="str">
        <f>""</f>
        <v/>
      </c>
      <c r="D2299">
        <v>74.266999999999996</v>
      </c>
      <c r="E2299">
        <v>14.1</v>
      </c>
      <c r="F2299">
        <v>17</v>
      </c>
      <c r="G2299">
        <v>16</v>
      </c>
      <c r="H2299">
        <v>15</v>
      </c>
      <c r="I2299" s="7">
        <v>9.5341408277031405</v>
      </c>
      <c r="J2299" s="6">
        <v>9.2993983280975403</v>
      </c>
      <c r="K2299" s="6">
        <v>9.0522031180893396</v>
      </c>
      <c r="L2299">
        <v>-1.0390527339709801</v>
      </c>
      <c r="M2299">
        <v>0.90029886645298496</v>
      </c>
    </row>
    <row r="2300" spans="1:13" x14ac:dyDescent="0.25">
      <c r="A2300">
        <v>666</v>
      </c>
      <c r="B2300" t="str">
        <f>"CKMT1A"</f>
        <v>CKMT1A</v>
      </c>
      <c r="C2300" t="str">
        <f>""</f>
        <v/>
      </c>
      <c r="D2300">
        <v>47.036000000000001</v>
      </c>
      <c r="E2300">
        <v>8.1999999999999993</v>
      </c>
      <c r="F2300">
        <v>8</v>
      </c>
      <c r="G2300">
        <v>8</v>
      </c>
      <c r="H2300">
        <v>8</v>
      </c>
      <c r="I2300" s="7">
        <v>4.4866545071544204</v>
      </c>
      <c r="J2300" s="6">
        <v>4.6496991640487702</v>
      </c>
      <c r="K2300" s="6">
        <v>4.8278416629809797</v>
      </c>
      <c r="L2300">
        <v>1.0561924048215501</v>
      </c>
      <c r="M2300">
        <v>0.90037651876422498</v>
      </c>
    </row>
    <row r="2301" spans="1:13" x14ac:dyDescent="0.25">
      <c r="A2301">
        <v>734</v>
      </c>
      <c r="B2301" t="str">
        <f>"PSMC3"</f>
        <v>PSMC3</v>
      </c>
      <c r="C2301" t="str">
        <f>""</f>
        <v/>
      </c>
      <c r="D2301">
        <v>49.203000000000003</v>
      </c>
      <c r="E2301">
        <v>11.2</v>
      </c>
      <c r="F2301">
        <v>8</v>
      </c>
      <c r="G2301">
        <v>8</v>
      </c>
      <c r="H2301">
        <v>8</v>
      </c>
      <c r="I2301" s="7">
        <v>4.4866545071544204</v>
      </c>
      <c r="J2301" s="6">
        <v>4.6496991640487702</v>
      </c>
      <c r="K2301" s="6">
        <v>4.8278416629809797</v>
      </c>
      <c r="L2301">
        <v>1.0561924048215501</v>
      </c>
      <c r="M2301">
        <v>0.90037651876422498</v>
      </c>
    </row>
    <row r="2302" spans="1:13" x14ac:dyDescent="0.25">
      <c r="A2302">
        <v>38</v>
      </c>
      <c r="B2302" t="str">
        <f>""</f>
        <v/>
      </c>
      <c r="C2302" t="str">
        <f>""</f>
        <v/>
      </c>
      <c r="D2302">
        <v>14.186</v>
      </c>
      <c r="E2302">
        <v>8.1</v>
      </c>
      <c r="F2302">
        <v>8</v>
      </c>
      <c r="G2302">
        <v>7</v>
      </c>
      <c r="H2302">
        <v>9</v>
      </c>
      <c r="I2302" s="7">
        <v>4.4866545071544204</v>
      </c>
      <c r="J2302" s="6">
        <v>4.0684867685426802</v>
      </c>
      <c r="K2302" s="6">
        <v>5.4313218708536004</v>
      </c>
      <c r="L2302">
        <v>1.0586739656739701</v>
      </c>
      <c r="M2302">
        <v>0.90052818662484402</v>
      </c>
    </row>
    <row r="2303" spans="1:13" x14ac:dyDescent="0.25">
      <c r="A2303">
        <v>2153</v>
      </c>
      <c r="B2303" t="str">
        <f>"CPSF7"</f>
        <v>CPSF7</v>
      </c>
      <c r="C2303" t="str">
        <f>""</f>
        <v/>
      </c>
      <c r="D2303">
        <v>51.094999999999999</v>
      </c>
      <c r="E2303">
        <v>4.3</v>
      </c>
      <c r="F2303">
        <v>8</v>
      </c>
      <c r="G2303">
        <v>7</v>
      </c>
      <c r="H2303">
        <v>9</v>
      </c>
      <c r="I2303" s="7">
        <v>4.4866545071544204</v>
      </c>
      <c r="J2303" s="6">
        <v>4.0684867685426802</v>
      </c>
      <c r="K2303" s="6">
        <v>5.4313218708536004</v>
      </c>
      <c r="L2303">
        <v>1.0586739656739701</v>
      </c>
      <c r="M2303">
        <v>0.90052818662484402</v>
      </c>
    </row>
    <row r="2304" spans="1:13" x14ac:dyDescent="0.25">
      <c r="A2304">
        <v>1291</v>
      </c>
      <c r="B2304" t="str">
        <f>"PCBD1"</f>
        <v>PCBD1</v>
      </c>
      <c r="C2304" t="str">
        <f>""</f>
        <v/>
      </c>
      <c r="D2304">
        <v>11.999000000000001</v>
      </c>
      <c r="E2304">
        <v>23.1</v>
      </c>
      <c r="F2304">
        <v>8</v>
      </c>
      <c r="G2304">
        <v>9</v>
      </c>
      <c r="H2304">
        <v>7</v>
      </c>
      <c r="I2304" s="7">
        <v>4.4866545071544204</v>
      </c>
      <c r="J2304" s="6">
        <v>5.2309115595548699</v>
      </c>
      <c r="K2304" s="6">
        <v>4.2243614551083599</v>
      </c>
      <c r="L2304">
        <v>1.0537108439691401</v>
      </c>
      <c r="M2304">
        <v>0.90052822201718197</v>
      </c>
    </row>
    <row r="2305" spans="1:13" x14ac:dyDescent="0.25">
      <c r="A2305">
        <v>1087</v>
      </c>
      <c r="B2305" t="str">
        <f>"PITPNB"</f>
        <v>PITPNB</v>
      </c>
      <c r="C2305" t="str">
        <f>""</f>
        <v/>
      </c>
      <c r="D2305">
        <v>31.54</v>
      </c>
      <c r="E2305">
        <v>15.9</v>
      </c>
      <c r="F2305">
        <v>8</v>
      </c>
      <c r="G2305">
        <v>10</v>
      </c>
      <c r="H2305">
        <v>6</v>
      </c>
      <c r="I2305" s="7">
        <v>4.4866545071544204</v>
      </c>
      <c r="J2305" s="6">
        <v>5.8121239550609696</v>
      </c>
      <c r="K2305" s="6">
        <v>3.6208812472357401</v>
      </c>
      <c r="L2305">
        <v>1.05122928311672</v>
      </c>
      <c r="M2305">
        <v>0.90098352286292904</v>
      </c>
    </row>
    <row r="2306" spans="1:13" x14ac:dyDescent="0.25">
      <c r="A2306">
        <v>985</v>
      </c>
      <c r="B2306" t="str">
        <f>"HSPA9"</f>
        <v>HSPA9</v>
      </c>
      <c r="C2306" t="str">
        <f>""</f>
        <v/>
      </c>
      <c r="D2306">
        <v>73.680000000000007</v>
      </c>
      <c r="E2306">
        <v>20.2</v>
      </c>
      <c r="F2306">
        <v>32</v>
      </c>
      <c r="G2306">
        <v>25</v>
      </c>
      <c r="H2306">
        <v>34</v>
      </c>
      <c r="I2306" s="7">
        <v>17.946618028617699</v>
      </c>
      <c r="J2306" s="6">
        <v>14.5303098876524</v>
      </c>
      <c r="K2306" s="6">
        <v>20.518327067669201</v>
      </c>
      <c r="L2306">
        <v>-1.0240979157902901</v>
      </c>
      <c r="M2306">
        <v>0.902117699359408</v>
      </c>
    </row>
    <row r="2307" spans="1:13" x14ac:dyDescent="0.25">
      <c r="A2307">
        <v>709</v>
      </c>
      <c r="B2307" t="str">
        <f>"RPS2"</f>
        <v>RPS2</v>
      </c>
      <c r="C2307" t="str">
        <f>""</f>
        <v/>
      </c>
      <c r="D2307">
        <v>31.324000000000002</v>
      </c>
      <c r="E2307">
        <v>11.6</v>
      </c>
      <c r="F2307">
        <v>7</v>
      </c>
      <c r="G2307">
        <v>7</v>
      </c>
      <c r="H2307">
        <v>7</v>
      </c>
      <c r="I2307" s="7">
        <v>3.9258226937601099</v>
      </c>
      <c r="J2307" s="6">
        <v>4.0684867685426802</v>
      </c>
      <c r="K2307" s="6">
        <v>4.2243614551083599</v>
      </c>
      <c r="L2307">
        <v>1.0561924048215501</v>
      </c>
      <c r="M2307">
        <v>0.90678471769921198</v>
      </c>
    </row>
    <row r="2308" spans="1:13" x14ac:dyDescent="0.25">
      <c r="A2308">
        <v>361</v>
      </c>
      <c r="B2308" t="str">
        <f>"SRP72"</f>
        <v>SRP72</v>
      </c>
      <c r="C2308" t="str">
        <f>""</f>
        <v/>
      </c>
      <c r="D2308">
        <v>74.605000000000004</v>
      </c>
      <c r="E2308">
        <v>8.8000000000000007</v>
      </c>
      <c r="F2308">
        <v>7</v>
      </c>
      <c r="G2308">
        <v>6</v>
      </c>
      <c r="H2308">
        <v>8</v>
      </c>
      <c r="I2308" s="7">
        <v>3.9258226937601099</v>
      </c>
      <c r="J2308" s="6">
        <v>3.4872743730365801</v>
      </c>
      <c r="K2308" s="6">
        <v>4.8278416629809797</v>
      </c>
      <c r="L2308">
        <v>1.0590284743671701</v>
      </c>
      <c r="M2308">
        <v>0.90697017871677799</v>
      </c>
    </row>
    <row r="2309" spans="1:13" x14ac:dyDescent="0.25">
      <c r="A2309">
        <v>789</v>
      </c>
      <c r="B2309" t="str">
        <f>"PAICS"</f>
        <v>PAICS</v>
      </c>
      <c r="C2309" t="str">
        <f>""</f>
        <v/>
      </c>
      <c r="D2309">
        <v>47.079000000000001</v>
      </c>
      <c r="E2309">
        <v>15.1</v>
      </c>
      <c r="F2309">
        <v>7</v>
      </c>
      <c r="G2309">
        <v>8</v>
      </c>
      <c r="H2309">
        <v>6</v>
      </c>
      <c r="I2309" s="7">
        <v>3.9258226937601099</v>
      </c>
      <c r="J2309" s="6">
        <v>4.6496991640487702</v>
      </c>
      <c r="K2309" s="6">
        <v>3.6208812472357401</v>
      </c>
      <c r="L2309">
        <v>1.0533563352759401</v>
      </c>
      <c r="M2309">
        <v>0.90697022924047399</v>
      </c>
    </row>
    <row r="2310" spans="1:13" x14ac:dyDescent="0.25">
      <c r="A2310">
        <v>1160</v>
      </c>
      <c r="B2310" t="str">
        <f>"GALK1"</f>
        <v>GALK1</v>
      </c>
      <c r="C2310" t="str">
        <f>""</f>
        <v/>
      </c>
      <c r="D2310">
        <v>42.271999999999998</v>
      </c>
      <c r="E2310">
        <v>7.7</v>
      </c>
      <c r="F2310">
        <v>7</v>
      </c>
      <c r="G2310">
        <v>8</v>
      </c>
      <c r="H2310">
        <v>6</v>
      </c>
      <c r="I2310" s="7">
        <v>3.9258226937601099</v>
      </c>
      <c r="J2310" s="6">
        <v>4.6496991640487702</v>
      </c>
      <c r="K2310" s="6">
        <v>3.6208812472357401</v>
      </c>
      <c r="L2310">
        <v>1.0533563352759401</v>
      </c>
      <c r="M2310">
        <v>0.90697022924047399</v>
      </c>
    </row>
    <row r="2311" spans="1:13" x14ac:dyDescent="0.25">
      <c r="A2311">
        <v>378</v>
      </c>
      <c r="B2311" t="str">
        <f>"HAUS5"</f>
        <v>HAUS5</v>
      </c>
      <c r="C2311" t="str">
        <f>""</f>
        <v/>
      </c>
      <c r="D2311">
        <v>71.682000000000002</v>
      </c>
      <c r="E2311">
        <v>8.4</v>
      </c>
      <c r="F2311">
        <v>7</v>
      </c>
      <c r="G2311">
        <v>5</v>
      </c>
      <c r="H2311">
        <v>9</v>
      </c>
      <c r="I2311" s="7">
        <v>3.9258226937601099</v>
      </c>
      <c r="J2311" s="6">
        <v>2.9060619775304799</v>
      </c>
      <c r="K2311" s="6">
        <v>5.4313218708536004</v>
      </c>
      <c r="L2311">
        <v>1.0618645439127801</v>
      </c>
      <c r="M2311">
        <v>0.90752696625601104</v>
      </c>
    </row>
    <row r="2312" spans="1:13" x14ac:dyDescent="0.25">
      <c r="A2312">
        <v>583</v>
      </c>
      <c r="B2312" t="str">
        <f>"FH"</f>
        <v>FH</v>
      </c>
      <c r="C2312" t="str">
        <f>""</f>
        <v/>
      </c>
      <c r="D2312">
        <v>50.212000000000003</v>
      </c>
      <c r="E2312">
        <v>10.3</v>
      </c>
      <c r="F2312">
        <v>7</v>
      </c>
      <c r="G2312">
        <v>9</v>
      </c>
      <c r="H2312">
        <v>5</v>
      </c>
      <c r="I2312" s="7">
        <v>3.9258226937601099</v>
      </c>
      <c r="J2312" s="6">
        <v>5.2309115595548699</v>
      </c>
      <c r="K2312" s="6">
        <v>3.0174010393631101</v>
      </c>
      <c r="L2312">
        <v>1.0505202657303201</v>
      </c>
      <c r="M2312">
        <v>0.90752706792293603</v>
      </c>
    </row>
    <row r="2313" spans="1:13" x14ac:dyDescent="0.25">
      <c r="A2313">
        <v>2203</v>
      </c>
      <c r="B2313" t="str">
        <f>"THOC2"</f>
        <v>THOC2</v>
      </c>
      <c r="C2313" t="str">
        <f>""</f>
        <v/>
      </c>
      <c r="D2313">
        <v>182.77</v>
      </c>
      <c r="E2313">
        <v>2.2999999999999998</v>
      </c>
      <c r="F2313">
        <v>7</v>
      </c>
      <c r="G2313">
        <v>9</v>
      </c>
      <c r="H2313">
        <v>5</v>
      </c>
      <c r="I2313" s="7">
        <v>3.9258226937601099</v>
      </c>
      <c r="J2313" s="6">
        <v>5.2309115595548699</v>
      </c>
      <c r="K2313" s="6">
        <v>3.0174010393631101</v>
      </c>
      <c r="L2313">
        <v>1.0505202657303201</v>
      </c>
      <c r="M2313">
        <v>0.90752706792293603</v>
      </c>
    </row>
    <row r="2314" spans="1:13" x14ac:dyDescent="0.25">
      <c r="A2314">
        <v>1222</v>
      </c>
      <c r="B2314" t="str">
        <f>"AK2"</f>
        <v>AK2</v>
      </c>
      <c r="C2314" t="str">
        <f>""</f>
        <v/>
      </c>
      <c r="D2314">
        <v>24.648</v>
      </c>
      <c r="E2314">
        <v>35.700000000000003</v>
      </c>
      <c r="F2314">
        <v>21</v>
      </c>
      <c r="G2314">
        <v>20</v>
      </c>
      <c r="H2314">
        <v>21</v>
      </c>
      <c r="I2314" s="7">
        <v>11.777468081280301</v>
      </c>
      <c r="J2314" s="6">
        <v>11.6242479101219</v>
      </c>
      <c r="K2314" s="6">
        <v>12.673084365325099</v>
      </c>
      <c r="L2314">
        <v>1.0315176448691199</v>
      </c>
      <c r="M2314">
        <v>0.91059384536866494</v>
      </c>
    </row>
    <row r="2315" spans="1:13" x14ac:dyDescent="0.25">
      <c r="A2315">
        <v>1935</v>
      </c>
      <c r="B2315" t="str">
        <f>"PRPF8"</f>
        <v>PRPF8</v>
      </c>
      <c r="C2315" t="str">
        <f>""</f>
        <v/>
      </c>
      <c r="D2315">
        <v>273.60000000000002</v>
      </c>
      <c r="E2315">
        <v>10.3</v>
      </c>
      <c r="F2315">
        <v>28</v>
      </c>
      <c r="G2315">
        <v>19</v>
      </c>
      <c r="H2315">
        <v>33</v>
      </c>
      <c r="I2315" s="7">
        <v>15.7032907750405</v>
      </c>
      <c r="J2315" s="6">
        <v>11.0430355146158</v>
      </c>
      <c r="K2315" s="6">
        <v>19.914846859796601</v>
      </c>
      <c r="L2315">
        <v>-1.01449385879311</v>
      </c>
      <c r="M2315">
        <v>0.91328814442425399</v>
      </c>
    </row>
    <row r="2316" spans="1:13" x14ac:dyDescent="0.25">
      <c r="A2316">
        <v>1649</v>
      </c>
      <c r="B2316" t="str">
        <f>"MCM6"</f>
        <v>MCM6</v>
      </c>
      <c r="C2316" t="str">
        <f>""</f>
        <v/>
      </c>
      <c r="D2316">
        <v>92.888000000000005</v>
      </c>
      <c r="E2316">
        <v>15.5</v>
      </c>
      <c r="F2316">
        <v>11</v>
      </c>
      <c r="G2316">
        <v>10</v>
      </c>
      <c r="H2316">
        <v>10</v>
      </c>
      <c r="I2316" s="7">
        <v>6.1691499473373197</v>
      </c>
      <c r="J2316" s="6">
        <v>5.8121239550609696</v>
      </c>
      <c r="K2316" s="6">
        <v>6.03480207872623</v>
      </c>
      <c r="L2316">
        <v>-1.0414769079747801</v>
      </c>
      <c r="M2316">
        <v>0.913646485222116</v>
      </c>
    </row>
    <row r="2317" spans="1:13" x14ac:dyDescent="0.25">
      <c r="A2317">
        <v>1108</v>
      </c>
      <c r="B2317" t="str">
        <f>"SARS"</f>
        <v>SARS</v>
      </c>
      <c r="C2317" t="str">
        <f>""</f>
        <v/>
      </c>
      <c r="D2317">
        <v>58.777000000000001</v>
      </c>
      <c r="E2317">
        <v>7.2</v>
      </c>
      <c r="F2317">
        <v>11</v>
      </c>
      <c r="G2317">
        <v>10</v>
      </c>
      <c r="H2317">
        <v>10</v>
      </c>
      <c r="I2317" s="7">
        <v>6.1691499473373197</v>
      </c>
      <c r="J2317" s="6">
        <v>5.8121239550609696</v>
      </c>
      <c r="K2317" s="6">
        <v>6.03480207872623</v>
      </c>
      <c r="L2317">
        <v>-1.0414769079747801</v>
      </c>
      <c r="M2317">
        <v>0.913646485222116</v>
      </c>
    </row>
    <row r="2318" spans="1:13" x14ac:dyDescent="0.25">
      <c r="A2318">
        <v>2560</v>
      </c>
      <c r="B2318" t="str">
        <f>"DDX23"</f>
        <v>DDX23</v>
      </c>
      <c r="C2318" t="str">
        <f>""</f>
        <v/>
      </c>
      <c r="D2318">
        <v>95.581000000000003</v>
      </c>
      <c r="E2318">
        <v>8.4</v>
      </c>
      <c r="F2318">
        <v>6</v>
      </c>
      <c r="G2318">
        <v>6</v>
      </c>
      <c r="H2318">
        <v>6</v>
      </c>
      <c r="I2318" s="7">
        <v>3.3649908803658102</v>
      </c>
      <c r="J2318" s="6">
        <v>3.4872743730365801</v>
      </c>
      <c r="K2318" s="6">
        <v>3.6208812472357401</v>
      </c>
      <c r="L2318">
        <v>1.0561924048215501</v>
      </c>
      <c r="M2318">
        <v>0.91367525178337705</v>
      </c>
    </row>
    <row r="2319" spans="1:13" x14ac:dyDescent="0.25">
      <c r="A2319">
        <v>413</v>
      </c>
      <c r="B2319" t="str">
        <f>"POLR1A"</f>
        <v>POLR1A</v>
      </c>
      <c r="C2319" t="str">
        <f>""</f>
        <v/>
      </c>
      <c r="D2319">
        <v>194.81</v>
      </c>
      <c r="E2319">
        <v>3.2</v>
      </c>
      <c r="F2319">
        <v>6</v>
      </c>
      <c r="G2319">
        <v>6</v>
      </c>
      <c r="H2319">
        <v>6</v>
      </c>
      <c r="I2319" s="7">
        <v>3.3649908803658102</v>
      </c>
      <c r="J2319" s="6">
        <v>3.4872743730365801</v>
      </c>
      <c r="K2319" s="6">
        <v>3.6208812472357401</v>
      </c>
      <c r="L2319">
        <v>1.0561924048215501</v>
      </c>
      <c r="M2319">
        <v>0.91367525178337705</v>
      </c>
    </row>
    <row r="2320" spans="1:13" x14ac:dyDescent="0.25">
      <c r="A2320">
        <v>426</v>
      </c>
      <c r="B2320" t="str">
        <f>"AIFM1"</f>
        <v>AIFM1</v>
      </c>
      <c r="C2320" t="str">
        <f>""</f>
        <v/>
      </c>
      <c r="D2320">
        <v>66.293999999999997</v>
      </c>
      <c r="E2320">
        <v>9.5</v>
      </c>
      <c r="F2320">
        <v>6</v>
      </c>
      <c r="G2320">
        <v>6</v>
      </c>
      <c r="H2320">
        <v>6</v>
      </c>
      <c r="I2320" s="7">
        <v>3.3649908803658102</v>
      </c>
      <c r="J2320" s="6">
        <v>3.4872743730365801</v>
      </c>
      <c r="K2320" s="6">
        <v>3.6208812472357401</v>
      </c>
      <c r="L2320">
        <v>1.0561924048215501</v>
      </c>
      <c r="M2320">
        <v>0.91367525178337705</v>
      </c>
    </row>
    <row r="2321" spans="1:13" x14ac:dyDescent="0.25">
      <c r="A2321">
        <v>707</v>
      </c>
      <c r="B2321" t="str">
        <f>"UCHL3"</f>
        <v>UCHL3</v>
      </c>
      <c r="C2321" t="str">
        <f>""</f>
        <v/>
      </c>
      <c r="D2321">
        <v>26.181999999999999</v>
      </c>
      <c r="E2321">
        <v>11.7</v>
      </c>
      <c r="F2321">
        <v>6</v>
      </c>
      <c r="G2321">
        <v>7</v>
      </c>
      <c r="H2321">
        <v>5</v>
      </c>
      <c r="I2321" s="7">
        <v>3.3649908803658102</v>
      </c>
      <c r="J2321" s="6">
        <v>4.0684867685426802</v>
      </c>
      <c r="K2321" s="6">
        <v>3.0174010393631101</v>
      </c>
      <c r="L2321">
        <v>1.05288365701833</v>
      </c>
      <c r="M2321">
        <v>0.91390930273009496</v>
      </c>
    </row>
    <row r="2322" spans="1:13" x14ac:dyDescent="0.25">
      <c r="A2322">
        <v>51</v>
      </c>
      <c r="B2322" t="str">
        <f>""</f>
        <v/>
      </c>
      <c r="C2322" t="str">
        <f>""</f>
        <v/>
      </c>
      <c r="D2322">
        <v>38.417999999999999</v>
      </c>
      <c r="E2322">
        <v>4.7</v>
      </c>
      <c r="F2322">
        <v>5</v>
      </c>
      <c r="G2322">
        <v>5</v>
      </c>
      <c r="H2322">
        <v>5</v>
      </c>
      <c r="I2322" s="7">
        <v>2.80415906697151</v>
      </c>
      <c r="J2322" s="6">
        <v>2.9060619775304799</v>
      </c>
      <c r="K2322" s="6">
        <v>3.0174010393631101</v>
      </c>
      <c r="L2322">
        <v>1.0561924048215501</v>
      </c>
      <c r="M2322">
        <v>0.92117462251204396</v>
      </c>
    </row>
    <row r="2323" spans="1:13" x14ac:dyDescent="0.25">
      <c r="A2323">
        <v>739</v>
      </c>
      <c r="B2323" t="str">
        <f>"RPL7"</f>
        <v>RPL7</v>
      </c>
      <c r="C2323" t="str">
        <f>""</f>
        <v/>
      </c>
      <c r="D2323">
        <v>29.225000000000001</v>
      </c>
      <c r="E2323">
        <v>24.2</v>
      </c>
      <c r="F2323">
        <v>5</v>
      </c>
      <c r="G2323">
        <v>5</v>
      </c>
      <c r="H2323">
        <v>5</v>
      </c>
      <c r="I2323" s="7">
        <v>2.80415906697151</v>
      </c>
      <c r="J2323" s="6">
        <v>2.9060619775304799</v>
      </c>
      <c r="K2323" s="6">
        <v>3.0174010393631101</v>
      </c>
      <c r="L2323">
        <v>1.0561924048215501</v>
      </c>
      <c r="M2323">
        <v>0.92117462251204396</v>
      </c>
    </row>
    <row r="2324" spans="1:13" x14ac:dyDescent="0.25">
      <c r="A2324">
        <v>1775</v>
      </c>
      <c r="B2324" t="str">
        <f>"TST"</f>
        <v>TST</v>
      </c>
      <c r="C2324" t="str">
        <f>""</f>
        <v/>
      </c>
      <c r="D2324">
        <v>33.429000000000002</v>
      </c>
      <c r="E2324">
        <v>11.1</v>
      </c>
      <c r="F2324">
        <v>5</v>
      </c>
      <c r="G2324">
        <v>5</v>
      </c>
      <c r="H2324">
        <v>5</v>
      </c>
      <c r="I2324" s="7">
        <v>2.80415906697151</v>
      </c>
      <c r="J2324" s="6">
        <v>2.9060619775304799</v>
      </c>
      <c r="K2324" s="6">
        <v>3.0174010393631101</v>
      </c>
      <c r="L2324">
        <v>1.0561924048215501</v>
      </c>
      <c r="M2324">
        <v>0.92117462251204396</v>
      </c>
    </row>
    <row r="2325" spans="1:13" x14ac:dyDescent="0.25">
      <c r="A2325">
        <v>317</v>
      </c>
      <c r="B2325" t="str">
        <f>"TBCA"</f>
        <v>TBCA</v>
      </c>
      <c r="C2325" t="str">
        <f>""</f>
        <v/>
      </c>
      <c r="D2325">
        <v>12.855</v>
      </c>
      <c r="E2325">
        <v>30.6</v>
      </c>
      <c r="F2325">
        <v>5</v>
      </c>
      <c r="G2325">
        <v>5</v>
      </c>
      <c r="H2325">
        <v>5</v>
      </c>
      <c r="I2325" s="7">
        <v>2.80415906697151</v>
      </c>
      <c r="J2325" s="6">
        <v>2.9060619775304799</v>
      </c>
      <c r="K2325" s="6">
        <v>3.0174010393631101</v>
      </c>
      <c r="L2325">
        <v>1.0561924048215501</v>
      </c>
      <c r="M2325">
        <v>0.92117462251204396</v>
      </c>
    </row>
    <row r="2326" spans="1:13" x14ac:dyDescent="0.25">
      <c r="A2326">
        <v>334</v>
      </c>
      <c r="B2326" t="str">
        <f>"KHDRBS3;KHDRBS2;KHDRBS1"</f>
        <v>KHDRBS3;KHDRBS2;KHDRBS1</v>
      </c>
      <c r="C2326" t="str">
        <f>""</f>
        <v/>
      </c>
      <c r="D2326">
        <v>30.248999999999999</v>
      </c>
      <c r="E2326">
        <v>3.3</v>
      </c>
      <c r="F2326">
        <v>5</v>
      </c>
      <c r="G2326">
        <v>5</v>
      </c>
      <c r="H2326">
        <v>5</v>
      </c>
      <c r="I2326" s="7">
        <v>2.80415906697151</v>
      </c>
      <c r="J2326" s="6">
        <v>2.9060619775304799</v>
      </c>
      <c r="K2326" s="6">
        <v>3.0174010393631101</v>
      </c>
      <c r="L2326">
        <v>1.0561924048215501</v>
      </c>
      <c r="M2326">
        <v>0.92117462251204396</v>
      </c>
    </row>
    <row r="2327" spans="1:13" x14ac:dyDescent="0.25">
      <c r="A2327">
        <v>371</v>
      </c>
      <c r="B2327" t="str">
        <f>"TOMM70A"</f>
        <v>TOMM70A</v>
      </c>
      <c r="C2327" t="str">
        <f>""</f>
        <v/>
      </c>
      <c r="D2327">
        <v>67.453999999999994</v>
      </c>
      <c r="E2327">
        <v>15.1</v>
      </c>
      <c r="F2327">
        <v>5</v>
      </c>
      <c r="G2327">
        <v>5</v>
      </c>
      <c r="H2327">
        <v>5</v>
      </c>
      <c r="I2327" s="7">
        <v>2.80415906697151</v>
      </c>
      <c r="J2327" s="6">
        <v>2.9060619775304799</v>
      </c>
      <c r="K2327" s="6">
        <v>3.0174010393631101</v>
      </c>
      <c r="L2327">
        <v>1.0561924048215501</v>
      </c>
      <c r="M2327">
        <v>0.92117462251204396</v>
      </c>
    </row>
    <row r="2328" spans="1:13" x14ac:dyDescent="0.25">
      <c r="A2328">
        <v>1516</v>
      </c>
      <c r="B2328" t="str">
        <f>"AIMP1"</f>
        <v>AIMP1</v>
      </c>
      <c r="C2328" t="str">
        <f>""</f>
        <v/>
      </c>
      <c r="D2328">
        <v>34.351999999999997</v>
      </c>
      <c r="E2328">
        <v>21.8</v>
      </c>
      <c r="F2328">
        <v>5</v>
      </c>
      <c r="G2328">
        <v>5</v>
      </c>
      <c r="H2328">
        <v>5</v>
      </c>
      <c r="I2328" s="7">
        <v>2.80415906697151</v>
      </c>
      <c r="J2328" s="6">
        <v>2.9060619775304799</v>
      </c>
      <c r="K2328" s="6">
        <v>3.0174010393631101</v>
      </c>
      <c r="L2328">
        <v>1.0561924048215501</v>
      </c>
      <c r="M2328">
        <v>0.92117462251204396</v>
      </c>
    </row>
    <row r="2329" spans="1:13" x14ac:dyDescent="0.25">
      <c r="A2329">
        <v>1184</v>
      </c>
      <c r="B2329" t="str">
        <f>"HNRNPF"</f>
        <v>HNRNPF</v>
      </c>
      <c r="C2329" t="str">
        <f>""</f>
        <v/>
      </c>
      <c r="D2329">
        <v>45.670999999999999</v>
      </c>
      <c r="E2329">
        <v>22.2</v>
      </c>
      <c r="F2329">
        <v>5</v>
      </c>
      <c r="G2329">
        <v>6</v>
      </c>
      <c r="H2329">
        <v>4</v>
      </c>
      <c r="I2329" s="7">
        <v>2.80415906697151</v>
      </c>
      <c r="J2329" s="6">
        <v>3.4872743730365801</v>
      </c>
      <c r="K2329" s="6">
        <v>2.4139208314904899</v>
      </c>
      <c r="L2329">
        <v>1.05222190745769</v>
      </c>
      <c r="M2329">
        <v>0.92148263056767299</v>
      </c>
    </row>
    <row r="2330" spans="1:13" x14ac:dyDescent="0.25">
      <c r="A2330">
        <v>1552</v>
      </c>
      <c r="B2330" t="str">
        <f>"SRSF9"</f>
        <v>SRSF9</v>
      </c>
      <c r="C2330" t="str">
        <f>""</f>
        <v/>
      </c>
      <c r="D2330">
        <v>25.542000000000002</v>
      </c>
      <c r="E2330">
        <v>19.899999999999999</v>
      </c>
      <c r="F2330">
        <v>5</v>
      </c>
      <c r="G2330">
        <v>6</v>
      </c>
      <c r="H2330">
        <v>4</v>
      </c>
      <c r="I2330" s="7">
        <v>2.80415906697151</v>
      </c>
      <c r="J2330" s="6">
        <v>3.4872743730365801</v>
      </c>
      <c r="K2330" s="6">
        <v>2.4139208314904899</v>
      </c>
      <c r="L2330">
        <v>1.05222190745769</v>
      </c>
      <c r="M2330">
        <v>0.92148263056767299</v>
      </c>
    </row>
    <row r="2331" spans="1:13" x14ac:dyDescent="0.25">
      <c r="A2331">
        <v>1366</v>
      </c>
      <c r="B2331" t="str">
        <f>"TUBB4B;TUBB4A"</f>
        <v>TUBB4B;TUBB4A</v>
      </c>
      <c r="C2331" t="str">
        <f>""</f>
        <v/>
      </c>
      <c r="D2331">
        <v>49.83</v>
      </c>
      <c r="E2331">
        <v>43.6</v>
      </c>
      <c r="F2331">
        <v>65</v>
      </c>
      <c r="G2331">
        <v>72</v>
      </c>
      <c r="H2331">
        <v>53</v>
      </c>
      <c r="I2331" s="7">
        <v>36.454067870629601</v>
      </c>
      <c r="J2331" s="6">
        <v>41.847292476439002</v>
      </c>
      <c r="K2331" s="6">
        <v>31.984451017249</v>
      </c>
      <c r="L2331">
        <v>1.01266810271636</v>
      </c>
      <c r="M2331">
        <v>0.92210744540426803</v>
      </c>
    </row>
    <row r="2332" spans="1:13" x14ac:dyDescent="0.25">
      <c r="A2332">
        <v>1269</v>
      </c>
      <c r="B2332" t="str">
        <f>"DSTN"</f>
        <v>DSTN</v>
      </c>
      <c r="C2332" t="str">
        <f>""</f>
        <v/>
      </c>
      <c r="D2332">
        <v>18.506</v>
      </c>
      <c r="E2332">
        <v>12.1</v>
      </c>
      <c r="F2332">
        <v>5</v>
      </c>
      <c r="G2332">
        <v>7</v>
      </c>
      <c r="H2332">
        <v>3</v>
      </c>
      <c r="I2332" s="7">
        <v>2.80415906697151</v>
      </c>
      <c r="J2332" s="6">
        <v>4.0684867685426802</v>
      </c>
      <c r="K2332" s="6">
        <v>1.8104406236178701</v>
      </c>
      <c r="L2332">
        <v>1.04825141009383</v>
      </c>
      <c r="M2332">
        <v>0.922407510802981</v>
      </c>
    </row>
    <row r="2333" spans="1:13" x14ac:dyDescent="0.25">
      <c r="A2333">
        <v>2211</v>
      </c>
      <c r="B2333" t="str">
        <f>"RDH11"</f>
        <v>RDH11</v>
      </c>
      <c r="C2333" t="str">
        <f>""</f>
        <v/>
      </c>
      <c r="D2333">
        <v>27.402000000000001</v>
      </c>
      <c r="E2333">
        <v>10.9</v>
      </c>
      <c r="F2333">
        <v>5</v>
      </c>
      <c r="G2333">
        <v>2</v>
      </c>
      <c r="H2333">
        <v>7</v>
      </c>
      <c r="I2333" s="7">
        <v>2.80415906697151</v>
      </c>
      <c r="J2333" s="6">
        <v>1.1624247910121901</v>
      </c>
      <c r="K2333" s="6">
        <v>4.2243614551083599</v>
      </c>
      <c r="L2333">
        <v>-1.0411250563324299</v>
      </c>
      <c r="M2333">
        <v>0.92541572263960503</v>
      </c>
    </row>
    <row r="2334" spans="1:13" x14ac:dyDescent="0.25">
      <c r="A2334">
        <v>561</v>
      </c>
      <c r="B2334" t="str">
        <f>"LDHB"</f>
        <v>LDHB</v>
      </c>
      <c r="C2334" t="str">
        <f>""</f>
        <v/>
      </c>
      <c r="D2334">
        <v>36.637999999999998</v>
      </c>
      <c r="E2334">
        <v>25.4</v>
      </c>
      <c r="F2334">
        <v>64</v>
      </c>
      <c r="G2334">
        <v>66</v>
      </c>
      <c r="H2334">
        <v>57</v>
      </c>
      <c r="I2334" s="7">
        <v>35.893236057235299</v>
      </c>
      <c r="J2334" s="6">
        <v>38.360018103402403</v>
      </c>
      <c r="K2334" s="6">
        <v>34.398371848739501</v>
      </c>
      <c r="L2334">
        <v>1.0135390110287299</v>
      </c>
      <c r="M2334">
        <v>0.92546114769431598</v>
      </c>
    </row>
    <row r="2335" spans="1:13" x14ac:dyDescent="0.25">
      <c r="A2335">
        <v>3012</v>
      </c>
      <c r="B2335" t="str">
        <f>"PSMD13"</f>
        <v>PSMD13</v>
      </c>
      <c r="C2335" t="str">
        <f>""</f>
        <v/>
      </c>
      <c r="D2335">
        <v>42.945</v>
      </c>
      <c r="E2335">
        <v>17.3</v>
      </c>
      <c r="F2335">
        <v>5</v>
      </c>
      <c r="G2335">
        <v>6</v>
      </c>
      <c r="H2335">
        <v>3</v>
      </c>
      <c r="I2335" s="7">
        <v>2.80415906697151</v>
      </c>
      <c r="J2335" s="6">
        <v>3.4872743730365801</v>
      </c>
      <c r="K2335" s="6">
        <v>1.8104406236178701</v>
      </c>
      <c r="L2335">
        <v>-1.05862964268269</v>
      </c>
      <c r="M2335">
        <v>0.92684419350959002</v>
      </c>
    </row>
    <row r="2336" spans="1:13" x14ac:dyDescent="0.25">
      <c r="A2336">
        <v>2361</v>
      </c>
      <c r="B2336" t="str">
        <f>"MSI2"</f>
        <v>MSI2</v>
      </c>
      <c r="C2336" t="str">
        <f>""</f>
        <v/>
      </c>
      <c r="D2336">
        <v>28.42</v>
      </c>
      <c r="E2336">
        <v>6</v>
      </c>
      <c r="F2336">
        <v>5</v>
      </c>
      <c r="G2336">
        <v>6</v>
      </c>
      <c r="H2336">
        <v>3</v>
      </c>
      <c r="I2336" s="7">
        <v>2.80415906697151</v>
      </c>
      <c r="J2336" s="6">
        <v>3.4872743730365801</v>
      </c>
      <c r="K2336" s="6">
        <v>1.8104406236178701</v>
      </c>
      <c r="L2336">
        <v>-1.05862964268269</v>
      </c>
      <c r="M2336">
        <v>0.92684419350959002</v>
      </c>
    </row>
    <row r="2337" spans="1:13" x14ac:dyDescent="0.25">
      <c r="A2337">
        <v>1868</v>
      </c>
      <c r="B2337" t="str">
        <f>"RBM26"</f>
        <v>RBM26</v>
      </c>
      <c r="C2337" t="str">
        <f>""</f>
        <v/>
      </c>
      <c r="D2337">
        <v>110.66</v>
      </c>
      <c r="E2337">
        <v>3.3</v>
      </c>
      <c r="F2337">
        <v>5</v>
      </c>
      <c r="G2337">
        <v>6</v>
      </c>
      <c r="H2337">
        <v>3</v>
      </c>
      <c r="I2337" s="7">
        <v>2.80415906697151</v>
      </c>
      <c r="J2337" s="6">
        <v>3.4872743730365801</v>
      </c>
      <c r="K2337" s="6">
        <v>1.8104406236178701</v>
      </c>
      <c r="L2337">
        <v>-1.05862964268269</v>
      </c>
      <c r="M2337">
        <v>0.92684419350959002</v>
      </c>
    </row>
    <row r="2338" spans="1:13" x14ac:dyDescent="0.25">
      <c r="A2338">
        <v>3130</v>
      </c>
      <c r="B2338" t="str">
        <f>"SRPRB"</f>
        <v>SRPRB</v>
      </c>
      <c r="C2338" t="str">
        <f>""</f>
        <v/>
      </c>
      <c r="D2338">
        <v>29.702000000000002</v>
      </c>
      <c r="E2338">
        <v>21</v>
      </c>
      <c r="F2338">
        <v>5</v>
      </c>
      <c r="G2338">
        <v>5</v>
      </c>
      <c r="H2338">
        <v>4</v>
      </c>
      <c r="I2338" s="7">
        <v>2.80415906697151</v>
      </c>
      <c r="J2338" s="6">
        <v>2.9060619775304799</v>
      </c>
      <c r="K2338" s="6">
        <v>2.4139208314904899</v>
      </c>
      <c r="L2338">
        <v>-1.05419854448272</v>
      </c>
      <c r="M2338">
        <v>0.92755733540230101</v>
      </c>
    </row>
    <row r="2339" spans="1:13" x14ac:dyDescent="0.25">
      <c r="A2339">
        <v>270</v>
      </c>
      <c r="B2339" t="str">
        <f>"GMDS"</f>
        <v>GMDS</v>
      </c>
      <c r="C2339" t="str">
        <f>""</f>
        <v/>
      </c>
      <c r="D2339">
        <v>39.052999999999997</v>
      </c>
      <c r="E2339">
        <v>2.2999999999999998</v>
      </c>
      <c r="F2339">
        <v>5</v>
      </c>
      <c r="G2339">
        <v>5</v>
      </c>
      <c r="H2339">
        <v>4</v>
      </c>
      <c r="I2339" s="7">
        <v>2.80415906697151</v>
      </c>
      <c r="J2339" s="6">
        <v>2.9060619775304799</v>
      </c>
      <c r="K2339" s="6">
        <v>2.4139208314904899</v>
      </c>
      <c r="L2339">
        <v>-1.05419854448272</v>
      </c>
      <c r="M2339">
        <v>0.92755733540230101</v>
      </c>
    </row>
    <row r="2340" spans="1:13" x14ac:dyDescent="0.25">
      <c r="A2340">
        <v>639</v>
      </c>
      <c r="B2340" t="str">
        <f>"PDHB"</f>
        <v>PDHB</v>
      </c>
      <c r="C2340" t="str">
        <f>""</f>
        <v/>
      </c>
      <c r="D2340">
        <v>37.514000000000003</v>
      </c>
      <c r="E2340">
        <v>15.8</v>
      </c>
      <c r="F2340">
        <v>5</v>
      </c>
      <c r="G2340">
        <v>5</v>
      </c>
      <c r="H2340">
        <v>4</v>
      </c>
      <c r="I2340" s="7">
        <v>2.80415906697151</v>
      </c>
      <c r="J2340" s="6">
        <v>2.9060619775304799</v>
      </c>
      <c r="K2340" s="6">
        <v>2.4139208314904899</v>
      </c>
      <c r="L2340">
        <v>-1.05419854448272</v>
      </c>
      <c r="M2340">
        <v>0.92755733540230101</v>
      </c>
    </row>
    <row r="2341" spans="1:13" x14ac:dyDescent="0.25">
      <c r="A2341">
        <v>1740</v>
      </c>
      <c r="B2341" t="str">
        <f>"TRIP4"</f>
        <v>TRIP4</v>
      </c>
      <c r="C2341" t="str">
        <f>""</f>
        <v/>
      </c>
      <c r="D2341">
        <v>66.144999999999996</v>
      </c>
      <c r="E2341">
        <v>8.4</v>
      </c>
      <c r="F2341">
        <v>5</v>
      </c>
      <c r="G2341">
        <v>5</v>
      </c>
      <c r="H2341">
        <v>4</v>
      </c>
      <c r="I2341" s="7">
        <v>2.80415906697151</v>
      </c>
      <c r="J2341" s="6">
        <v>2.9060619775304799</v>
      </c>
      <c r="K2341" s="6">
        <v>2.4139208314904899</v>
      </c>
      <c r="L2341">
        <v>-1.05419854448272</v>
      </c>
      <c r="M2341">
        <v>0.92755733540230101</v>
      </c>
    </row>
    <row r="2342" spans="1:13" x14ac:dyDescent="0.25">
      <c r="A2342">
        <v>2173</v>
      </c>
      <c r="B2342" t="str">
        <f>"TXNDC5"</f>
        <v>TXNDC5</v>
      </c>
      <c r="C2342" t="str">
        <f>""</f>
        <v/>
      </c>
      <c r="D2342">
        <v>47.628</v>
      </c>
      <c r="E2342">
        <v>13.4</v>
      </c>
      <c r="F2342">
        <v>5</v>
      </c>
      <c r="G2342">
        <v>4</v>
      </c>
      <c r="H2342">
        <v>5</v>
      </c>
      <c r="I2342" s="7">
        <v>2.80415906697151</v>
      </c>
      <c r="J2342" s="6">
        <v>2.32484958202439</v>
      </c>
      <c r="K2342" s="6">
        <v>3.0174010393631101</v>
      </c>
      <c r="L2342">
        <v>-1.0498043860934401</v>
      </c>
      <c r="M2342">
        <v>0.92755738423876999</v>
      </c>
    </row>
    <row r="2343" spans="1:13" x14ac:dyDescent="0.25">
      <c r="A2343">
        <v>3121</v>
      </c>
      <c r="B2343" t="str">
        <f>"PRRC2C"</f>
        <v>PRRC2C</v>
      </c>
      <c r="C2343" t="str">
        <f>""</f>
        <v/>
      </c>
      <c r="D2343">
        <v>301.57</v>
      </c>
      <c r="E2343">
        <v>6.2</v>
      </c>
      <c r="F2343">
        <v>5</v>
      </c>
      <c r="G2343">
        <v>4</v>
      </c>
      <c r="H2343">
        <v>5</v>
      </c>
      <c r="I2343" s="7">
        <v>2.80415906697151</v>
      </c>
      <c r="J2343" s="6">
        <v>2.32484958202439</v>
      </c>
      <c r="K2343" s="6">
        <v>3.0174010393631101</v>
      </c>
      <c r="L2343">
        <v>-1.0498043860934401</v>
      </c>
      <c r="M2343">
        <v>0.92755738423876999</v>
      </c>
    </row>
    <row r="2344" spans="1:13" x14ac:dyDescent="0.25">
      <c r="A2344">
        <v>1533</v>
      </c>
      <c r="B2344" t="str">
        <f>"FLII"</f>
        <v>FLII</v>
      </c>
      <c r="C2344" t="str">
        <f>""</f>
        <v/>
      </c>
      <c r="D2344">
        <v>138.49</v>
      </c>
      <c r="E2344">
        <v>3</v>
      </c>
      <c r="F2344">
        <v>4</v>
      </c>
      <c r="G2344">
        <v>4</v>
      </c>
      <c r="H2344">
        <v>4</v>
      </c>
      <c r="I2344" s="7">
        <v>2.2433272535772102</v>
      </c>
      <c r="J2344" s="6">
        <v>2.32484958202439</v>
      </c>
      <c r="K2344" s="6">
        <v>2.4139208314904899</v>
      </c>
      <c r="L2344">
        <v>1.0561924048215501</v>
      </c>
      <c r="M2344">
        <v>0.92947666824193498</v>
      </c>
    </row>
    <row r="2345" spans="1:13" x14ac:dyDescent="0.25">
      <c r="A2345">
        <v>1517</v>
      </c>
      <c r="B2345" t="str">
        <f>"ILF2"</f>
        <v>ILF2</v>
      </c>
      <c r="C2345" t="str">
        <f>""</f>
        <v/>
      </c>
      <c r="D2345">
        <v>43.061999999999998</v>
      </c>
      <c r="E2345">
        <v>6.9</v>
      </c>
      <c r="F2345">
        <v>4</v>
      </c>
      <c r="G2345">
        <v>4</v>
      </c>
      <c r="H2345">
        <v>4</v>
      </c>
      <c r="I2345" s="7">
        <v>2.2433272535772102</v>
      </c>
      <c r="J2345" s="6">
        <v>2.32484958202439</v>
      </c>
      <c r="K2345" s="6">
        <v>2.4139208314904899</v>
      </c>
      <c r="L2345">
        <v>1.0561924048215501</v>
      </c>
      <c r="M2345">
        <v>0.92947666824193498</v>
      </c>
    </row>
    <row r="2346" spans="1:13" x14ac:dyDescent="0.25">
      <c r="A2346">
        <v>1287</v>
      </c>
      <c r="B2346" t="str">
        <f>"RPL15"</f>
        <v>RPL15</v>
      </c>
      <c r="C2346" t="str">
        <f>""</f>
        <v/>
      </c>
      <c r="D2346">
        <v>24.146000000000001</v>
      </c>
      <c r="E2346">
        <v>6.4</v>
      </c>
      <c r="F2346">
        <v>4</v>
      </c>
      <c r="G2346">
        <v>4</v>
      </c>
      <c r="H2346">
        <v>4</v>
      </c>
      <c r="I2346" s="7">
        <v>2.2433272535772102</v>
      </c>
      <c r="J2346" s="6">
        <v>2.32484958202439</v>
      </c>
      <c r="K2346" s="6">
        <v>2.4139208314904899</v>
      </c>
      <c r="L2346">
        <v>1.0561924048215501</v>
      </c>
      <c r="M2346">
        <v>0.92947666824193498</v>
      </c>
    </row>
    <row r="2347" spans="1:13" x14ac:dyDescent="0.25">
      <c r="A2347">
        <v>653</v>
      </c>
      <c r="B2347" t="str">
        <f>"IGF2R"</f>
        <v>IGF2R</v>
      </c>
      <c r="C2347" t="str">
        <f>""</f>
        <v/>
      </c>
      <c r="D2347">
        <v>274.37</v>
      </c>
      <c r="E2347">
        <v>5.3</v>
      </c>
      <c r="F2347">
        <v>4</v>
      </c>
      <c r="G2347">
        <v>4</v>
      </c>
      <c r="H2347">
        <v>4</v>
      </c>
      <c r="I2347" s="7">
        <v>2.2433272535772102</v>
      </c>
      <c r="J2347" s="6">
        <v>2.32484958202439</v>
      </c>
      <c r="K2347" s="6">
        <v>2.4139208314904899</v>
      </c>
      <c r="L2347">
        <v>1.0561924048215501</v>
      </c>
      <c r="M2347">
        <v>0.92947666824193498</v>
      </c>
    </row>
    <row r="2348" spans="1:13" x14ac:dyDescent="0.25">
      <c r="A2348">
        <v>1043</v>
      </c>
      <c r="B2348" t="str">
        <f>"PSMC4"</f>
        <v>PSMC4</v>
      </c>
      <c r="C2348" t="str">
        <f>""</f>
        <v/>
      </c>
      <c r="D2348">
        <v>43.506999999999998</v>
      </c>
      <c r="E2348">
        <v>18.100000000000001</v>
      </c>
      <c r="F2348">
        <v>4</v>
      </c>
      <c r="G2348">
        <v>4</v>
      </c>
      <c r="H2348">
        <v>4</v>
      </c>
      <c r="I2348" s="7">
        <v>2.2433272535772102</v>
      </c>
      <c r="J2348" s="6">
        <v>2.32484958202439</v>
      </c>
      <c r="K2348" s="6">
        <v>2.4139208314904899</v>
      </c>
      <c r="L2348">
        <v>1.0561924048215501</v>
      </c>
      <c r="M2348">
        <v>0.92947666824193498</v>
      </c>
    </row>
    <row r="2349" spans="1:13" x14ac:dyDescent="0.25">
      <c r="A2349">
        <v>209</v>
      </c>
      <c r="B2349" t="str">
        <f>"SART1"</f>
        <v>SART1</v>
      </c>
      <c r="C2349" t="str">
        <f>""</f>
        <v/>
      </c>
      <c r="D2349">
        <v>90.254000000000005</v>
      </c>
      <c r="E2349">
        <v>9</v>
      </c>
      <c r="F2349">
        <v>4</v>
      </c>
      <c r="G2349">
        <v>4</v>
      </c>
      <c r="H2349">
        <v>4</v>
      </c>
      <c r="I2349" s="7">
        <v>2.2433272535772102</v>
      </c>
      <c r="J2349" s="6">
        <v>2.32484958202439</v>
      </c>
      <c r="K2349" s="6">
        <v>2.4139208314904899</v>
      </c>
      <c r="L2349">
        <v>1.0561924048215501</v>
      </c>
      <c r="M2349">
        <v>0.92947666824193498</v>
      </c>
    </row>
    <row r="2350" spans="1:13" x14ac:dyDescent="0.25">
      <c r="A2350">
        <v>977</v>
      </c>
      <c r="B2350" t="str">
        <f>"NUP62"</f>
        <v>NUP62</v>
      </c>
      <c r="C2350" t="str">
        <f>""</f>
        <v/>
      </c>
      <c r="D2350">
        <v>53.253999999999998</v>
      </c>
      <c r="E2350">
        <v>5.7</v>
      </c>
      <c r="F2350">
        <v>4</v>
      </c>
      <c r="G2350">
        <v>4</v>
      </c>
      <c r="H2350">
        <v>4</v>
      </c>
      <c r="I2350" s="7">
        <v>2.2433272535772102</v>
      </c>
      <c r="J2350" s="6">
        <v>2.32484958202439</v>
      </c>
      <c r="K2350" s="6">
        <v>2.4139208314904899</v>
      </c>
      <c r="L2350">
        <v>1.0561924048215501</v>
      </c>
      <c r="M2350">
        <v>0.92947666824193498</v>
      </c>
    </row>
    <row r="2351" spans="1:13" x14ac:dyDescent="0.25">
      <c r="A2351">
        <v>1476</v>
      </c>
      <c r="B2351" t="str">
        <f>"BAX"</f>
        <v>BAX</v>
      </c>
      <c r="C2351" t="str">
        <f>""</f>
        <v/>
      </c>
      <c r="D2351">
        <v>18.129000000000001</v>
      </c>
      <c r="E2351">
        <v>18.899999999999999</v>
      </c>
      <c r="F2351">
        <v>4</v>
      </c>
      <c r="G2351">
        <v>4</v>
      </c>
      <c r="H2351">
        <v>4</v>
      </c>
      <c r="I2351" s="7">
        <v>2.2433272535772102</v>
      </c>
      <c r="J2351" s="6">
        <v>2.32484958202439</v>
      </c>
      <c r="K2351" s="6">
        <v>2.4139208314904899</v>
      </c>
      <c r="L2351">
        <v>1.0561924048215501</v>
      </c>
      <c r="M2351">
        <v>0.92947666824193498</v>
      </c>
    </row>
    <row r="2352" spans="1:13" x14ac:dyDescent="0.25">
      <c r="A2352">
        <v>2906</v>
      </c>
      <c r="B2352" t="str">
        <f>"EIF2AK4"</f>
        <v>EIF2AK4</v>
      </c>
      <c r="C2352" t="str">
        <f>"EIF2AK4"</f>
        <v>EIF2AK4</v>
      </c>
      <c r="D2352">
        <v>186.91</v>
      </c>
      <c r="E2352">
        <v>3</v>
      </c>
      <c r="F2352">
        <v>4</v>
      </c>
      <c r="G2352">
        <v>4</v>
      </c>
      <c r="H2352">
        <v>4</v>
      </c>
      <c r="I2352" s="7">
        <v>2.2433272535772102</v>
      </c>
      <c r="J2352" s="6">
        <v>2.32484958202439</v>
      </c>
      <c r="K2352" s="6">
        <v>2.4139208314904899</v>
      </c>
      <c r="L2352">
        <v>1.0561924048215501</v>
      </c>
      <c r="M2352">
        <v>0.92947666824193498</v>
      </c>
    </row>
    <row r="2353" spans="1:13" x14ac:dyDescent="0.25">
      <c r="A2353">
        <v>3033</v>
      </c>
      <c r="B2353" t="str">
        <f>"PA2G4"</f>
        <v>PA2G4</v>
      </c>
      <c r="C2353" t="str">
        <f>""</f>
        <v/>
      </c>
      <c r="D2353">
        <v>43.786000000000001</v>
      </c>
      <c r="E2353">
        <v>18.3</v>
      </c>
      <c r="F2353">
        <v>4</v>
      </c>
      <c r="G2353">
        <v>4</v>
      </c>
      <c r="H2353">
        <v>4</v>
      </c>
      <c r="I2353" s="7">
        <v>2.2433272535772102</v>
      </c>
      <c r="J2353" s="6">
        <v>2.32484958202439</v>
      </c>
      <c r="K2353" s="6">
        <v>2.4139208314904899</v>
      </c>
      <c r="L2353">
        <v>1.0561924048215501</v>
      </c>
      <c r="M2353">
        <v>0.92947666824193498</v>
      </c>
    </row>
    <row r="2354" spans="1:13" x14ac:dyDescent="0.25">
      <c r="A2354">
        <v>2737</v>
      </c>
      <c r="B2354" t="str">
        <f>"MCCC2"</f>
        <v>MCCC2</v>
      </c>
      <c r="C2354" t="str">
        <f>""</f>
        <v/>
      </c>
      <c r="D2354">
        <v>61.332000000000001</v>
      </c>
      <c r="E2354">
        <v>11.5</v>
      </c>
      <c r="F2354">
        <v>4</v>
      </c>
      <c r="G2354">
        <v>3</v>
      </c>
      <c r="H2354">
        <v>5</v>
      </c>
      <c r="I2354" s="7">
        <v>2.2433272535772102</v>
      </c>
      <c r="J2354" s="6">
        <v>1.74363718651829</v>
      </c>
      <c r="K2354" s="6">
        <v>3.0174010393631101</v>
      </c>
      <c r="L2354">
        <v>1.0611555265263799</v>
      </c>
      <c r="M2354">
        <v>0.92990747212300495</v>
      </c>
    </row>
    <row r="2355" spans="1:13" x14ac:dyDescent="0.25">
      <c r="A2355">
        <v>2559</v>
      </c>
      <c r="B2355" t="str">
        <f>"HNRNPUL1"</f>
        <v>HNRNPUL1</v>
      </c>
      <c r="C2355" t="str">
        <f>""</f>
        <v/>
      </c>
      <c r="D2355">
        <v>84.498999999999995</v>
      </c>
      <c r="E2355">
        <v>8.4</v>
      </c>
      <c r="F2355">
        <v>4</v>
      </c>
      <c r="G2355">
        <v>3</v>
      </c>
      <c r="H2355">
        <v>5</v>
      </c>
      <c r="I2355" s="7">
        <v>2.2433272535772102</v>
      </c>
      <c r="J2355" s="6">
        <v>1.74363718651829</v>
      </c>
      <c r="K2355" s="6">
        <v>3.0174010393631101</v>
      </c>
      <c r="L2355">
        <v>1.0611555265263799</v>
      </c>
      <c r="M2355">
        <v>0.92990747212300495</v>
      </c>
    </row>
    <row r="2356" spans="1:13" x14ac:dyDescent="0.25">
      <c r="A2356">
        <v>91</v>
      </c>
      <c r="B2356" t="str">
        <f>"GTPBP1"</f>
        <v>GTPBP1</v>
      </c>
      <c r="C2356" t="str">
        <f>""</f>
        <v/>
      </c>
      <c r="D2356">
        <v>72.453000000000003</v>
      </c>
      <c r="E2356">
        <v>8.6999999999999993</v>
      </c>
      <c r="F2356">
        <v>4</v>
      </c>
      <c r="G2356">
        <v>3</v>
      </c>
      <c r="H2356">
        <v>5</v>
      </c>
      <c r="I2356" s="7">
        <v>2.2433272535772102</v>
      </c>
      <c r="J2356" s="6">
        <v>1.74363718651829</v>
      </c>
      <c r="K2356" s="6">
        <v>3.0174010393631101</v>
      </c>
      <c r="L2356">
        <v>1.0611555265263799</v>
      </c>
      <c r="M2356">
        <v>0.92990747212300495</v>
      </c>
    </row>
    <row r="2357" spans="1:13" x14ac:dyDescent="0.25">
      <c r="A2357">
        <v>878</v>
      </c>
      <c r="B2357" t="str">
        <f>"EEF1D"</f>
        <v>EEF1D</v>
      </c>
      <c r="C2357" t="str">
        <f>""</f>
        <v/>
      </c>
      <c r="D2357">
        <v>28.558</v>
      </c>
      <c r="E2357">
        <v>18.7</v>
      </c>
      <c r="F2357">
        <v>4</v>
      </c>
      <c r="G2357">
        <v>3</v>
      </c>
      <c r="H2357">
        <v>5</v>
      </c>
      <c r="I2357" s="7">
        <v>2.2433272535772102</v>
      </c>
      <c r="J2357" s="6">
        <v>1.74363718651829</v>
      </c>
      <c r="K2357" s="6">
        <v>3.0174010393631101</v>
      </c>
      <c r="L2357">
        <v>1.0611555265263799</v>
      </c>
      <c r="M2357">
        <v>0.92990747212300495</v>
      </c>
    </row>
    <row r="2358" spans="1:13" x14ac:dyDescent="0.25">
      <c r="A2358">
        <v>1525</v>
      </c>
      <c r="B2358" t="str">
        <f>"PPP1R8"</f>
        <v>PPP1R8</v>
      </c>
      <c r="C2358" t="str">
        <f>""</f>
        <v/>
      </c>
      <c r="D2358">
        <v>38.478000000000002</v>
      </c>
      <c r="E2358">
        <v>8</v>
      </c>
      <c r="F2358">
        <v>4</v>
      </c>
      <c r="G2358">
        <v>3</v>
      </c>
      <c r="H2358">
        <v>5</v>
      </c>
      <c r="I2358" s="7">
        <v>2.2433272535772102</v>
      </c>
      <c r="J2358" s="6">
        <v>1.74363718651829</v>
      </c>
      <c r="K2358" s="6">
        <v>3.0174010393631101</v>
      </c>
      <c r="L2358">
        <v>1.0611555265263799</v>
      </c>
      <c r="M2358">
        <v>0.92990747212300495</v>
      </c>
    </row>
    <row r="2359" spans="1:13" x14ac:dyDescent="0.25">
      <c r="A2359">
        <v>804</v>
      </c>
      <c r="B2359" t="str">
        <f>"ME2"</f>
        <v>ME2</v>
      </c>
      <c r="C2359" t="str">
        <f>""</f>
        <v/>
      </c>
      <c r="D2359">
        <v>65.442999999999998</v>
      </c>
      <c r="E2359">
        <v>10.1</v>
      </c>
      <c r="F2359">
        <v>4</v>
      </c>
      <c r="G2359">
        <v>5</v>
      </c>
      <c r="H2359">
        <v>3</v>
      </c>
      <c r="I2359" s="7">
        <v>2.2433272535772102</v>
      </c>
      <c r="J2359" s="6">
        <v>2.9060619775304799</v>
      </c>
      <c r="K2359" s="6">
        <v>1.8104406236178701</v>
      </c>
      <c r="L2359">
        <v>1.05122928311672</v>
      </c>
      <c r="M2359">
        <v>0.92990760676764805</v>
      </c>
    </row>
    <row r="2360" spans="1:13" x14ac:dyDescent="0.25">
      <c r="A2360">
        <v>408</v>
      </c>
      <c r="B2360" t="str">
        <f>"PSMG1"</f>
        <v>PSMG1</v>
      </c>
      <c r="C2360" t="str">
        <f>""</f>
        <v/>
      </c>
      <c r="D2360">
        <v>30.288</v>
      </c>
      <c r="E2360">
        <v>3.7</v>
      </c>
      <c r="F2360">
        <v>4</v>
      </c>
      <c r="G2360">
        <v>5</v>
      </c>
      <c r="H2360">
        <v>3</v>
      </c>
      <c r="I2360" s="7">
        <v>2.2433272535772102</v>
      </c>
      <c r="J2360" s="6">
        <v>2.9060619775304799</v>
      </c>
      <c r="K2360" s="6">
        <v>1.8104406236178701</v>
      </c>
      <c r="L2360">
        <v>1.05122928311672</v>
      </c>
      <c r="M2360">
        <v>0.92990760676764805</v>
      </c>
    </row>
    <row r="2361" spans="1:13" x14ac:dyDescent="0.25">
      <c r="A2361">
        <v>1218</v>
      </c>
      <c r="B2361" t="str">
        <f>"ATP1B3"</f>
        <v>ATP1B3</v>
      </c>
      <c r="C2361" t="str">
        <f>""</f>
        <v/>
      </c>
      <c r="D2361">
        <v>31.512</v>
      </c>
      <c r="E2361">
        <v>8.6</v>
      </c>
      <c r="F2361">
        <v>4</v>
      </c>
      <c r="G2361">
        <v>5</v>
      </c>
      <c r="H2361">
        <v>3</v>
      </c>
      <c r="I2361" s="7">
        <v>2.2433272535772102</v>
      </c>
      <c r="J2361" s="6">
        <v>2.9060619775304799</v>
      </c>
      <c r="K2361" s="6">
        <v>1.8104406236178701</v>
      </c>
      <c r="L2361">
        <v>1.05122928311672</v>
      </c>
      <c r="M2361">
        <v>0.92990760676764805</v>
      </c>
    </row>
    <row r="2362" spans="1:13" x14ac:dyDescent="0.25">
      <c r="A2362">
        <v>1654</v>
      </c>
      <c r="B2362" t="str">
        <f>"TRIP12"</f>
        <v>TRIP12</v>
      </c>
      <c r="C2362" t="str">
        <f>""</f>
        <v/>
      </c>
      <c r="D2362">
        <v>192.07</v>
      </c>
      <c r="E2362">
        <v>3.3</v>
      </c>
      <c r="F2362">
        <v>4</v>
      </c>
      <c r="G2362">
        <v>5</v>
      </c>
      <c r="H2362">
        <v>3</v>
      </c>
      <c r="I2362" s="7">
        <v>2.2433272535772102</v>
      </c>
      <c r="J2362" s="6">
        <v>2.9060619775304799</v>
      </c>
      <c r="K2362" s="6">
        <v>1.8104406236178701</v>
      </c>
      <c r="L2362">
        <v>1.05122928311672</v>
      </c>
      <c r="M2362">
        <v>0.92990760676764805</v>
      </c>
    </row>
    <row r="2363" spans="1:13" x14ac:dyDescent="0.25">
      <c r="A2363">
        <v>1971</v>
      </c>
      <c r="B2363" t="str">
        <f>"GIGYF2"</f>
        <v>GIGYF2</v>
      </c>
      <c r="C2363" t="str">
        <f>""</f>
        <v/>
      </c>
      <c r="D2363">
        <v>148.63</v>
      </c>
      <c r="E2363">
        <v>3.3</v>
      </c>
      <c r="F2363">
        <v>4</v>
      </c>
      <c r="G2363">
        <v>5</v>
      </c>
      <c r="H2363">
        <v>3</v>
      </c>
      <c r="I2363" s="7">
        <v>2.2433272535772102</v>
      </c>
      <c r="J2363" s="6">
        <v>2.9060619775304799</v>
      </c>
      <c r="K2363" s="6">
        <v>1.8104406236178701</v>
      </c>
      <c r="L2363">
        <v>1.05122928311672</v>
      </c>
      <c r="M2363">
        <v>0.92990760676764805</v>
      </c>
    </row>
    <row r="2364" spans="1:13" x14ac:dyDescent="0.25">
      <c r="A2364">
        <v>1310</v>
      </c>
      <c r="B2364" t="str">
        <f>"RPS16"</f>
        <v>RPS16</v>
      </c>
      <c r="C2364" t="str">
        <f>""</f>
        <v/>
      </c>
      <c r="D2364">
        <v>16.445</v>
      </c>
      <c r="E2364">
        <v>21.2</v>
      </c>
      <c r="F2364">
        <v>3</v>
      </c>
      <c r="G2364">
        <v>3</v>
      </c>
      <c r="H2364">
        <v>3</v>
      </c>
      <c r="I2364" s="7">
        <v>1.68249544018291</v>
      </c>
      <c r="J2364" s="6">
        <v>1.74363718651829</v>
      </c>
      <c r="K2364" s="6">
        <v>1.8104406236178701</v>
      </c>
      <c r="L2364">
        <v>1.0561924048215501</v>
      </c>
      <c r="M2364">
        <v>0.93890787889045801</v>
      </c>
    </row>
    <row r="2365" spans="1:13" x14ac:dyDescent="0.25">
      <c r="A2365">
        <v>766</v>
      </c>
      <c r="B2365" t="str">
        <f>"PSMB1"</f>
        <v>PSMB1</v>
      </c>
      <c r="C2365" t="str">
        <f>""</f>
        <v/>
      </c>
      <c r="D2365">
        <v>26.489000000000001</v>
      </c>
      <c r="E2365">
        <v>22.8</v>
      </c>
      <c r="F2365">
        <v>3</v>
      </c>
      <c r="G2365">
        <v>3</v>
      </c>
      <c r="H2365">
        <v>3</v>
      </c>
      <c r="I2365" s="7">
        <v>1.68249544018291</v>
      </c>
      <c r="J2365" s="6">
        <v>1.74363718651829</v>
      </c>
      <c r="K2365" s="6">
        <v>1.8104406236178701</v>
      </c>
      <c r="L2365">
        <v>1.0561924048215501</v>
      </c>
      <c r="M2365">
        <v>0.93890787889045801</v>
      </c>
    </row>
    <row r="2366" spans="1:13" x14ac:dyDescent="0.25">
      <c r="A2366">
        <v>2288</v>
      </c>
      <c r="B2366" t="str">
        <f>"TFG"</f>
        <v>TFG</v>
      </c>
      <c r="C2366" t="str">
        <f>""</f>
        <v/>
      </c>
      <c r="D2366">
        <v>30.920999999999999</v>
      </c>
      <c r="E2366">
        <v>10.4</v>
      </c>
      <c r="F2366">
        <v>3</v>
      </c>
      <c r="G2366">
        <v>3</v>
      </c>
      <c r="H2366">
        <v>3</v>
      </c>
      <c r="I2366" s="7">
        <v>1.68249544018291</v>
      </c>
      <c r="J2366" s="6">
        <v>1.74363718651829</v>
      </c>
      <c r="K2366" s="6">
        <v>1.8104406236178701</v>
      </c>
      <c r="L2366">
        <v>1.0561924048215501</v>
      </c>
      <c r="M2366">
        <v>0.93890787889045801</v>
      </c>
    </row>
    <row r="2367" spans="1:13" x14ac:dyDescent="0.25">
      <c r="A2367">
        <v>1470</v>
      </c>
      <c r="B2367" t="str">
        <f>"FMR1"</f>
        <v>FMR1</v>
      </c>
      <c r="C2367" t="str">
        <f>""</f>
        <v/>
      </c>
      <c r="D2367">
        <v>58.834000000000003</v>
      </c>
      <c r="E2367">
        <v>5.2</v>
      </c>
      <c r="F2367">
        <v>3</v>
      </c>
      <c r="G2367">
        <v>3</v>
      </c>
      <c r="H2367">
        <v>3</v>
      </c>
      <c r="I2367" s="7">
        <v>1.68249544018291</v>
      </c>
      <c r="J2367" s="6">
        <v>1.74363718651829</v>
      </c>
      <c r="K2367" s="6">
        <v>1.8104406236178701</v>
      </c>
      <c r="L2367">
        <v>1.0561924048215501</v>
      </c>
      <c r="M2367">
        <v>0.93890787889045801</v>
      </c>
    </row>
    <row r="2368" spans="1:13" x14ac:dyDescent="0.25">
      <c r="A2368">
        <v>1723</v>
      </c>
      <c r="B2368" t="str">
        <f>"SF3B3"</f>
        <v>SF3B3</v>
      </c>
      <c r="C2368" t="str">
        <f>""</f>
        <v/>
      </c>
      <c r="D2368">
        <v>135.58000000000001</v>
      </c>
      <c r="E2368">
        <v>4.8</v>
      </c>
      <c r="F2368">
        <v>3</v>
      </c>
      <c r="G2368">
        <v>3</v>
      </c>
      <c r="H2368">
        <v>3</v>
      </c>
      <c r="I2368" s="7">
        <v>1.68249544018291</v>
      </c>
      <c r="J2368" s="6">
        <v>1.74363718651829</v>
      </c>
      <c r="K2368" s="6">
        <v>1.8104406236178701</v>
      </c>
      <c r="L2368">
        <v>1.0561924048215501</v>
      </c>
      <c r="M2368">
        <v>0.93890787889045801</v>
      </c>
    </row>
    <row r="2369" spans="1:13" x14ac:dyDescent="0.25">
      <c r="A2369">
        <v>464</v>
      </c>
      <c r="B2369" t="str">
        <f>"KRAS;NRAS"</f>
        <v>KRAS;NRAS</v>
      </c>
      <c r="C2369" t="str">
        <f>""</f>
        <v/>
      </c>
      <c r="D2369">
        <v>21.423999999999999</v>
      </c>
      <c r="E2369">
        <v>6.4</v>
      </c>
      <c r="F2369">
        <v>3</v>
      </c>
      <c r="G2369">
        <v>3</v>
      </c>
      <c r="H2369">
        <v>3</v>
      </c>
      <c r="I2369" s="7">
        <v>1.68249544018291</v>
      </c>
      <c r="J2369" s="6">
        <v>1.74363718651829</v>
      </c>
      <c r="K2369" s="6">
        <v>1.8104406236178701</v>
      </c>
      <c r="L2369">
        <v>1.0561924048215501</v>
      </c>
      <c r="M2369">
        <v>0.93890787889045801</v>
      </c>
    </row>
    <row r="2370" spans="1:13" x14ac:dyDescent="0.25">
      <c r="A2370">
        <v>2372</v>
      </c>
      <c r="B2370" t="str">
        <f>"MRPS24"</f>
        <v>MRPS24</v>
      </c>
      <c r="C2370" t="str">
        <f>""</f>
        <v/>
      </c>
      <c r="D2370">
        <v>19.015000000000001</v>
      </c>
      <c r="E2370">
        <v>4.8</v>
      </c>
      <c r="F2370">
        <v>3</v>
      </c>
      <c r="G2370">
        <v>3</v>
      </c>
      <c r="H2370">
        <v>3</v>
      </c>
      <c r="I2370" s="7">
        <v>1.68249544018291</v>
      </c>
      <c r="J2370" s="6">
        <v>1.74363718651829</v>
      </c>
      <c r="K2370" s="6">
        <v>1.8104406236178701</v>
      </c>
      <c r="L2370">
        <v>1.0561924048215501</v>
      </c>
      <c r="M2370">
        <v>0.93890787889045801</v>
      </c>
    </row>
    <row r="2371" spans="1:13" x14ac:dyDescent="0.25">
      <c r="A2371">
        <v>2634</v>
      </c>
      <c r="B2371" t="str">
        <f>"NAA50"</f>
        <v>NAA50</v>
      </c>
      <c r="C2371" t="str">
        <f>""</f>
        <v/>
      </c>
      <c r="D2371">
        <v>9.4647000000000006</v>
      </c>
      <c r="E2371">
        <v>13.6</v>
      </c>
      <c r="F2371">
        <v>3</v>
      </c>
      <c r="G2371">
        <v>3</v>
      </c>
      <c r="H2371">
        <v>3</v>
      </c>
      <c r="I2371" s="7">
        <v>1.68249544018291</v>
      </c>
      <c r="J2371" s="6">
        <v>1.74363718651829</v>
      </c>
      <c r="K2371" s="6">
        <v>1.8104406236178701</v>
      </c>
      <c r="L2371">
        <v>1.0561924048215501</v>
      </c>
      <c r="M2371">
        <v>0.93890787889045801</v>
      </c>
    </row>
    <row r="2372" spans="1:13" x14ac:dyDescent="0.25">
      <c r="A2372">
        <v>102</v>
      </c>
      <c r="B2372" t="str">
        <f>"SUPT5H"</f>
        <v>SUPT5H</v>
      </c>
      <c r="C2372" t="str">
        <f>""</f>
        <v/>
      </c>
      <c r="D2372">
        <v>120.5</v>
      </c>
      <c r="E2372">
        <v>3</v>
      </c>
      <c r="F2372">
        <v>3</v>
      </c>
      <c r="G2372">
        <v>3</v>
      </c>
      <c r="H2372">
        <v>3</v>
      </c>
      <c r="I2372" s="7">
        <v>1.68249544018291</v>
      </c>
      <c r="J2372" s="6">
        <v>1.74363718651829</v>
      </c>
      <c r="K2372" s="6">
        <v>1.8104406236178701</v>
      </c>
      <c r="L2372">
        <v>1.0561924048215501</v>
      </c>
      <c r="M2372">
        <v>0.93890787889045801</v>
      </c>
    </row>
    <row r="2373" spans="1:13" x14ac:dyDescent="0.25">
      <c r="A2373">
        <v>304</v>
      </c>
      <c r="B2373" t="str">
        <f>"CLUH"</f>
        <v>CLUH</v>
      </c>
      <c r="C2373" t="str">
        <f>""</f>
        <v/>
      </c>
      <c r="D2373">
        <v>146.66999999999999</v>
      </c>
      <c r="E2373">
        <v>3.1</v>
      </c>
      <c r="F2373">
        <v>3</v>
      </c>
      <c r="G2373">
        <v>3</v>
      </c>
      <c r="H2373">
        <v>3</v>
      </c>
      <c r="I2373" s="7">
        <v>1.68249544018291</v>
      </c>
      <c r="J2373" s="6">
        <v>1.74363718651829</v>
      </c>
      <c r="K2373" s="6">
        <v>1.8104406236178701</v>
      </c>
      <c r="L2373">
        <v>1.0561924048215501</v>
      </c>
      <c r="M2373">
        <v>0.93890787889045801</v>
      </c>
    </row>
    <row r="2374" spans="1:13" x14ac:dyDescent="0.25">
      <c r="A2374">
        <v>439</v>
      </c>
      <c r="B2374" t="str">
        <f>"GLUD1;GLUD2"</f>
        <v>GLUD1;GLUD2</v>
      </c>
      <c r="C2374" t="str">
        <f>""</f>
        <v/>
      </c>
      <c r="D2374">
        <v>61.396999999999998</v>
      </c>
      <c r="E2374">
        <v>15.2</v>
      </c>
      <c r="F2374">
        <v>3</v>
      </c>
      <c r="G2374">
        <v>3</v>
      </c>
      <c r="H2374">
        <v>3</v>
      </c>
      <c r="I2374" s="7">
        <v>1.68249544018291</v>
      </c>
      <c r="J2374" s="6">
        <v>1.74363718651829</v>
      </c>
      <c r="K2374" s="6">
        <v>1.8104406236178701</v>
      </c>
      <c r="L2374">
        <v>1.0561924048215501</v>
      </c>
      <c r="M2374">
        <v>0.93890787889045801</v>
      </c>
    </row>
    <row r="2375" spans="1:13" x14ac:dyDescent="0.25">
      <c r="A2375">
        <v>722</v>
      </c>
      <c r="B2375" t="str">
        <f>"STMN1;STMN2"</f>
        <v>STMN1;STMN2</v>
      </c>
      <c r="C2375" t="str">
        <f>""</f>
        <v/>
      </c>
      <c r="D2375">
        <v>17.302</v>
      </c>
      <c r="E2375">
        <v>16.100000000000001</v>
      </c>
      <c r="F2375">
        <v>3</v>
      </c>
      <c r="G2375">
        <v>3</v>
      </c>
      <c r="H2375">
        <v>3</v>
      </c>
      <c r="I2375" s="7">
        <v>1.68249544018291</v>
      </c>
      <c r="J2375" s="6">
        <v>1.74363718651829</v>
      </c>
      <c r="K2375" s="6">
        <v>1.8104406236178701</v>
      </c>
      <c r="L2375">
        <v>1.0561924048215501</v>
      </c>
      <c r="M2375">
        <v>0.93890787889045801</v>
      </c>
    </row>
    <row r="2376" spans="1:13" x14ac:dyDescent="0.25">
      <c r="A2376">
        <v>1167</v>
      </c>
      <c r="B2376" t="str">
        <f>"USP11"</f>
        <v>USP11</v>
      </c>
      <c r="C2376" t="str">
        <f>""</f>
        <v/>
      </c>
      <c r="D2376">
        <v>109.82</v>
      </c>
      <c r="E2376">
        <v>3</v>
      </c>
      <c r="F2376">
        <v>3</v>
      </c>
      <c r="G2376">
        <v>3</v>
      </c>
      <c r="H2376">
        <v>3</v>
      </c>
      <c r="I2376" s="7">
        <v>1.68249544018291</v>
      </c>
      <c r="J2376" s="6">
        <v>1.74363718651829</v>
      </c>
      <c r="K2376" s="6">
        <v>1.8104406236178701</v>
      </c>
      <c r="L2376">
        <v>1.0561924048215501</v>
      </c>
      <c r="M2376">
        <v>0.93890787889045801</v>
      </c>
    </row>
    <row r="2377" spans="1:13" x14ac:dyDescent="0.25">
      <c r="A2377">
        <v>2362</v>
      </c>
      <c r="B2377" t="str">
        <f>"SNRNP40"</f>
        <v>SNRNP40</v>
      </c>
      <c r="C2377" t="str">
        <f>""</f>
        <v/>
      </c>
      <c r="D2377">
        <v>39.31</v>
      </c>
      <c r="E2377">
        <v>20.2</v>
      </c>
      <c r="F2377">
        <v>3</v>
      </c>
      <c r="G2377">
        <v>3</v>
      </c>
      <c r="H2377">
        <v>3</v>
      </c>
      <c r="I2377" s="7">
        <v>1.68249544018291</v>
      </c>
      <c r="J2377" s="6">
        <v>1.74363718651829</v>
      </c>
      <c r="K2377" s="6">
        <v>1.8104406236178701</v>
      </c>
      <c r="L2377">
        <v>1.0561924048215501</v>
      </c>
      <c r="M2377">
        <v>0.93890787889045801</v>
      </c>
    </row>
    <row r="2378" spans="1:13" x14ac:dyDescent="0.25">
      <c r="A2378">
        <v>2856</v>
      </c>
      <c r="B2378" t="str">
        <f>"BCLAF1"</f>
        <v>BCLAF1</v>
      </c>
      <c r="C2378" t="str">
        <f>""</f>
        <v/>
      </c>
      <c r="D2378">
        <v>100.23</v>
      </c>
      <c r="E2378">
        <v>6.8</v>
      </c>
      <c r="F2378">
        <v>3</v>
      </c>
      <c r="G2378">
        <v>3</v>
      </c>
      <c r="H2378">
        <v>3</v>
      </c>
      <c r="I2378" s="7">
        <v>1.68249544018291</v>
      </c>
      <c r="J2378" s="6">
        <v>1.74363718651829</v>
      </c>
      <c r="K2378" s="6">
        <v>1.8104406236178701</v>
      </c>
      <c r="L2378">
        <v>1.0561924048215501</v>
      </c>
      <c r="M2378">
        <v>0.93890787889045801</v>
      </c>
    </row>
    <row r="2379" spans="1:13" x14ac:dyDescent="0.25">
      <c r="A2379">
        <v>2989</v>
      </c>
      <c r="B2379" t="str">
        <f>"TAOK2"</f>
        <v>TAOK2</v>
      </c>
      <c r="C2379" t="str">
        <f>"TAOK2"</f>
        <v>TAOK2</v>
      </c>
      <c r="D2379">
        <v>119.28</v>
      </c>
      <c r="E2379">
        <v>4.2</v>
      </c>
      <c r="F2379">
        <v>3</v>
      </c>
      <c r="G2379">
        <v>3</v>
      </c>
      <c r="H2379">
        <v>3</v>
      </c>
      <c r="I2379" s="7">
        <v>1.68249544018291</v>
      </c>
      <c r="J2379" s="6">
        <v>1.74363718651829</v>
      </c>
      <c r="K2379" s="6">
        <v>1.8104406236178701</v>
      </c>
      <c r="L2379">
        <v>1.0561924048215501</v>
      </c>
      <c r="M2379">
        <v>0.93890787889045801</v>
      </c>
    </row>
    <row r="2380" spans="1:13" x14ac:dyDescent="0.25">
      <c r="A2380">
        <v>3157</v>
      </c>
      <c r="B2380" t="str">
        <f>"MAP3K4"</f>
        <v>MAP3K4</v>
      </c>
      <c r="C2380" t="str">
        <f>"MAP3K4"</f>
        <v>MAP3K4</v>
      </c>
      <c r="D2380">
        <v>177.01</v>
      </c>
      <c r="E2380">
        <v>1.3</v>
      </c>
      <c r="F2380">
        <v>3</v>
      </c>
      <c r="G2380">
        <v>3</v>
      </c>
      <c r="H2380">
        <v>3</v>
      </c>
      <c r="I2380" s="7">
        <v>1.68249544018291</v>
      </c>
      <c r="J2380" s="6">
        <v>1.74363718651829</v>
      </c>
      <c r="K2380" s="6">
        <v>1.8104406236178701</v>
      </c>
      <c r="L2380">
        <v>1.0561924048215501</v>
      </c>
      <c r="M2380">
        <v>0.93890787889045801</v>
      </c>
    </row>
    <row r="2381" spans="1:13" x14ac:dyDescent="0.25">
      <c r="A2381">
        <v>1548</v>
      </c>
      <c r="B2381" t="str">
        <f>"PSMD2"</f>
        <v>PSMD2</v>
      </c>
      <c r="C2381" t="str">
        <f>""</f>
        <v/>
      </c>
      <c r="D2381">
        <v>100.2</v>
      </c>
      <c r="E2381">
        <v>7.3</v>
      </c>
      <c r="F2381">
        <v>3</v>
      </c>
      <c r="G2381">
        <v>2</v>
      </c>
      <c r="H2381">
        <v>4</v>
      </c>
      <c r="I2381" s="7">
        <v>1.68249544018291</v>
      </c>
      <c r="J2381" s="6">
        <v>1.1624247910121901</v>
      </c>
      <c r="K2381" s="6">
        <v>2.4139208314904899</v>
      </c>
      <c r="L2381">
        <v>1.0628099004279901</v>
      </c>
      <c r="M2381">
        <v>0.93957212638990695</v>
      </c>
    </row>
    <row r="2382" spans="1:13" x14ac:dyDescent="0.25">
      <c r="A2382">
        <v>1506</v>
      </c>
      <c r="B2382" t="str">
        <f>"TBL3"</f>
        <v>TBL3</v>
      </c>
      <c r="C2382" t="str">
        <f>""</f>
        <v/>
      </c>
      <c r="D2382">
        <v>89.034000000000006</v>
      </c>
      <c r="E2382">
        <v>4.7</v>
      </c>
      <c r="F2382">
        <v>3</v>
      </c>
      <c r="G2382">
        <v>2</v>
      </c>
      <c r="H2382">
        <v>4</v>
      </c>
      <c r="I2382" s="7">
        <v>1.68249544018291</v>
      </c>
      <c r="J2382" s="6">
        <v>1.1624247910121901</v>
      </c>
      <c r="K2382" s="6">
        <v>2.4139208314904899</v>
      </c>
      <c r="L2382">
        <v>1.0628099004279901</v>
      </c>
      <c r="M2382">
        <v>0.93957212638990695</v>
      </c>
    </row>
    <row r="2383" spans="1:13" x14ac:dyDescent="0.25">
      <c r="A2383">
        <v>130</v>
      </c>
      <c r="B2383" t="str">
        <f>"TXNDC9"</f>
        <v>TXNDC9</v>
      </c>
      <c r="C2383" t="str">
        <f>""</f>
        <v/>
      </c>
      <c r="D2383">
        <v>22.199000000000002</v>
      </c>
      <c r="E2383">
        <v>4.8</v>
      </c>
      <c r="F2383">
        <v>3</v>
      </c>
      <c r="G2383">
        <v>2</v>
      </c>
      <c r="H2383">
        <v>4</v>
      </c>
      <c r="I2383" s="7">
        <v>1.68249544018291</v>
      </c>
      <c r="J2383" s="6">
        <v>1.1624247910121901</v>
      </c>
      <c r="K2383" s="6">
        <v>2.4139208314904899</v>
      </c>
      <c r="L2383">
        <v>1.0628099004279901</v>
      </c>
      <c r="M2383">
        <v>0.93957212638990695</v>
      </c>
    </row>
    <row r="2384" spans="1:13" x14ac:dyDescent="0.25">
      <c r="A2384">
        <v>197</v>
      </c>
      <c r="B2384" t="str">
        <f>"YKT6"</f>
        <v>YKT6</v>
      </c>
      <c r="C2384" t="str">
        <f>""</f>
        <v/>
      </c>
      <c r="D2384">
        <v>22.417000000000002</v>
      </c>
      <c r="E2384">
        <v>31.3</v>
      </c>
      <c r="F2384">
        <v>3</v>
      </c>
      <c r="G2384">
        <v>2</v>
      </c>
      <c r="H2384">
        <v>4</v>
      </c>
      <c r="I2384" s="7">
        <v>1.68249544018291</v>
      </c>
      <c r="J2384" s="6">
        <v>1.1624247910121901</v>
      </c>
      <c r="K2384" s="6">
        <v>2.4139208314904899</v>
      </c>
      <c r="L2384">
        <v>1.0628099004279901</v>
      </c>
      <c r="M2384">
        <v>0.93957212638990695</v>
      </c>
    </row>
    <row r="2385" spans="1:13" x14ac:dyDescent="0.25">
      <c r="A2385">
        <v>1063</v>
      </c>
      <c r="B2385" t="str">
        <f>"MAP1B"</f>
        <v>MAP1B</v>
      </c>
      <c r="C2385" t="str">
        <f>""</f>
        <v/>
      </c>
      <c r="D2385">
        <v>270.63</v>
      </c>
      <c r="E2385">
        <v>2</v>
      </c>
      <c r="F2385">
        <v>3</v>
      </c>
      <c r="G2385">
        <v>2</v>
      </c>
      <c r="H2385">
        <v>4</v>
      </c>
      <c r="I2385" s="7">
        <v>1.68249544018291</v>
      </c>
      <c r="J2385" s="6">
        <v>1.1624247910121901</v>
      </c>
      <c r="K2385" s="6">
        <v>2.4139208314904899</v>
      </c>
      <c r="L2385">
        <v>1.0628099004279901</v>
      </c>
      <c r="M2385">
        <v>0.93957212638990695</v>
      </c>
    </row>
    <row r="2386" spans="1:13" x14ac:dyDescent="0.25">
      <c r="A2386">
        <v>1624</v>
      </c>
      <c r="B2386" t="str">
        <f>"SAFB2"</f>
        <v>SAFB2</v>
      </c>
      <c r="C2386" t="str">
        <f>""</f>
        <v/>
      </c>
      <c r="D2386">
        <v>107.47</v>
      </c>
      <c r="E2386">
        <v>4.7</v>
      </c>
      <c r="F2386">
        <v>3</v>
      </c>
      <c r="G2386">
        <v>2</v>
      </c>
      <c r="H2386">
        <v>4</v>
      </c>
      <c r="I2386" s="7">
        <v>1.68249544018291</v>
      </c>
      <c r="J2386" s="6">
        <v>1.1624247910121901</v>
      </c>
      <c r="K2386" s="6">
        <v>2.4139208314904899</v>
      </c>
      <c r="L2386">
        <v>1.0628099004279901</v>
      </c>
      <c r="M2386">
        <v>0.93957212638990695</v>
      </c>
    </row>
    <row r="2387" spans="1:13" x14ac:dyDescent="0.25">
      <c r="A2387">
        <v>1941</v>
      </c>
      <c r="B2387" t="str">
        <f>"PDXDC1"</f>
        <v>PDXDC1</v>
      </c>
      <c r="C2387" t="str">
        <f>""</f>
        <v/>
      </c>
      <c r="D2387">
        <v>76.546000000000006</v>
      </c>
      <c r="E2387">
        <v>11.9</v>
      </c>
      <c r="F2387">
        <v>3</v>
      </c>
      <c r="G2387">
        <v>2</v>
      </c>
      <c r="H2387">
        <v>4</v>
      </c>
      <c r="I2387" s="7">
        <v>1.68249544018291</v>
      </c>
      <c r="J2387" s="6">
        <v>1.1624247910121901</v>
      </c>
      <c r="K2387" s="6">
        <v>2.4139208314904899</v>
      </c>
      <c r="L2387">
        <v>1.0628099004279901</v>
      </c>
      <c r="M2387">
        <v>0.93957212638990695</v>
      </c>
    </row>
    <row r="2388" spans="1:13" x14ac:dyDescent="0.25">
      <c r="A2388">
        <v>1996</v>
      </c>
      <c r="B2388" t="str">
        <f>"SUPT6H"</f>
        <v>SUPT6H</v>
      </c>
      <c r="C2388" t="str">
        <f>""</f>
        <v/>
      </c>
      <c r="D2388">
        <v>199.07</v>
      </c>
      <c r="E2388">
        <v>2.8</v>
      </c>
      <c r="F2388">
        <v>3</v>
      </c>
      <c r="G2388">
        <v>2</v>
      </c>
      <c r="H2388">
        <v>4</v>
      </c>
      <c r="I2388" s="7">
        <v>1.68249544018291</v>
      </c>
      <c r="J2388" s="6">
        <v>1.1624247910121901</v>
      </c>
      <c r="K2388" s="6">
        <v>2.4139208314904899</v>
      </c>
      <c r="L2388">
        <v>1.0628099004279901</v>
      </c>
      <c r="M2388">
        <v>0.93957212638990695</v>
      </c>
    </row>
    <row r="2389" spans="1:13" x14ac:dyDescent="0.25">
      <c r="A2389">
        <v>2014</v>
      </c>
      <c r="B2389" t="str">
        <f>"ZC3HAV1"</f>
        <v>ZC3HAV1</v>
      </c>
      <c r="C2389" t="str">
        <f>""</f>
        <v/>
      </c>
      <c r="D2389">
        <v>67.588999999999999</v>
      </c>
      <c r="E2389">
        <v>4</v>
      </c>
      <c r="F2389">
        <v>3</v>
      </c>
      <c r="G2389">
        <v>2</v>
      </c>
      <c r="H2389">
        <v>4</v>
      </c>
      <c r="I2389" s="7">
        <v>1.68249544018291</v>
      </c>
      <c r="J2389" s="6">
        <v>1.1624247910121901</v>
      </c>
      <c r="K2389" s="6">
        <v>2.4139208314904899</v>
      </c>
      <c r="L2389">
        <v>1.0628099004279901</v>
      </c>
      <c r="M2389">
        <v>0.93957212638990695</v>
      </c>
    </row>
    <row r="2390" spans="1:13" x14ac:dyDescent="0.25">
      <c r="A2390">
        <v>2242</v>
      </c>
      <c r="B2390" t="str">
        <f>"SCFD1"</f>
        <v>SCFD1</v>
      </c>
      <c r="C2390" t="str">
        <f>""</f>
        <v/>
      </c>
      <c r="D2390">
        <v>72.379000000000005</v>
      </c>
      <c r="E2390">
        <v>3.7</v>
      </c>
      <c r="F2390">
        <v>3</v>
      </c>
      <c r="G2390">
        <v>2</v>
      </c>
      <c r="H2390">
        <v>4</v>
      </c>
      <c r="I2390" s="7">
        <v>1.68249544018291</v>
      </c>
      <c r="J2390" s="6">
        <v>1.1624247910121901</v>
      </c>
      <c r="K2390" s="6">
        <v>2.4139208314904899</v>
      </c>
      <c r="L2390">
        <v>1.0628099004279901</v>
      </c>
      <c r="M2390">
        <v>0.93957212638990695</v>
      </c>
    </row>
    <row r="2391" spans="1:13" x14ac:dyDescent="0.25">
      <c r="A2391">
        <v>2645</v>
      </c>
      <c r="B2391" t="str">
        <f>"DDX47"</f>
        <v>DDX47</v>
      </c>
      <c r="C2391" t="str">
        <f>""</f>
        <v/>
      </c>
      <c r="D2391">
        <v>45.168999999999997</v>
      </c>
      <c r="E2391">
        <v>12.3</v>
      </c>
      <c r="F2391">
        <v>3</v>
      </c>
      <c r="G2391">
        <v>2</v>
      </c>
      <c r="H2391">
        <v>4</v>
      </c>
      <c r="I2391" s="7">
        <v>1.68249544018291</v>
      </c>
      <c r="J2391" s="6">
        <v>1.1624247910121901</v>
      </c>
      <c r="K2391" s="6">
        <v>2.4139208314904899</v>
      </c>
      <c r="L2391">
        <v>1.0628099004279901</v>
      </c>
      <c r="M2391">
        <v>0.93957212638990695</v>
      </c>
    </row>
    <row r="2392" spans="1:13" x14ac:dyDescent="0.25">
      <c r="A2392">
        <v>411</v>
      </c>
      <c r="B2392" t="str">
        <f>"SEC24A"</f>
        <v>SEC24A</v>
      </c>
      <c r="C2392" t="str">
        <f>""</f>
        <v/>
      </c>
      <c r="D2392">
        <v>119.75</v>
      </c>
      <c r="E2392">
        <v>0.7</v>
      </c>
      <c r="F2392">
        <v>3</v>
      </c>
      <c r="G2392">
        <v>4</v>
      </c>
      <c r="H2392">
        <v>2</v>
      </c>
      <c r="I2392" s="7">
        <v>1.68249544018291</v>
      </c>
      <c r="J2392" s="6">
        <v>2.32484958202439</v>
      </c>
      <c r="K2392" s="6">
        <v>1.20696041574525</v>
      </c>
      <c r="L2392">
        <v>1.0495749092151101</v>
      </c>
      <c r="M2392">
        <v>0.93957226322823595</v>
      </c>
    </row>
    <row r="2393" spans="1:13" x14ac:dyDescent="0.25">
      <c r="A2393">
        <v>1247</v>
      </c>
      <c r="B2393" t="str">
        <f>"ATP5I"</f>
        <v>ATP5I</v>
      </c>
      <c r="C2393" t="str">
        <f>""</f>
        <v/>
      </c>
      <c r="D2393">
        <v>7.9330999999999996</v>
      </c>
      <c r="E2393">
        <v>30.4</v>
      </c>
      <c r="F2393">
        <v>3</v>
      </c>
      <c r="G2393">
        <v>4</v>
      </c>
      <c r="H2393">
        <v>2</v>
      </c>
      <c r="I2393" s="7">
        <v>1.68249544018291</v>
      </c>
      <c r="J2393" s="6">
        <v>2.32484958202439</v>
      </c>
      <c r="K2393" s="6">
        <v>1.20696041574525</v>
      </c>
      <c r="L2393">
        <v>1.0495749092151101</v>
      </c>
      <c r="M2393">
        <v>0.93957226322823595</v>
      </c>
    </row>
    <row r="2394" spans="1:13" x14ac:dyDescent="0.25">
      <c r="A2394">
        <v>544</v>
      </c>
      <c r="B2394" t="str">
        <f>"GLA"</f>
        <v>GLA</v>
      </c>
      <c r="C2394" t="str">
        <f>""</f>
        <v/>
      </c>
      <c r="D2394">
        <v>48.765999999999998</v>
      </c>
      <c r="E2394">
        <v>6.8</v>
      </c>
      <c r="F2394">
        <v>3</v>
      </c>
      <c r="G2394">
        <v>4</v>
      </c>
      <c r="H2394">
        <v>2</v>
      </c>
      <c r="I2394" s="7">
        <v>1.68249544018291</v>
      </c>
      <c r="J2394" s="6">
        <v>2.32484958202439</v>
      </c>
      <c r="K2394" s="6">
        <v>1.20696041574525</v>
      </c>
      <c r="L2394">
        <v>1.0495749092151101</v>
      </c>
      <c r="M2394">
        <v>0.93957226322823595</v>
      </c>
    </row>
    <row r="2395" spans="1:13" x14ac:dyDescent="0.25">
      <c r="A2395">
        <v>1018</v>
      </c>
      <c r="B2395" t="str">
        <f>"MTOR"</f>
        <v>MTOR</v>
      </c>
      <c r="C2395" t="str">
        <f>"MTOR"</f>
        <v>MTOR</v>
      </c>
      <c r="D2395">
        <v>288.89</v>
      </c>
      <c r="E2395">
        <v>1.7</v>
      </c>
      <c r="F2395">
        <v>3</v>
      </c>
      <c r="G2395">
        <v>4</v>
      </c>
      <c r="H2395">
        <v>2</v>
      </c>
      <c r="I2395" s="7">
        <v>1.68249544018291</v>
      </c>
      <c r="J2395" s="6">
        <v>2.32484958202439</v>
      </c>
      <c r="K2395" s="6">
        <v>1.20696041574525</v>
      </c>
      <c r="L2395">
        <v>1.0495749092151101</v>
      </c>
      <c r="M2395">
        <v>0.93957226322823595</v>
      </c>
    </row>
    <row r="2396" spans="1:13" x14ac:dyDescent="0.25">
      <c r="A2396">
        <v>1180</v>
      </c>
      <c r="B2396" t="str">
        <f>"MAP2K6"</f>
        <v>MAP2K6</v>
      </c>
      <c r="C2396" t="str">
        <f>"MAP2K6"</f>
        <v>MAP2K6</v>
      </c>
      <c r="D2396">
        <v>37.491999999999997</v>
      </c>
      <c r="E2396">
        <v>9</v>
      </c>
      <c r="F2396">
        <v>3</v>
      </c>
      <c r="G2396">
        <v>4</v>
      </c>
      <c r="H2396">
        <v>2</v>
      </c>
      <c r="I2396" s="7">
        <v>1.68249544018291</v>
      </c>
      <c r="J2396" s="6">
        <v>2.32484958202439</v>
      </c>
      <c r="K2396" s="6">
        <v>1.20696041574525</v>
      </c>
      <c r="L2396">
        <v>1.0495749092151101</v>
      </c>
      <c r="M2396">
        <v>0.93957226322823595</v>
      </c>
    </row>
    <row r="2397" spans="1:13" x14ac:dyDescent="0.25">
      <c r="A2397">
        <v>1220</v>
      </c>
      <c r="B2397" t="str">
        <f>"RAD23B"</f>
        <v>RAD23B</v>
      </c>
      <c r="C2397" t="str">
        <f>""</f>
        <v/>
      </c>
      <c r="D2397">
        <v>43.170999999999999</v>
      </c>
      <c r="E2397">
        <v>5.0999999999999996</v>
      </c>
      <c r="F2397">
        <v>3</v>
      </c>
      <c r="G2397">
        <v>4</v>
      </c>
      <c r="H2397">
        <v>2</v>
      </c>
      <c r="I2397" s="7">
        <v>1.68249544018291</v>
      </c>
      <c r="J2397" s="6">
        <v>2.32484958202439</v>
      </c>
      <c r="K2397" s="6">
        <v>1.20696041574525</v>
      </c>
      <c r="L2397">
        <v>1.0495749092151101</v>
      </c>
      <c r="M2397">
        <v>0.93957226322823595</v>
      </c>
    </row>
    <row r="2398" spans="1:13" x14ac:dyDescent="0.25">
      <c r="A2398">
        <v>1531</v>
      </c>
      <c r="B2398" t="str">
        <f>"CDC16"</f>
        <v>CDC16</v>
      </c>
      <c r="C2398" t="str">
        <f>""</f>
        <v/>
      </c>
      <c r="D2398">
        <v>60.37</v>
      </c>
      <c r="E2398">
        <v>4.8</v>
      </c>
      <c r="F2398">
        <v>3</v>
      </c>
      <c r="G2398">
        <v>4</v>
      </c>
      <c r="H2398">
        <v>2</v>
      </c>
      <c r="I2398" s="7">
        <v>1.68249544018291</v>
      </c>
      <c r="J2398" s="6">
        <v>2.32484958202439</v>
      </c>
      <c r="K2398" s="6">
        <v>1.20696041574525</v>
      </c>
      <c r="L2398">
        <v>1.0495749092151101</v>
      </c>
      <c r="M2398">
        <v>0.93957226322823595</v>
      </c>
    </row>
    <row r="2399" spans="1:13" x14ac:dyDescent="0.25">
      <c r="A2399">
        <v>1782</v>
      </c>
      <c r="B2399" t="str">
        <f>"HADH"</f>
        <v>HADH</v>
      </c>
      <c r="C2399" t="str">
        <f>""</f>
        <v/>
      </c>
      <c r="D2399">
        <v>34.292999999999999</v>
      </c>
      <c r="E2399">
        <v>6.7</v>
      </c>
      <c r="F2399">
        <v>3</v>
      </c>
      <c r="G2399">
        <v>4</v>
      </c>
      <c r="H2399">
        <v>2</v>
      </c>
      <c r="I2399" s="7">
        <v>1.68249544018291</v>
      </c>
      <c r="J2399" s="6">
        <v>2.32484958202439</v>
      </c>
      <c r="K2399" s="6">
        <v>1.20696041574525</v>
      </c>
      <c r="L2399">
        <v>1.0495749092151101</v>
      </c>
      <c r="M2399">
        <v>0.93957226322823595</v>
      </c>
    </row>
    <row r="2400" spans="1:13" x14ac:dyDescent="0.25">
      <c r="A2400">
        <v>2303</v>
      </c>
      <c r="B2400" t="str">
        <f>"COPS5"</f>
        <v>COPS5</v>
      </c>
      <c r="C2400" t="str">
        <f>""</f>
        <v/>
      </c>
      <c r="D2400">
        <v>37.578000000000003</v>
      </c>
      <c r="E2400">
        <v>5.4</v>
      </c>
      <c r="F2400">
        <v>3</v>
      </c>
      <c r="G2400">
        <v>4</v>
      </c>
      <c r="H2400">
        <v>2</v>
      </c>
      <c r="I2400" s="7">
        <v>1.68249544018291</v>
      </c>
      <c r="J2400" s="6">
        <v>2.32484958202439</v>
      </c>
      <c r="K2400" s="6">
        <v>1.20696041574525</v>
      </c>
      <c r="L2400">
        <v>1.0495749092151101</v>
      </c>
      <c r="M2400">
        <v>0.93957226322823595</v>
      </c>
    </row>
    <row r="2401" spans="1:13" x14ac:dyDescent="0.25">
      <c r="A2401">
        <v>160</v>
      </c>
      <c r="B2401" t="str">
        <f>"XPO1"</f>
        <v>XPO1</v>
      </c>
      <c r="C2401" t="str">
        <f>""</f>
        <v/>
      </c>
      <c r="D2401">
        <v>123.38</v>
      </c>
      <c r="E2401">
        <v>7.7</v>
      </c>
      <c r="F2401">
        <v>13</v>
      </c>
      <c r="G2401">
        <v>11</v>
      </c>
      <c r="H2401">
        <v>13</v>
      </c>
      <c r="I2401" s="7">
        <v>7.2908135741259299</v>
      </c>
      <c r="J2401" s="6">
        <v>6.3933363505670604</v>
      </c>
      <c r="K2401" s="6">
        <v>7.8452427023441</v>
      </c>
      <c r="L2401">
        <v>-1.0240928602542401</v>
      </c>
      <c r="M2401">
        <v>0.940737004019229</v>
      </c>
    </row>
    <row r="2402" spans="1:13" x14ac:dyDescent="0.25">
      <c r="A2402">
        <v>2614</v>
      </c>
      <c r="B2402" t="str">
        <f>"WDR11"</f>
        <v>WDR11</v>
      </c>
      <c r="C2402" t="str">
        <f>""</f>
        <v/>
      </c>
      <c r="D2402">
        <v>136.68</v>
      </c>
      <c r="E2402">
        <v>6.8</v>
      </c>
      <c r="F2402">
        <v>3</v>
      </c>
      <c r="G2402">
        <v>1</v>
      </c>
      <c r="H2402">
        <v>5</v>
      </c>
      <c r="I2402" s="7">
        <v>1.68249544018291</v>
      </c>
      <c r="J2402" s="6">
        <v>0.58121239550609605</v>
      </c>
      <c r="K2402" s="6">
        <v>3.0174010393631101</v>
      </c>
      <c r="L2402">
        <v>1.06942739603443</v>
      </c>
      <c r="M2402">
        <v>0.94157046893604501</v>
      </c>
    </row>
    <row r="2403" spans="1:13" x14ac:dyDescent="0.25">
      <c r="A2403">
        <v>1413</v>
      </c>
      <c r="B2403" t="str">
        <f>"CLTC"</f>
        <v>CLTC</v>
      </c>
      <c r="C2403" t="str">
        <f>""</f>
        <v/>
      </c>
      <c r="D2403">
        <v>187.89</v>
      </c>
      <c r="E2403">
        <v>12.4</v>
      </c>
      <c r="F2403">
        <v>69</v>
      </c>
      <c r="G2403">
        <v>65</v>
      </c>
      <c r="H2403">
        <v>67</v>
      </c>
      <c r="I2403" s="7">
        <v>38.6973951242068</v>
      </c>
      <c r="J2403" s="6">
        <v>37.778805707896304</v>
      </c>
      <c r="K2403" s="6">
        <v>40.433173927465702</v>
      </c>
      <c r="L2403">
        <v>1.0105587131165501</v>
      </c>
      <c r="M2403">
        <v>0.947143346025481</v>
      </c>
    </row>
    <row r="2404" spans="1:13" x14ac:dyDescent="0.25">
      <c r="A2404">
        <v>99</v>
      </c>
      <c r="B2404" t="str">
        <f>"PSMD12"</f>
        <v>PSMD12</v>
      </c>
      <c r="C2404" t="str">
        <f>""</f>
        <v/>
      </c>
      <c r="D2404">
        <v>50.578000000000003</v>
      </c>
      <c r="E2404">
        <v>8.6999999999999993</v>
      </c>
      <c r="F2404">
        <v>6</v>
      </c>
      <c r="G2404">
        <v>4</v>
      </c>
      <c r="H2404">
        <v>7</v>
      </c>
      <c r="I2404" s="7">
        <v>3.3649908803658102</v>
      </c>
      <c r="J2404" s="6">
        <v>2.32484958202439</v>
      </c>
      <c r="K2404" s="6">
        <v>4.2243614551083599</v>
      </c>
      <c r="L2404">
        <v>-1.02760190847019</v>
      </c>
      <c r="M2404">
        <v>0.94839028888795895</v>
      </c>
    </row>
    <row r="2405" spans="1:13" x14ac:dyDescent="0.25">
      <c r="A2405">
        <v>2131</v>
      </c>
      <c r="B2405" t="str">
        <f>"INTS1"</f>
        <v>INTS1</v>
      </c>
      <c r="C2405" t="str">
        <f>""</f>
        <v/>
      </c>
      <c r="D2405">
        <v>244.29</v>
      </c>
      <c r="E2405">
        <v>3.9</v>
      </c>
      <c r="F2405">
        <v>6</v>
      </c>
      <c r="G2405">
        <v>4</v>
      </c>
      <c r="H2405">
        <v>7</v>
      </c>
      <c r="I2405" s="7">
        <v>3.3649908803658102</v>
      </c>
      <c r="J2405" s="6">
        <v>2.32484958202439</v>
      </c>
      <c r="K2405" s="6">
        <v>4.2243614551083599</v>
      </c>
      <c r="L2405">
        <v>-1.02760190847019</v>
      </c>
      <c r="M2405">
        <v>0.94839028888795895</v>
      </c>
    </row>
    <row r="2406" spans="1:13" x14ac:dyDescent="0.25">
      <c r="A2406">
        <v>829</v>
      </c>
      <c r="B2406" t="str">
        <f>"PSMA4"</f>
        <v>PSMA4</v>
      </c>
      <c r="C2406" t="str">
        <f>""</f>
        <v/>
      </c>
      <c r="D2406">
        <v>21.364000000000001</v>
      </c>
      <c r="E2406">
        <v>8.4</v>
      </c>
      <c r="F2406">
        <v>6</v>
      </c>
      <c r="G2406">
        <v>6</v>
      </c>
      <c r="H2406">
        <v>5</v>
      </c>
      <c r="I2406" s="7">
        <v>3.3649908803658102</v>
      </c>
      <c r="J2406" s="6">
        <v>3.4872743730365801</v>
      </c>
      <c r="K2406" s="6">
        <v>3.0174010393631101</v>
      </c>
      <c r="L2406">
        <v>-1.0346376005023199</v>
      </c>
      <c r="M2406">
        <v>0.94892025649165701</v>
      </c>
    </row>
    <row r="2407" spans="1:13" x14ac:dyDescent="0.25">
      <c r="A2407">
        <v>871</v>
      </c>
      <c r="B2407" t="str">
        <f>"IMPA1"</f>
        <v>IMPA1</v>
      </c>
      <c r="C2407" t="str">
        <f>""</f>
        <v/>
      </c>
      <c r="D2407">
        <v>36.694000000000003</v>
      </c>
      <c r="E2407">
        <v>12.5</v>
      </c>
      <c r="F2407">
        <v>6</v>
      </c>
      <c r="G2407">
        <v>6</v>
      </c>
      <c r="H2407">
        <v>5</v>
      </c>
      <c r="I2407" s="7">
        <v>3.3649908803658102</v>
      </c>
      <c r="J2407" s="6">
        <v>3.4872743730365801</v>
      </c>
      <c r="K2407" s="6">
        <v>3.0174010393631101</v>
      </c>
      <c r="L2407">
        <v>-1.0346376005023199</v>
      </c>
      <c r="M2407">
        <v>0.94892025649165701</v>
      </c>
    </row>
    <row r="2408" spans="1:13" x14ac:dyDescent="0.25">
      <c r="A2408">
        <v>651</v>
      </c>
      <c r="B2408" t="str">
        <f>"PC"</f>
        <v>PC</v>
      </c>
      <c r="C2408" t="str">
        <f>""</f>
        <v/>
      </c>
      <c r="D2408">
        <v>129.63</v>
      </c>
      <c r="E2408">
        <v>2.5</v>
      </c>
      <c r="F2408">
        <v>6</v>
      </c>
      <c r="G2408">
        <v>6</v>
      </c>
      <c r="H2408">
        <v>5</v>
      </c>
      <c r="I2408" s="7">
        <v>3.3649908803658102</v>
      </c>
      <c r="J2408" s="6">
        <v>3.4872743730365801</v>
      </c>
      <c r="K2408" s="6">
        <v>3.0174010393631101</v>
      </c>
      <c r="L2408">
        <v>-1.0346376005023199</v>
      </c>
      <c r="M2408">
        <v>0.94892025649165701</v>
      </c>
    </row>
    <row r="2409" spans="1:13" x14ac:dyDescent="0.25">
      <c r="A2409">
        <v>3142</v>
      </c>
      <c r="B2409" t="str">
        <f>"PSAT1"</f>
        <v>PSAT1</v>
      </c>
      <c r="C2409" t="str">
        <f>""</f>
        <v/>
      </c>
      <c r="D2409">
        <v>40.421999999999997</v>
      </c>
      <c r="E2409">
        <v>12.7</v>
      </c>
      <c r="F2409">
        <v>6</v>
      </c>
      <c r="G2409">
        <v>6</v>
      </c>
      <c r="H2409">
        <v>5</v>
      </c>
      <c r="I2409" s="7">
        <v>3.3649908803658102</v>
      </c>
      <c r="J2409" s="6">
        <v>3.4872743730365801</v>
      </c>
      <c r="K2409" s="6">
        <v>3.0174010393631101</v>
      </c>
      <c r="L2409">
        <v>-1.0346376005023199</v>
      </c>
      <c r="M2409">
        <v>0.94892025649165701</v>
      </c>
    </row>
    <row r="2410" spans="1:13" x14ac:dyDescent="0.25">
      <c r="A2410">
        <v>1015</v>
      </c>
      <c r="B2410" t="str">
        <f>"TMPO"</f>
        <v>TMPO</v>
      </c>
      <c r="C2410" t="str">
        <f>""</f>
        <v/>
      </c>
      <c r="D2410">
        <v>50.67</v>
      </c>
      <c r="E2410">
        <v>9.9</v>
      </c>
      <c r="F2410">
        <v>6</v>
      </c>
      <c r="G2410">
        <v>5</v>
      </c>
      <c r="H2410">
        <v>6</v>
      </c>
      <c r="I2410" s="7">
        <v>3.3649908803658102</v>
      </c>
      <c r="J2410" s="6">
        <v>2.9060619775304799</v>
      </c>
      <c r="K2410" s="6">
        <v>3.6208812472357401</v>
      </c>
      <c r="L2410">
        <v>-1.0311077527371399</v>
      </c>
      <c r="M2410">
        <v>0.94892032594528497</v>
      </c>
    </row>
    <row r="2411" spans="1:13" x14ac:dyDescent="0.25">
      <c r="A2411">
        <v>1437</v>
      </c>
      <c r="B2411" t="str">
        <f>"RPL18A"</f>
        <v>RPL18A</v>
      </c>
      <c r="C2411" t="str">
        <f>""</f>
        <v/>
      </c>
      <c r="D2411">
        <v>20.762</v>
      </c>
      <c r="E2411">
        <v>18.8</v>
      </c>
      <c r="F2411">
        <v>6</v>
      </c>
      <c r="G2411">
        <v>5</v>
      </c>
      <c r="H2411">
        <v>6</v>
      </c>
      <c r="I2411" s="7">
        <v>3.3649908803658102</v>
      </c>
      <c r="J2411" s="6">
        <v>2.9060619775304799</v>
      </c>
      <c r="K2411" s="6">
        <v>3.6208812472357401</v>
      </c>
      <c r="L2411">
        <v>-1.0311077527371399</v>
      </c>
      <c r="M2411">
        <v>0.94892032594528497</v>
      </c>
    </row>
    <row r="2412" spans="1:13" x14ac:dyDescent="0.25">
      <c r="A2412">
        <v>1760</v>
      </c>
      <c r="B2412" t="str">
        <f>"CSRP2"</f>
        <v>CSRP2</v>
      </c>
      <c r="C2412" t="str">
        <f>""</f>
        <v/>
      </c>
      <c r="D2412">
        <v>20.954000000000001</v>
      </c>
      <c r="E2412">
        <v>19.7</v>
      </c>
      <c r="F2412">
        <v>6</v>
      </c>
      <c r="G2412">
        <v>5</v>
      </c>
      <c r="H2412">
        <v>6</v>
      </c>
      <c r="I2412" s="7">
        <v>3.3649908803658102</v>
      </c>
      <c r="J2412" s="6">
        <v>2.9060619775304799</v>
      </c>
      <c r="K2412" s="6">
        <v>3.6208812472357401</v>
      </c>
      <c r="L2412">
        <v>-1.0311077527371399</v>
      </c>
      <c r="M2412">
        <v>0.94892032594528497</v>
      </c>
    </row>
    <row r="2413" spans="1:13" x14ac:dyDescent="0.25">
      <c r="A2413">
        <v>1865</v>
      </c>
      <c r="B2413" t="str">
        <f>"UBAP2"</f>
        <v>UBAP2</v>
      </c>
      <c r="C2413" t="str">
        <f>""</f>
        <v/>
      </c>
      <c r="D2413">
        <v>117.11</v>
      </c>
      <c r="E2413">
        <v>4.4000000000000004</v>
      </c>
      <c r="F2413">
        <v>6</v>
      </c>
      <c r="G2413">
        <v>5</v>
      </c>
      <c r="H2413">
        <v>6</v>
      </c>
      <c r="I2413" s="7">
        <v>3.3649908803658102</v>
      </c>
      <c r="J2413" s="6">
        <v>2.9060619775304799</v>
      </c>
      <c r="K2413" s="6">
        <v>3.6208812472357401</v>
      </c>
      <c r="L2413">
        <v>-1.0311077527371399</v>
      </c>
      <c r="M2413">
        <v>0.94892032594528497</v>
      </c>
    </row>
    <row r="2414" spans="1:13" x14ac:dyDescent="0.25">
      <c r="A2414">
        <v>1535</v>
      </c>
      <c r="B2414" t="str">
        <f>"ACACA"</f>
        <v>ACACA</v>
      </c>
      <c r="C2414" t="str">
        <f>""</f>
        <v/>
      </c>
      <c r="D2414">
        <v>257.24</v>
      </c>
      <c r="E2414">
        <v>7.5</v>
      </c>
      <c r="F2414">
        <v>15</v>
      </c>
      <c r="G2414">
        <v>13</v>
      </c>
      <c r="H2414">
        <v>16</v>
      </c>
      <c r="I2414" s="7">
        <v>8.4124772009145303</v>
      </c>
      <c r="J2414" s="6">
        <v>7.5557611415792598</v>
      </c>
      <c r="K2414" s="6">
        <v>9.6556833259619594</v>
      </c>
      <c r="L2414">
        <v>1.02297124000943</v>
      </c>
      <c r="M2414">
        <v>0.94913999667277005</v>
      </c>
    </row>
    <row r="2415" spans="1:13" x14ac:dyDescent="0.25">
      <c r="A2415">
        <v>462</v>
      </c>
      <c r="B2415" t="str">
        <f>"CSTA"</f>
        <v>CSTA</v>
      </c>
      <c r="C2415" t="str">
        <f>""</f>
        <v/>
      </c>
      <c r="D2415">
        <v>11.006</v>
      </c>
      <c r="E2415">
        <v>53.1</v>
      </c>
      <c r="F2415">
        <v>2</v>
      </c>
      <c r="G2415">
        <v>2</v>
      </c>
      <c r="H2415">
        <v>2</v>
      </c>
      <c r="I2415" s="7">
        <v>1.1216636267886</v>
      </c>
      <c r="J2415" s="6">
        <v>1.1624247910121901</v>
      </c>
      <c r="K2415" s="6">
        <v>1.20696041574525</v>
      </c>
      <c r="L2415">
        <v>1.0561924048215501</v>
      </c>
      <c r="M2415">
        <v>0.95010456043175895</v>
      </c>
    </row>
    <row r="2416" spans="1:13" x14ac:dyDescent="0.25">
      <c r="A2416">
        <v>3114</v>
      </c>
      <c r="B2416" t="str">
        <f>"HYOU1"</f>
        <v>HYOU1</v>
      </c>
      <c r="C2416" t="str">
        <f>""</f>
        <v/>
      </c>
      <c r="D2416">
        <v>111.33</v>
      </c>
      <c r="E2416">
        <v>3.6</v>
      </c>
      <c r="F2416">
        <v>2</v>
      </c>
      <c r="G2416">
        <v>2</v>
      </c>
      <c r="H2416">
        <v>2</v>
      </c>
      <c r="I2416" s="7">
        <v>1.1216636267886</v>
      </c>
      <c r="J2416" s="6">
        <v>1.1624247910121901</v>
      </c>
      <c r="K2416" s="6">
        <v>1.20696041574525</v>
      </c>
      <c r="L2416">
        <v>1.0561924048215501</v>
      </c>
      <c r="M2416">
        <v>0.95010456043175895</v>
      </c>
    </row>
    <row r="2417" spans="1:13" x14ac:dyDescent="0.25">
      <c r="A2417">
        <v>2703</v>
      </c>
      <c r="B2417" t="str">
        <f>"ACAD9"</f>
        <v>ACAD9</v>
      </c>
      <c r="C2417" t="str">
        <f>""</f>
        <v/>
      </c>
      <c r="D2417">
        <v>68.760000000000005</v>
      </c>
      <c r="E2417">
        <v>3.7</v>
      </c>
      <c r="F2417">
        <v>2</v>
      </c>
      <c r="G2417">
        <v>2</v>
      </c>
      <c r="H2417">
        <v>2</v>
      </c>
      <c r="I2417" s="7">
        <v>1.1216636267886</v>
      </c>
      <c r="J2417" s="6">
        <v>1.1624247910121901</v>
      </c>
      <c r="K2417" s="6">
        <v>1.20696041574525</v>
      </c>
      <c r="L2417">
        <v>1.0561924048215501</v>
      </c>
      <c r="M2417">
        <v>0.95010456043175895</v>
      </c>
    </row>
    <row r="2418" spans="1:13" x14ac:dyDescent="0.25">
      <c r="A2418">
        <v>1551</v>
      </c>
      <c r="B2418" t="str">
        <f>"SELENBP1"</f>
        <v>SELENBP1</v>
      </c>
      <c r="C2418" t="str">
        <f>""</f>
        <v/>
      </c>
      <c r="D2418">
        <v>45.347999999999999</v>
      </c>
      <c r="E2418">
        <v>10.8</v>
      </c>
      <c r="F2418">
        <v>2</v>
      </c>
      <c r="G2418">
        <v>2</v>
      </c>
      <c r="H2418">
        <v>2</v>
      </c>
      <c r="I2418" s="7">
        <v>1.1216636267886</v>
      </c>
      <c r="J2418" s="6">
        <v>1.1624247910121901</v>
      </c>
      <c r="K2418" s="6">
        <v>1.20696041574525</v>
      </c>
      <c r="L2418">
        <v>1.0561924048215501</v>
      </c>
      <c r="M2418">
        <v>0.95010456043175895</v>
      </c>
    </row>
    <row r="2419" spans="1:13" x14ac:dyDescent="0.25">
      <c r="A2419">
        <v>2452</v>
      </c>
      <c r="B2419" t="str">
        <f>"ERGIC2"</f>
        <v>ERGIC2</v>
      </c>
      <c r="C2419" t="str">
        <f>""</f>
        <v/>
      </c>
      <c r="D2419">
        <v>42.548000000000002</v>
      </c>
      <c r="E2419">
        <v>9.3000000000000007</v>
      </c>
      <c r="F2419">
        <v>2</v>
      </c>
      <c r="G2419">
        <v>2</v>
      </c>
      <c r="H2419">
        <v>2</v>
      </c>
      <c r="I2419" s="7">
        <v>1.1216636267886</v>
      </c>
      <c r="J2419" s="6">
        <v>1.1624247910121901</v>
      </c>
      <c r="K2419" s="6">
        <v>1.20696041574525</v>
      </c>
      <c r="L2419">
        <v>1.0561924048215501</v>
      </c>
      <c r="M2419">
        <v>0.95010456043175895</v>
      </c>
    </row>
    <row r="2420" spans="1:13" x14ac:dyDescent="0.25">
      <c r="A2420">
        <v>2558</v>
      </c>
      <c r="B2420" t="str">
        <f>"TUBB6"</f>
        <v>TUBB6</v>
      </c>
      <c r="C2420" t="str">
        <f>""</f>
        <v/>
      </c>
      <c r="D2420">
        <v>49.856999999999999</v>
      </c>
      <c r="E2420">
        <v>8.6999999999999993</v>
      </c>
      <c r="F2420">
        <v>2</v>
      </c>
      <c r="G2420">
        <v>2</v>
      </c>
      <c r="H2420">
        <v>2</v>
      </c>
      <c r="I2420" s="7">
        <v>1.1216636267886</v>
      </c>
      <c r="J2420" s="6">
        <v>1.1624247910121901</v>
      </c>
      <c r="K2420" s="6">
        <v>1.20696041574525</v>
      </c>
      <c r="L2420">
        <v>1.0561924048215501</v>
      </c>
      <c r="M2420">
        <v>0.95010456043175895</v>
      </c>
    </row>
    <row r="2421" spans="1:13" x14ac:dyDescent="0.25">
      <c r="A2421">
        <v>2957</v>
      </c>
      <c r="B2421" t="str">
        <f>"EIF2B4"</f>
        <v>EIF2B4</v>
      </c>
      <c r="C2421" t="str">
        <f>""</f>
        <v/>
      </c>
      <c r="D2421">
        <v>57.457000000000001</v>
      </c>
      <c r="E2421">
        <v>5.2</v>
      </c>
      <c r="F2421">
        <v>2</v>
      </c>
      <c r="G2421">
        <v>2</v>
      </c>
      <c r="H2421">
        <v>2</v>
      </c>
      <c r="I2421" s="7">
        <v>1.1216636267886</v>
      </c>
      <c r="J2421" s="6">
        <v>1.1624247910121901</v>
      </c>
      <c r="K2421" s="6">
        <v>1.20696041574525</v>
      </c>
      <c r="L2421">
        <v>1.0561924048215501</v>
      </c>
      <c r="M2421">
        <v>0.95010456043175895</v>
      </c>
    </row>
    <row r="2422" spans="1:13" x14ac:dyDescent="0.25">
      <c r="A2422">
        <v>3090</v>
      </c>
      <c r="B2422" t="str">
        <f>"SF3B6"</f>
        <v>SF3B6</v>
      </c>
      <c r="C2422" t="str">
        <f>""</f>
        <v/>
      </c>
      <c r="D2422">
        <v>14.585000000000001</v>
      </c>
      <c r="E2422">
        <v>22.4</v>
      </c>
      <c r="F2422">
        <v>2</v>
      </c>
      <c r="G2422">
        <v>2</v>
      </c>
      <c r="H2422">
        <v>2</v>
      </c>
      <c r="I2422" s="7">
        <v>1.1216636267886</v>
      </c>
      <c r="J2422" s="6">
        <v>1.1624247910121901</v>
      </c>
      <c r="K2422" s="6">
        <v>1.20696041574525</v>
      </c>
      <c r="L2422">
        <v>1.0561924048215501</v>
      </c>
      <c r="M2422">
        <v>0.95010456043175895</v>
      </c>
    </row>
    <row r="2423" spans="1:13" x14ac:dyDescent="0.25">
      <c r="A2423">
        <v>211</v>
      </c>
      <c r="B2423" t="str">
        <f>"MAP3K7"</f>
        <v>MAP3K7</v>
      </c>
      <c r="C2423" t="str">
        <f>"MAP3K7"</f>
        <v>MAP3K7</v>
      </c>
      <c r="D2423">
        <v>64.228999999999999</v>
      </c>
      <c r="E2423">
        <v>3.5</v>
      </c>
      <c r="F2423">
        <v>2</v>
      </c>
      <c r="G2423">
        <v>2</v>
      </c>
      <c r="H2423">
        <v>2</v>
      </c>
      <c r="I2423" s="7">
        <v>1.1216636267886</v>
      </c>
      <c r="J2423" s="6">
        <v>1.1624247910121901</v>
      </c>
      <c r="K2423" s="6">
        <v>1.20696041574525</v>
      </c>
      <c r="L2423">
        <v>1.0561924048215501</v>
      </c>
      <c r="M2423">
        <v>0.95010456043175895</v>
      </c>
    </row>
    <row r="2424" spans="1:13" x14ac:dyDescent="0.25">
      <c r="A2424">
        <v>236</v>
      </c>
      <c r="B2424" t="str">
        <f>"HTATSF1"</f>
        <v>HTATSF1</v>
      </c>
      <c r="C2424" t="str">
        <f>""</f>
        <v/>
      </c>
      <c r="D2424">
        <v>85.852000000000004</v>
      </c>
      <c r="E2424">
        <v>7.4</v>
      </c>
      <c r="F2424">
        <v>2</v>
      </c>
      <c r="G2424">
        <v>2</v>
      </c>
      <c r="H2424">
        <v>2</v>
      </c>
      <c r="I2424" s="7">
        <v>1.1216636267886</v>
      </c>
      <c r="J2424" s="6">
        <v>1.1624247910121901</v>
      </c>
      <c r="K2424" s="6">
        <v>1.20696041574525</v>
      </c>
      <c r="L2424">
        <v>1.0561924048215501</v>
      </c>
      <c r="M2424">
        <v>0.95010456043175895</v>
      </c>
    </row>
    <row r="2425" spans="1:13" x14ac:dyDescent="0.25">
      <c r="A2425">
        <v>257</v>
      </c>
      <c r="B2425" t="str">
        <f>"SMARCA5"</f>
        <v>SMARCA5</v>
      </c>
      <c r="C2425" t="str">
        <f>""</f>
        <v/>
      </c>
      <c r="D2425">
        <v>121.9</v>
      </c>
      <c r="E2425">
        <v>4.5999999999999996</v>
      </c>
      <c r="F2425">
        <v>2</v>
      </c>
      <c r="G2425">
        <v>2</v>
      </c>
      <c r="H2425">
        <v>2</v>
      </c>
      <c r="I2425" s="7">
        <v>1.1216636267886</v>
      </c>
      <c r="J2425" s="6">
        <v>1.1624247910121901</v>
      </c>
      <c r="K2425" s="6">
        <v>1.20696041574525</v>
      </c>
      <c r="L2425">
        <v>1.0561924048215501</v>
      </c>
      <c r="M2425">
        <v>0.95010456043175895</v>
      </c>
    </row>
    <row r="2426" spans="1:13" x14ac:dyDescent="0.25">
      <c r="A2426">
        <v>258</v>
      </c>
      <c r="B2426" t="str">
        <f>"SPAG9"</f>
        <v>SPAG9</v>
      </c>
      <c r="C2426" t="str">
        <f>""</f>
        <v/>
      </c>
      <c r="D2426">
        <v>103.21</v>
      </c>
      <c r="E2426">
        <v>2.7</v>
      </c>
      <c r="F2426">
        <v>2</v>
      </c>
      <c r="G2426">
        <v>2</v>
      </c>
      <c r="H2426">
        <v>2</v>
      </c>
      <c r="I2426" s="7">
        <v>1.1216636267886</v>
      </c>
      <c r="J2426" s="6">
        <v>1.1624247910121901</v>
      </c>
      <c r="K2426" s="6">
        <v>1.20696041574525</v>
      </c>
      <c r="L2426">
        <v>1.0561924048215501</v>
      </c>
      <c r="M2426">
        <v>0.95010456043175895</v>
      </c>
    </row>
    <row r="2427" spans="1:13" x14ac:dyDescent="0.25">
      <c r="A2427">
        <v>394</v>
      </c>
      <c r="B2427" t="str">
        <f>"SBF1"</f>
        <v>SBF1</v>
      </c>
      <c r="C2427" t="str">
        <f>""</f>
        <v/>
      </c>
      <c r="D2427">
        <v>208.44</v>
      </c>
      <c r="E2427">
        <v>1.6</v>
      </c>
      <c r="F2427">
        <v>2</v>
      </c>
      <c r="G2427">
        <v>2</v>
      </c>
      <c r="H2427">
        <v>2</v>
      </c>
      <c r="I2427" s="7">
        <v>1.1216636267886</v>
      </c>
      <c r="J2427" s="6">
        <v>1.1624247910121901</v>
      </c>
      <c r="K2427" s="6">
        <v>1.20696041574525</v>
      </c>
      <c r="L2427">
        <v>1.0561924048215501</v>
      </c>
      <c r="M2427">
        <v>0.95010456043175895</v>
      </c>
    </row>
    <row r="2428" spans="1:13" x14ac:dyDescent="0.25">
      <c r="A2428">
        <v>633</v>
      </c>
      <c r="B2428" t="str">
        <f>"ESD"</f>
        <v>ESD</v>
      </c>
      <c r="C2428" t="str">
        <f>""</f>
        <v/>
      </c>
      <c r="D2428">
        <v>31.462</v>
      </c>
      <c r="E2428">
        <v>19.5</v>
      </c>
      <c r="F2428">
        <v>2</v>
      </c>
      <c r="G2428">
        <v>2</v>
      </c>
      <c r="H2428">
        <v>2</v>
      </c>
      <c r="I2428" s="7">
        <v>1.1216636267886</v>
      </c>
      <c r="J2428" s="6">
        <v>1.1624247910121901</v>
      </c>
      <c r="K2428" s="6">
        <v>1.20696041574525</v>
      </c>
      <c r="L2428">
        <v>1.0561924048215501</v>
      </c>
      <c r="M2428">
        <v>0.95010456043175895</v>
      </c>
    </row>
    <row r="2429" spans="1:13" x14ac:dyDescent="0.25">
      <c r="A2429">
        <v>762</v>
      </c>
      <c r="B2429" t="str">
        <f>"RAB4A"</f>
        <v>RAB4A</v>
      </c>
      <c r="C2429" t="str">
        <f>""</f>
        <v/>
      </c>
      <c r="D2429">
        <v>24.388999999999999</v>
      </c>
      <c r="E2429">
        <v>6</v>
      </c>
      <c r="F2429">
        <v>2</v>
      </c>
      <c r="G2429">
        <v>2</v>
      </c>
      <c r="H2429">
        <v>2</v>
      </c>
      <c r="I2429" s="7">
        <v>1.1216636267886</v>
      </c>
      <c r="J2429" s="6">
        <v>1.1624247910121901</v>
      </c>
      <c r="K2429" s="6">
        <v>1.20696041574525</v>
      </c>
      <c r="L2429">
        <v>1.0561924048215501</v>
      </c>
      <c r="M2429">
        <v>0.95010456043175895</v>
      </c>
    </row>
    <row r="2430" spans="1:13" x14ac:dyDescent="0.25">
      <c r="A2430">
        <v>1017</v>
      </c>
      <c r="B2430" t="str">
        <f>"SKIV2L2"</f>
        <v>SKIV2L2</v>
      </c>
      <c r="C2430" t="str">
        <f>""</f>
        <v/>
      </c>
      <c r="D2430">
        <v>117.8</v>
      </c>
      <c r="E2430">
        <v>1.8</v>
      </c>
      <c r="F2430">
        <v>2</v>
      </c>
      <c r="G2430">
        <v>2</v>
      </c>
      <c r="H2430">
        <v>2</v>
      </c>
      <c r="I2430" s="7">
        <v>1.1216636267886</v>
      </c>
      <c r="J2430" s="6">
        <v>1.1624247910121901</v>
      </c>
      <c r="K2430" s="6">
        <v>1.20696041574525</v>
      </c>
      <c r="L2430">
        <v>1.0561924048215501</v>
      </c>
      <c r="M2430">
        <v>0.95010456043175895</v>
      </c>
    </row>
    <row r="2431" spans="1:13" x14ac:dyDescent="0.25">
      <c r="A2431">
        <v>1053</v>
      </c>
      <c r="B2431" t="str">
        <f>"CRKL"</f>
        <v>CRKL</v>
      </c>
      <c r="C2431" t="str">
        <f>""</f>
        <v/>
      </c>
      <c r="D2431">
        <v>33.777000000000001</v>
      </c>
      <c r="E2431">
        <v>9.1999999999999993</v>
      </c>
      <c r="F2431">
        <v>2</v>
      </c>
      <c r="G2431">
        <v>2</v>
      </c>
      <c r="H2431">
        <v>2</v>
      </c>
      <c r="I2431" s="7">
        <v>1.1216636267886</v>
      </c>
      <c r="J2431" s="6">
        <v>1.1624247910121901</v>
      </c>
      <c r="K2431" s="6">
        <v>1.20696041574525</v>
      </c>
      <c r="L2431">
        <v>1.0561924048215501</v>
      </c>
      <c r="M2431">
        <v>0.95010456043175895</v>
      </c>
    </row>
    <row r="2432" spans="1:13" x14ac:dyDescent="0.25">
      <c r="A2432">
        <v>1068</v>
      </c>
      <c r="B2432" t="str">
        <f>"PLA2G4A"</f>
        <v>PLA2G4A</v>
      </c>
      <c r="C2432" t="str">
        <f>""</f>
        <v/>
      </c>
      <c r="D2432">
        <v>85.238</v>
      </c>
      <c r="E2432">
        <v>1.9</v>
      </c>
      <c r="F2432">
        <v>2</v>
      </c>
      <c r="G2432">
        <v>2</v>
      </c>
      <c r="H2432">
        <v>2</v>
      </c>
      <c r="I2432" s="7">
        <v>1.1216636267886</v>
      </c>
      <c r="J2432" s="6">
        <v>1.1624247910121901</v>
      </c>
      <c r="K2432" s="6">
        <v>1.20696041574525</v>
      </c>
      <c r="L2432">
        <v>1.0561924048215501</v>
      </c>
      <c r="M2432">
        <v>0.95010456043175895</v>
      </c>
    </row>
    <row r="2433" spans="1:13" x14ac:dyDescent="0.25">
      <c r="A2433">
        <v>1110</v>
      </c>
      <c r="B2433" t="str">
        <f>"PRIM2"</f>
        <v>PRIM2</v>
      </c>
      <c r="C2433" t="str">
        <f>""</f>
        <v/>
      </c>
      <c r="D2433">
        <v>58.805</v>
      </c>
      <c r="E2433">
        <v>4.0999999999999996</v>
      </c>
      <c r="F2433">
        <v>2</v>
      </c>
      <c r="G2433">
        <v>2</v>
      </c>
      <c r="H2433">
        <v>2</v>
      </c>
      <c r="I2433" s="7">
        <v>1.1216636267886</v>
      </c>
      <c r="J2433" s="6">
        <v>1.1624247910121901</v>
      </c>
      <c r="K2433" s="6">
        <v>1.20696041574525</v>
      </c>
      <c r="L2433">
        <v>1.0561924048215501</v>
      </c>
      <c r="M2433">
        <v>0.95010456043175895</v>
      </c>
    </row>
    <row r="2434" spans="1:13" x14ac:dyDescent="0.25">
      <c r="A2434">
        <v>1170</v>
      </c>
      <c r="B2434" t="str">
        <f>"RPS6KA3"</f>
        <v>RPS6KA3</v>
      </c>
      <c r="C2434" t="str">
        <f>"RPS6KA3;RPS6KA2;RPS6KA6"</f>
        <v>RPS6KA3;RPS6KA2;RPS6KA6</v>
      </c>
      <c r="D2434">
        <v>83.734999999999999</v>
      </c>
      <c r="E2434">
        <v>7.6</v>
      </c>
      <c r="F2434">
        <v>2</v>
      </c>
      <c r="G2434">
        <v>2</v>
      </c>
      <c r="H2434">
        <v>2</v>
      </c>
      <c r="I2434" s="7">
        <v>1.1216636267886</v>
      </c>
      <c r="J2434" s="6">
        <v>1.1624247910121901</v>
      </c>
      <c r="K2434" s="6">
        <v>1.20696041574525</v>
      </c>
      <c r="L2434">
        <v>1.0561924048215501</v>
      </c>
      <c r="M2434">
        <v>0.95010456043175895</v>
      </c>
    </row>
    <row r="2435" spans="1:13" x14ac:dyDescent="0.25">
      <c r="A2435">
        <v>1171</v>
      </c>
      <c r="B2435" t="str">
        <f>"HDGF"</f>
        <v>HDGF</v>
      </c>
      <c r="C2435" t="str">
        <f>""</f>
        <v/>
      </c>
      <c r="D2435">
        <v>26.788</v>
      </c>
      <c r="E2435">
        <v>15</v>
      </c>
      <c r="F2435">
        <v>2</v>
      </c>
      <c r="G2435">
        <v>2</v>
      </c>
      <c r="H2435">
        <v>2</v>
      </c>
      <c r="I2435" s="7">
        <v>1.1216636267886</v>
      </c>
      <c r="J2435" s="6">
        <v>1.1624247910121901</v>
      </c>
      <c r="K2435" s="6">
        <v>1.20696041574525</v>
      </c>
      <c r="L2435">
        <v>1.0561924048215501</v>
      </c>
      <c r="M2435">
        <v>0.95010456043175895</v>
      </c>
    </row>
    <row r="2436" spans="1:13" x14ac:dyDescent="0.25">
      <c r="A2436">
        <v>1178</v>
      </c>
      <c r="B2436" t="str">
        <f>"NCBP2"</f>
        <v>NCBP2</v>
      </c>
      <c r="C2436" t="str">
        <f>""</f>
        <v/>
      </c>
      <c r="D2436">
        <v>11.932</v>
      </c>
      <c r="E2436">
        <v>10.7</v>
      </c>
      <c r="F2436">
        <v>2</v>
      </c>
      <c r="G2436">
        <v>2</v>
      </c>
      <c r="H2436">
        <v>2</v>
      </c>
      <c r="I2436" s="7">
        <v>1.1216636267886</v>
      </c>
      <c r="J2436" s="6">
        <v>1.1624247910121901</v>
      </c>
      <c r="K2436" s="6">
        <v>1.20696041574525</v>
      </c>
      <c r="L2436">
        <v>1.0561924048215501</v>
      </c>
      <c r="M2436">
        <v>0.95010456043175895</v>
      </c>
    </row>
    <row r="2437" spans="1:13" x14ac:dyDescent="0.25">
      <c r="A2437">
        <v>1211</v>
      </c>
      <c r="B2437" t="str">
        <f>"CLNS1A"</f>
        <v>CLNS1A</v>
      </c>
      <c r="C2437" t="str">
        <f>""</f>
        <v/>
      </c>
      <c r="D2437">
        <v>26.215</v>
      </c>
      <c r="E2437">
        <v>5.5</v>
      </c>
      <c r="F2437">
        <v>2</v>
      </c>
      <c r="G2437">
        <v>2</v>
      </c>
      <c r="H2437">
        <v>2</v>
      </c>
      <c r="I2437" s="7">
        <v>1.1216636267886</v>
      </c>
      <c r="J2437" s="6">
        <v>1.1624247910121901</v>
      </c>
      <c r="K2437" s="6">
        <v>1.20696041574525</v>
      </c>
      <c r="L2437">
        <v>1.0561924048215501</v>
      </c>
      <c r="M2437">
        <v>0.95010456043175895</v>
      </c>
    </row>
    <row r="2438" spans="1:13" x14ac:dyDescent="0.25">
      <c r="A2438">
        <v>1447</v>
      </c>
      <c r="B2438" t="str">
        <f>"UBXN1"</f>
        <v>UBXN1</v>
      </c>
      <c r="C2438" t="str">
        <f>""</f>
        <v/>
      </c>
      <c r="D2438">
        <v>33.325000000000003</v>
      </c>
      <c r="E2438">
        <v>2.7</v>
      </c>
      <c r="F2438">
        <v>2</v>
      </c>
      <c r="G2438">
        <v>2</v>
      </c>
      <c r="H2438">
        <v>2</v>
      </c>
      <c r="I2438" s="7">
        <v>1.1216636267886</v>
      </c>
      <c r="J2438" s="6">
        <v>1.1624247910121901</v>
      </c>
      <c r="K2438" s="6">
        <v>1.20696041574525</v>
      </c>
      <c r="L2438">
        <v>1.0561924048215501</v>
      </c>
      <c r="M2438">
        <v>0.95010456043175895</v>
      </c>
    </row>
    <row r="2439" spans="1:13" x14ac:dyDescent="0.25">
      <c r="A2439">
        <v>1477</v>
      </c>
      <c r="B2439" t="str">
        <f>"POLE"</f>
        <v>POLE</v>
      </c>
      <c r="C2439" t="str">
        <f>""</f>
        <v/>
      </c>
      <c r="D2439">
        <v>261.51</v>
      </c>
      <c r="E2439">
        <v>2.5</v>
      </c>
      <c r="F2439">
        <v>2</v>
      </c>
      <c r="G2439">
        <v>2</v>
      </c>
      <c r="H2439">
        <v>2</v>
      </c>
      <c r="I2439" s="7">
        <v>1.1216636267886</v>
      </c>
      <c r="J2439" s="6">
        <v>1.1624247910121901</v>
      </c>
      <c r="K2439" s="6">
        <v>1.20696041574525</v>
      </c>
      <c r="L2439">
        <v>1.0561924048215501</v>
      </c>
      <c r="M2439">
        <v>0.95010456043175895</v>
      </c>
    </row>
    <row r="2440" spans="1:13" x14ac:dyDescent="0.25">
      <c r="A2440">
        <v>1526</v>
      </c>
      <c r="B2440" t="str">
        <f>"PTP4A2;PTP4A1"</f>
        <v>PTP4A2;PTP4A1</v>
      </c>
      <c r="C2440" t="str">
        <f>""</f>
        <v/>
      </c>
      <c r="D2440">
        <v>15.669</v>
      </c>
      <c r="E2440">
        <v>6.6</v>
      </c>
      <c r="F2440">
        <v>2</v>
      </c>
      <c r="G2440">
        <v>2</v>
      </c>
      <c r="H2440">
        <v>2</v>
      </c>
      <c r="I2440" s="7">
        <v>1.1216636267886</v>
      </c>
      <c r="J2440" s="6">
        <v>1.1624247910121901</v>
      </c>
      <c r="K2440" s="6">
        <v>1.20696041574525</v>
      </c>
      <c r="L2440">
        <v>1.0561924048215501</v>
      </c>
      <c r="M2440">
        <v>0.95010456043175895</v>
      </c>
    </row>
    <row r="2441" spans="1:13" x14ac:dyDescent="0.25">
      <c r="A2441">
        <v>1597</v>
      </c>
      <c r="B2441" t="str">
        <f>"TP53BP2"</f>
        <v>TP53BP2</v>
      </c>
      <c r="C2441" t="str">
        <f>""</f>
        <v/>
      </c>
      <c r="D2441">
        <v>111.43</v>
      </c>
      <c r="E2441">
        <v>1.5</v>
      </c>
      <c r="F2441">
        <v>2</v>
      </c>
      <c r="G2441">
        <v>2</v>
      </c>
      <c r="H2441">
        <v>2</v>
      </c>
      <c r="I2441" s="7">
        <v>1.1216636267886</v>
      </c>
      <c r="J2441" s="6">
        <v>1.1624247910121901</v>
      </c>
      <c r="K2441" s="6">
        <v>1.20696041574525</v>
      </c>
      <c r="L2441">
        <v>1.0561924048215501</v>
      </c>
      <c r="M2441">
        <v>0.95010456043175895</v>
      </c>
    </row>
    <row r="2442" spans="1:13" x14ac:dyDescent="0.25">
      <c r="A2442">
        <v>1648</v>
      </c>
      <c r="B2442" t="str">
        <f>"DHX8"</f>
        <v>DHX8</v>
      </c>
      <c r="C2442" t="str">
        <f>""</f>
        <v/>
      </c>
      <c r="D2442">
        <v>139.31</v>
      </c>
      <c r="E2442">
        <v>1.6</v>
      </c>
      <c r="F2442">
        <v>2</v>
      </c>
      <c r="G2442">
        <v>2</v>
      </c>
      <c r="H2442">
        <v>2</v>
      </c>
      <c r="I2442" s="7">
        <v>1.1216636267886</v>
      </c>
      <c r="J2442" s="6">
        <v>1.1624247910121901</v>
      </c>
      <c r="K2442" s="6">
        <v>1.20696041574525</v>
      </c>
      <c r="L2442">
        <v>1.0561924048215501</v>
      </c>
      <c r="M2442">
        <v>0.95010456043175895</v>
      </c>
    </row>
    <row r="2443" spans="1:13" x14ac:dyDescent="0.25">
      <c r="A2443">
        <v>1813</v>
      </c>
      <c r="B2443" t="str">
        <f>"GLYR1"</f>
        <v>GLYR1</v>
      </c>
      <c r="C2443" t="str">
        <f>""</f>
        <v/>
      </c>
      <c r="D2443">
        <v>51.499000000000002</v>
      </c>
      <c r="E2443">
        <v>2.8</v>
      </c>
      <c r="F2443">
        <v>2</v>
      </c>
      <c r="G2443">
        <v>2</v>
      </c>
      <c r="H2443">
        <v>2</v>
      </c>
      <c r="I2443" s="7">
        <v>1.1216636267886</v>
      </c>
      <c r="J2443" s="6">
        <v>1.1624247910121901</v>
      </c>
      <c r="K2443" s="6">
        <v>1.20696041574525</v>
      </c>
      <c r="L2443">
        <v>1.0561924048215501</v>
      </c>
      <c r="M2443">
        <v>0.95010456043175895</v>
      </c>
    </row>
    <row r="2444" spans="1:13" x14ac:dyDescent="0.25">
      <c r="A2444">
        <v>1817</v>
      </c>
      <c r="B2444" t="str">
        <f>"PREPL"</f>
        <v>PREPL</v>
      </c>
      <c r="C2444" t="str">
        <f>""</f>
        <v/>
      </c>
      <c r="D2444">
        <v>73.350999999999999</v>
      </c>
      <c r="E2444">
        <v>5.2</v>
      </c>
      <c r="F2444">
        <v>2</v>
      </c>
      <c r="G2444">
        <v>2</v>
      </c>
      <c r="H2444">
        <v>2</v>
      </c>
      <c r="I2444" s="7">
        <v>1.1216636267886</v>
      </c>
      <c r="J2444" s="6">
        <v>1.1624247910121901</v>
      </c>
      <c r="K2444" s="6">
        <v>1.20696041574525</v>
      </c>
      <c r="L2444">
        <v>1.0561924048215501</v>
      </c>
      <c r="M2444">
        <v>0.95010456043175895</v>
      </c>
    </row>
    <row r="2445" spans="1:13" x14ac:dyDescent="0.25">
      <c r="A2445">
        <v>2058</v>
      </c>
      <c r="B2445" t="str">
        <f>"NAA40"</f>
        <v>NAA40</v>
      </c>
      <c r="C2445" t="str">
        <f>""</f>
        <v/>
      </c>
      <c r="D2445">
        <v>24.751999999999999</v>
      </c>
      <c r="E2445">
        <v>5.6</v>
      </c>
      <c r="F2445">
        <v>2</v>
      </c>
      <c r="G2445">
        <v>2</v>
      </c>
      <c r="H2445">
        <v>2</v>
      </c>
      <c r="I2445" s="7">
        <v>1.1216636267886</v>
      </c>
      <c r="J2445" s="6">
        <v>1.1624247910121901</v>
      </c>
      <c r="K2445" s="6">
        <v>1.20696041574525</v>
      </c>
      <c r="L2445">
        <v>1.0561924048215501</v>
      </c>
      <c r="M2445">
        <v>0.95010456043175895</v>
      </c>
    </row>
    <row r="2446" spans="1:13" x14ac:dyDescent="0.25">
      <c r="A2446">
        <v>2106</v>
      </c>
      <c r="B2446" t="str">
        <f>"SRRM1"</f>
        <v>SRRM1</v>
      </c>
      <c r="C2446" t="str">
        <f>""</f>
        <v/>
      </c>
      <c r="D2446">
        <v>102.12</v>
      </c>
      <c r="E2446">
        <v>3.8</v>
      </c>
      <c r="F2446">
        <v>2</v>
      </c>
      <c r="G2446">
        <v>2</v>
      </c>
      <c r="H2446">
        <v>2</v>
      </c>
      <c r="I2446" s="7">
        <v>1.1216636267886</v>
      </c>
      <c r="J2446" s="6">
        <v>1.1624247910121901</v>
      </c>
      <c r="K2446" s="6">
        <v>1.20696041574525</v>
      </c>
      <c r="L2446">
        <v>1.0561924048215501</v>
      </c>
      <c r="M2446">
        <v>0.95010456043175895</v>
      </c>
    </row>
    <row r="2447" spans="1:13" x14ac:dyDescent="0.25">
      <c r="A2447">
        <v>2151</v>
      </c>
      <c r="B2447" t="str">
        <f>"FAM160A2"</f>
        <v>FAM160A2</v>
      </c>
      <c r="C2447" t="str">
        <f>""</f>
        <v/>
      </c>
      <c r="D2447">
        <v>105.57</v>
      </c>
      <c r="E2447">
        <v>1</v>
      </c>
      <c r="F2447">
        <v>2</v>
      </c>
      <c r="G2447">
        <v>2</v>
      </c>
      <c r="H2447">
        <v>2</v>
      </c>
      <c r="I2447" s="7">
        <v>1.1216636267886</v>
      </c>
      <c r="J2447" s="6">
        <v>1.1624247910121901</v>
      </c>
      <c r="K2447" s="6">
        <v>1.20696041574525</v>
      </c>
      <c r="L2447">
        <v>1.0561924048215501</v>
      </c>
      <c r="M2447">
        <v>0.95010456043175895</v>
      </c>
    </row>
    <row r="2448" spans="1:13" x14ac:dyDescent="0.25">
      <c r="A2448">
        <v>2315</v>
      </c>
      <c r="B2448" t="str">
        <f>"ATP6V0A1"</f>
        <v>ATP6V0A1</v>
      </c>
      <c r="C2448" t="str">
        <f>""</f>
        <v/>
      </c>
      <c r="D2448">
        <v>95.754999999999995</v>
      </c>
      <c r="E2448">
        <v>2.5</v>
      </c>
      <c r="F2448">
        <v>2</v>
      </c>
      <c r="G2448">
        <v>2</v>
      </c>
      <c r="H2448">
        <v>2</v>
      </c>
      <c r="I2448" s="7">
        <v>1.1216636267886</v>
      </c>
      <c r="J2448" s="6">
        <v>1.1624247910121901</v>
      </c>
      <c r="K2448" s="6">
        <v>1.20696041574525</v>
      </c>
      <c r="L2448">
        <v>1.0561924048215501</v>
      </c>
      <c r="M2448">
        <v>0.95010456043175895</v>
      </c>
    </row>
    <row r="2449" spans="1:13" x14ac:dyDescent="0.25">
      <c r="A2449">
        <v>2330</v>
      </c>
      <c r="B2449" t="str">
        <f>"ISOC2"</f>
        <v>ISOC2</v>
      </c>
      <c r="C2449" t="str">
        <f>""</f>
        <v/>
      </c>
      <c r="D2449">
        <v>14.765000000000001</v>
      </c>
      <c r="E2449">
        <v>17</v>
      </c>
      <c r="F2449">
        <v>2</v>
      </c>
      <c r="G2449">
        <v>2</v>
      </c>
      <c r="H2449">
        <v>2</v>
      </c>
      <c r="I2449" s="7">
        <v>1.1216636267886</v>
      </c>
      <c r="J2449" s="6">
        <v>1.1624247910121901</v>
      </c>
      <c r="K2449" s="6">
        <v>1.20696041574525</v>
      </c>
      <c r="L2449">
        <v>1.0561924048215501</v>
      </c>
      <c r="M2449">
        <v>0.95010456043175895</v>
      </c>
    </row>
    <row r="2450" spans="1:13" x14ac:dyDescent="0.25">
      <c r="A2450">
        <v>2398</v>
      </c>
      <c r="B2450" t="str">
        <f>"MARS2"</f>
        <v>MARS2</v>
      </c>
      <c r="C2450" t="str">
        <f>""</f>
        <v/>
      </c>
      <c r="D2450">
        <v>66.59</v>
      </c>
      <c r="E2450">
        <v>1.7</v>
      </c>
      <c r="F2450">
        <v>2</v>
      </c>
      <c r="G2450">
        <v>2</v>
      </c>
      <c r="H2450">
        <v>2</v>
      </c>
      <c r="I2450" s="7">
        <v>1.1216636267886</v>
      </c>
      <c r="J2450" s="6">
        <v>1.1624247910121901</v>
      </c>
      <c r="K2450" s="6">
        <v>1.20696041574525</v>
      </c>
      <c r="L2450">
        <v>1.0561924048215501</v>
      </c>
      <c r="M2450">
        <v>0.95010456043175895</v>
      </c>
    </row>
    <row r="2451" spans="1:13" x14ac:dyDescent="0.25">
      <c r="A2451">
        <v>2454</v>
      </c>
      <c r="B2451" t="str">
        <f>"USP28"</f>
        <v>USP28</v>
      </c>
      <c r="C2451" t="str">
        <f>""</f>
        <v/>
      </c>
      <c r="D2451">
        <v>66.242000000000004</v>
      </c>
      <c r="E2451">
        <v>3.9</v>
      </c>
      <c r="F2451">
        <v>2</v>
      </c>
      <c r="G2451">
        <v>2</v>
      </c>
      <c r="H2451">
        <v>2</v>
      </c>
      <c r="I2451" s="7">
        <v>1.1216636267886</v>
      </c>
      <c r="J2451" s="6">
        <v>1.1624247910121901</v>
      </c>
      <c r="K2451" s="6">
        <v>1.20696041574525</v>
      </c>
      <c r="L2451">
        <v>1.0561924048215501</v>
      </c>
      <c r="M2451">
        <v>0.95010456043175895</v>
      </c>
    </row>
    <row r="2452" spans="1:13" x14ac:dyDescent="0.25">
      <c r="A2452">
        <v>2510</v>
      </c>
      <c r="B2452" t="str">
        <f>"ELAC2"</f>
        <v>ELAC2</v>
      </c>
      <c r="C2452" t="str">
        <f>""</f>
        <v/>
      </c>
      <c r="D2452">
        <v>92.218000000000004</v>
      </c>
      <c r="E2452">
        <v>5.9</v>
      </c>
      <c r="F2452">
        <v>2</v>
      </c>
      <c r="G2452">
        <v>2</v>
      </c>
      <c r="H2452">
        <v>2</v>
      </c>
      <c r="I2452" s="7">
        <v>1.1216636267886</v>
      </c>
      <c r="J2452" s="6">
        <v>1.1624247910121901</v>
      </c>
      <c r="K2452" s="6">
        <v>1.20696041574525</v>
      </c>
      <c r="L2452">
        <v>1.0561924048215501</v>
      </c>
      <c r="M2452">
        <v>0.95010456043175895</v>
      </c>
    </row>
    <row r="2453" spans="1:13" x14ac:dyDescent="0.25">
      <c r="A2453">
        <v>2680</v>
      </c>
      <c r="B2453" t="str">
        <f>"SMARCAD1"</f>
        <v>SMARCAD1</v>
      </c>
      <c r="C2453" t="str">
        <f>""</f>
        <v/>
      </c>
      <c r="D2453">
        <v>117.6</v>
      </c>
      <c r="E2453">
        <v>2</v>
      </c>
      <c r="F2453">
        <v>2</v>
      </c>
      <c r="G2453">
        <v>2</v>
      </c>
      <c r="H2453">
        <v>2</v>
      </c>
      <c r="I2453" s="7">
        <v>1.1216636267886</v>
      </c>
      <c r="J2453" s="6">
        <v>1.1624247910121901</v>
      </c>
      <c r="K2453" s="6">
        <v>1.20696041574525</v>
      </c>
      <c r="L2453">
        <v>1.0561924048215501</v>
      </c>
      <c r="M2453">
        <v>0.95010456043175895</v>
      </c>
    </row>
    <row r="2454" spans="1:13" x14ac:dyDescent="0.25">
      <c r="A2454">
        <v>2707</v>
      </c>
      <c r="B2454" t="str">
        <f>"FAM188A"</f>
        <v>FAM188A</v>
      </c>
      <c r="C2454" t="str">
        <f>""</f>
        <v/>
      </c>
      <c r="D2454">
        <v>49.723999999999997</v>
      </c>
      <c r="E2454">
        <v>6.1</v>
      </c>
      <c r="F2454">
        <v>2</v>
      </c>
      <c r="G2454">
        <v>2</v>
      </c>
      <c r="H2454">
        <v>2</v>
      </c>
      <c r="I2454" s="7">
        <v>1.1216636267886</v>
      </c>
      <c r="J2454" s="6">
        <v>1.1624247910121901</v>
      </c>
      <c r="K2454" s="6">
        <v>1.20696041574525</v>
      </c>
      <c r="L2454">
        <v>1.0561924048215501</v>
      </c>
      <c r="M2454">
        <v>0.95010456043175895</v>
      </c>
    </row>
    <row r="2455" spans="1:13" x14ac:dyDescent="0.25">
      <c r="A2455">
        <v>2795</v>
      </c>
      <c r="B2455" t="str">
        <f>"TOMM22"</f>
        <v>TOMM22</v>
      </c>
      <c r="C2455" t="str">
        <f>""</f>
        <v/>
      </c>
      <c r="D2455">
        <v>15.521000000000001</v>
      </c>
      <c r="E2455">
        <v>8.5</v>
      </c>
      <c r="F2455">
        <v>2</v>
      </c>
      <c r="G2455">
        <v>2</v>
      </c>
      <c r="H2455">
        <v>2</v>
      </c>
      <c r="I2455" s="7">
        <v>1.1216636267886</v>
      </c>
      <c r="J2455" s="6">
        <v>1.1624247910121901</v>
      </c>
      <c r="K2455" s="6">
        <v>1.20696041574525</v>
      </c>
      <c r="L2455">
        <v>1.0561924048215501</v>
      </c>
      <c r="M2455">
        <v>0.95010456043175895</v>
      </c>
    </row>
    <row r="2456" spans="1:13" x14ac:dyDescent="0.25">
      <c r="A2456">
        <v>2800</v>
      </c>
      <c r="B2456" t="str">
        <f>"ATG3"</f>
        <v>ATG3</v>
      </c>
      <c r="C2456" t="str">
        <f>""</f>
        <v/>
      </c>
      <c r="D2456">
        <v>35.466999999999999</v>
      </c>
      <c r="E2456">
        <v>4.2</v>
      </c>
      <c r="F2456">
        <v>2</v>
      </c>
      <c r="G2456">
        <v>2</v>
      </c>
      <c r="H2456">
        <v>2</v>
      </c>
      <c r="I2456" s="7">
        <v>1.1216636267886</v>
      </c>
      <c r="J2456" s="6">
        <v>1.1624247910121901</v>
      </c>
      <c r="K2456" s="6">
        <v>1.20696041574525</v>
      </c>
      <c r="L2456">
        <v>1.0561924048215501</v>
      </c>
      <c r="M2456">
        <v>0.95010456043175895</v>
      </c>
    </row>
    <row r="2457" spans="1:13" x14ac:dyDescent="0.25">
      <c r="A2457">
        <v>2846</v>
      </c>
      <c r="B2457" t="str">
        <f>"LYAR"</f>
        <v>LYAR</v>
      </c>
      <c r="C2457" t="str">
        <f>""</f>
        <v/>
      </c>
      <c r="D2457">
        <v>43.613999999999997</v>
      </c>
      <c r="E2457">
        <v>3.7</v>
      </c>
      <c r="F2457">
        <v>2</v>
      </c>
      <c r="G2457">
        <v>2</v>
      </c>
      <c r="H2457">
        <v>2</v>
      </c>
      <c r="I2457" s="7">
        <v>1.1216636267886</v>
      </c>
      <c r="J2457" s="6">
        <v>1.1624247910121901</v>
      </c>
      <c r="K2457" s="6">
        <v>1.20696041574525</v>
      </c>
      <c r="L2457">
        <v>1.0561924048215501</v>
      </c>
      <c r="M2457">
        <v>0.95010456043175895</v>
      </c>
    </row>
    <row r="2458" spans="1:13" x14ac:dyDescent="0.25">
      <c r="A2458">
        <v>2918</v>
      </c>
      <c r="B2458" t="str">
        <f>"MTRR"</f>
        <v>MTRR</v>
      </c>
      <c r="C2458" t="str">
        <f>""</f>
        <v/>
      </c>
      <c r="D2458">
        <v>77.673000000000002</v>
      </c>
      <c r="E2458">
        <v>3.7</v>
      </c>
      <c r="F2458">
        <v>2</v>
      </c>
      <c r="G2458">
        <v>2</v>
      </c>
      <c r="H2458">
        <v>2</v>
      </c>
      <c r="I2458" s="7">
        <v>1.1216636267886</v>
      </c>
      <c r="J2458" s="6">
        <v>1.1624247910121901</v>
      </c>
      <c r="K2458" s="6">
        <v>1.20696041574525</v>
      </c>
      <c r="L2458">
        <v>1.0561924048215501</v>
      </c>
      <c r="M2458">
        <v>0.95010456043175895</v>
      </c>
    </row>
    <row r="2459" spans="1:13" x14ac:dyDescent="0.25">
      <c r="A2459">
        <v>2928</v>
      </c>
      <c r="B2459" t="str">
        <f>"COPS7A"</f>
        <v>COPS7A</v>
      </c>
      <c r="C2459" t="str">
        <f>""</f>
        <v/>
      </c>
      <c r="D2459">
        <v>30.276</v>
      </c>
      <c r="E2459">
        <v>3.6</v>
      </c>
      <c r="F2459">
        <v>2</v>
      </c>
      <c r="G2459">
        <v>2</v>
      </c>
      <c r="H2459">
        <v>2</v>
      </c>
      <c r="I2459" s="7">
        <v>1.1216636267886</v>
      </c>
      <c r="J2459" s="6">
        <v>1.1624247910121901</v>
      </c>
      <c r="K2459" s="6">
        <v>1.20696041574525</v>
      </c>
      <c r="L2459">
        <v>1.0561924048215501</v>
      </c>
      <c r="M2459">
        <v>0.95010456043175895</v>
      </c>
    </row>
    <row r="2460" spans="1:13" x14ac:dyDescent="0.25">
      <c r="A2460">
        <v>3016</v>
      </c>
      <c r="B2460" t="str">
        <f>"TIMELESS"</f>
        <v>TIMELESS</v>
      </c>
      <c r="C2460" t="str">
        <f>""</f>
        <v/>
      </c>
      <c r="D2460">
        <v>138.53</v>
      </c>
      <c r="E2460">
        <v>1.7</v>
      </c>
      <c r="F2460">
        <v>2</v>
      </c>
      <c r="G2460">
        <v>2</v>
      </c>
      <c r="H2460">
        <v>2</v>
      </c>
      <c r="I2460" s="7">
        <v>1.1216636267886</v>
      </c>
      <c r="J2460" s="6">
        <v>1.1624247910121901</v>
      </c>
      <c r="K2460" s="6">
        <v>1.20696041574525</v>
      </c>
      <c r="L2460">
        <v>1.0561924048215501</v>
      </c>
      <c r="M2460">
        <v>0.95010456043175895</v>
      </c>
    </row>
    <row r="2461" spans="1:13" x14ac:dyDescent="0.25">
      <c r="A2461">
        <v>3101</v>
      </c>
      <c r="B2461" t="str">
        <f>"FBXO7"</f>
        <v>FBXO7</v>
      </c>
      <c r="C2461" t="str">
        <f>""</f>
        <v/>
      </c>
      <c r="D2461">
        <v>45.78</v>
      </c>
      <c r="E2461">
        <v>3.2</v>
      </c>
      <c r="F2461">
        <v>2</v>
      </c>
      <c r="G2461">
        <v>2</v>
      </c>
      <c r="H2461">
        <v>2</v>
      </c>
      <c r="I2461" s="7">
        <v>1.1216636267886</v>
      </c>
      <c r="J2461" s="6">
        <v>1.1624247910121901</v>
      </c>
      <c r="K2461" s="6">
        <v>1.20696041574525</v>
      </c>
      <c r="L2461">
        <v>1.0561924048215501</v>
      </c>
      <c r="M2461">
        <v>0.95010456043175895</v>
      </c>
    </row>
    <row r="2462" spans="1:13" x14ac:dyDescent="0.25">
      <c r="A2462">
        <v>2949</v>
      </c>
      <c r="B2462" t="str">
        <f>"PCYOX1"</f>
        <v>PCYOX1</v>
      </c>
      <c r="C2462" t="str">
        <f>""</f>
        <v/>
      </c>
      <c r="D2462">
        <v>48.506</v>
      </c>
      <c r="E2462">
        <v>7.9</v>
      </c>
      <c r="F2462">
        <v>2</v>
      </c>
      <c r="G2462">
        <v>1</v>
      </c>
      <c r="H2462">
        <v>3</v>
      </c>
      <c r="I2462" s="7">
        <v>1.1216636267886</v>
      </c>
      <c r="J2462" s="6">
        <v>0.58121239550609605</v>
      </c>
      <c r="K2462" s="6">
        <v>1.8104406236178701</v>
      </c>
      <c r="L2462">
        <v>1.0661186482312099</v>
      </c>
      <c r="M2462">
        <v>0.95132710336345405</v>
      </c>
    </row>
    <row r="2463" spans="1:13" x14ac:dyDescent="0.25">
      <c r="A2463">
        <v>591</v>
      </c>
      <c r="B2463" t="str">
        <f>"HMBS"</f>
        <v>HMBS</v>
      </c>
      <c r="C2463" t="str">
        <f>""</f>
        <v/>
      </c>
      <c r="D2463">
        <v>33.264000000000003</v>
      </c>
      <c r="E2463">
        <v>5.9</v>
      </c>
      <c r="F2463">
        <v>2</v>
      </c>
      <c r="G2463">
        <v>1</v>
      </c>
      <c r="H2463">
        <v>3</v>
      </c>
      <c r="I2463" s="7">
        <v>1.1216636267886</v>
      </c>
      <c r="J2463" s="6">
        <v>0.58121239550609605</v>
      </c>
      <c r="K2463" s="6">
        <v>1.8104406236178701</v>
      </c>
      <c r="L2463">
        <v>1.0661186482312099</v>
      </c>
      <c r="M2463">
        <v>0.95132710336345405</v>
      </c>
    </row>
    <row r="2464" spans="1:13" x14ac:dyDescent="0.25">
      <c r="A2464">
        <v>2377</v>
      </c>
      <c r="B2464" t="str">
        <f>"TMA16"</f>
        <v>TMA16</v>
      </c>
      <c r="C2464" t="str">
        <f>""</f>
        <v/>
      </c>
      <c r="D2464">
        <v>23.864000000000001</v>
      </c>
      <c r="E2464">
        <v>7.4</v>
      </c>
      <c r="F2464">
        <v>2</v>
      </c>
      <c r="G2464">
        <v>1</v>
      </c>
      <c r="H2464">
        <v>3</v>
      </c>
      <c r="I2464" s="7">
        <v>1.1216636267886</v>
      </c>
      <c r="J2464" s="6">
        <v>0.58121239550609605</v>
      </c>
      <c r="K2464" s="6">
        <v>1.8104406236178701</v>
      </c>
      <c r="L2464">
        <v>1.0661186482312099</v>
      </c>
      <c r="M2464">
        <v>0.95132710336345405</v>
      </c>
    </row>
    <row r="2465" spans="1:13" x14ac:dyDescent="0.25">
      <c r="A2465">
        <v>2487</v>
      </c>
      <c r="B2465" t="str">
        <f>"MTR"</f>
        <v>MTR</v>
      </c>
      <c r="C2465" t="str">
        <f>""</f>
        <v/>
      </c>
      <c r="D2465">
        <v>134.79</v>
      </c>
      <c r="E2465">
        <v>4.4000000000000004</v>
      </c>
      <c r="F2465">
        <v>2</v>
      </c>
      <c r="G2465">
        <v>1</v>
      </c>
      <c r="H2465">
        <v>3</v>
      </c>
      <c r="I2465" s="7">
        <v>1.1216636267886</v>
      </c>
      <c r="J2465" s="6">
        <v>0.58121239550609605</v>
      </c>
      <c r="K2465" s="6">
        <v>1.8104406236178701</v>
      </c>
      <c r="L2465">
        <v>1.0661186482312099</v>
      </c>
      <c r="M2465">
        <v>0.95132710336345405</v>
      </c>
    </row>
    <row r="2466" spans="1:13" x14ac:dyDescent="0.25">
      <c r="A2466">
        <v>2694</v>
      </c>
      <c r="B2466" t="str">
        <f>"DCTPP1"</f>
        <v>DCTPP1</v>
      </c>
      <c r="C2466" t="str">
        <f>""</f>
        <v/>
      </c>
      <c r="D2466">
        <v>18.681000000000001</v>
      </c>
      <c r="E2466">
        <v>5.3</v>
      </c>
      <c r="F2466">
        <v>2</v>
      </c>
      <c r="G2466">
        <v>1</v>
      </c>
      <c r="H2466">
        <v>3</v>
      </c>
      <c r="I2466" s="7">
        <v>1.1216636267886</v>
      </c>
      <c r="J2466" s="6">
        <v>0.58121239550609605</v>
      </c>
      <c r="K2466" s="6">
        <v>1.8104406236178701</v>
      </c>
      <c r="L2466">
        <v>1.0661186482312099</v>
      </c>
      <c r="M2466">
        <v>0.95132710336345405</v>
      </c>
    </row>
    <row r="2467" spans="1:13" x14ac:dyDescent="0.25">
      <c r="A2467">
        <v>2814</v>
      </c>
      <c r="B2467" t="str">
        <f>"ABCF3"</f>
        <v>ABCF3</v>
      </c>
      <c r="C2467" t="str">
        <f>""</f>
        <v/>
      </c>
      <c r="D2467">
        <v>79.744</v>
      </c>
      <c r="E2467">
        <v>4.8</v>
      </c>
      <c r="F2467">
        <v>2</v>
      </c>
      <c r="G2467">
        <v>1</v>
      </c>
      <c r="H2467">
        <v>3</v>
      </c>
      <c r="I2467" s="7">
        <v>1.1216636267886</v>
      </c>
      <c r="J2467" s="6">
        <v>0.58121239550609605</v>
      </c>
      <c r="K2467" s="6">
        <v>1.8104406236178701</v>
      </c>
      <c r="L2467">
        <v>1.0661186482312099</v>
      </c>
      <c r="M2467">
        <v>0.95132710336345405</v>
      </c>
    </row>
    <row r="2468" spans="1:13" x14ac:dyDescent="0.25">
      <c r="A2468">
        <v>2973</v>
      </c>
      <c r="B2468" t="str">
        <f>"PTBP2"</f>
        <v>PTBP2</v>
      </c>
      <c r="C2468" t="str">
        <f>""</f>
        <v/>
      </c>
      <c r="D2468">
        <v>57.49</v>
      </c>
      <c r="E2468">
        <v>3.2</v>
      </c>
      <c r="F2468">
        <v>2</v>
      </c>
      <c r="G2468">
        <v>1</v>
      </c>
      <c r="H2468">
        <v>3</v>
      </c>
      <c r="I2468" s="7">
        <v>1.1216636267886</v>
      </c>
      <c r="J2468" s="6">
        <v>0.58121239550609605</v>
      </c>
      <c r="K2468" s="6">
        <v>1.8104406236178701</v>
      </c>
      <c r="L2468">
        <v>1.0661186482312099</v>
      </c>
      <c r="M2468">
        <v>0.95132710336345405</v>
      </c>
    </row>
    <row r="2469" spans="1:13" x14ac:dyDescent="0.25">
      <c r="A2469">
        <v>3097</v>
      </c>
      <c r="B2469" t="str">
        <f>"MRPS23"</f>
        <v>MRPS23</v>
      </c>
      <c r="C2469" t="str">
        <f>""</f>
        <v/>
      </c>
      <c r="D2469">
        <v>21.77</v>
      </c>
      <c r="E2469">
        <v>18.899999999999999</v>
      </c>
      <c r="F2469">
        <v>2</v>
      </c>
      <c r="G2469">
        <v>1</v>
      </c>
      <c r="H2469">
        <v>3</v>
      </c>
      <c r="I2469" s="7">
        <v>1.1216636267886</v>
      </c>
      <c r="J2469" s="6">
        <v>0.58121239550609605</v>
      </c>
      <c r="K2469" s="6">
        <v>1.8104406236178701</v>
      </c>
      <c r="L2469">
        <v>1.0661186482312099</v>
      </c>
      <c r="M2469">
        <v>0.95132710336345405</v>
      </c>
    </row>
    <row r="2470" spans="1:13" x14ac:dyDescent="0.25">
      <c r="A2470">
        <v>2770</v>
      </c>
      <c r="B2470" t="str">
        <f>"KIF13B"</f>
        <v>KIF13B</v>
      </c>
      <c r="C2470" t="str">
        <f>""</f>
        <v/>
      </c>
      <c r="D2470">
        <v>202.79</v>
      </c>
      <c r="E2470">
        <v>0.7</v>
      </c>
      <c r="F2470">
        <v>2</v>
      </c>
      <c r="G2470">
        <v>3</v>
      </c>
      <c r="H2470">
        <v>1</v>
      </c>
      <c r="I2470" s="7">
        <v>1.1216636267886</v>
      </c>
      <c r="J2470" s="6">
        <v>1.74363718651829</v>
      </c>
      <c r="K2470" s="6">
        <v>0.60348020787262302</v>
      </c>
      <c r="L2470">
        <v>1.04626616141189</v>
      </c>
      <c r="M2470">
        <v>0.95132720057207598</v>
      </c>
    </row>
    <row r="2471" spans="1:13" x14ac:dyDescent="0.25">
      <c r="A2471">
        <v>601</v>
      </c>
      <c r="B2471" t="str">
        <f>"RPSA"</f>
        <v>RPSA</v>
      </c>
      <c r="C2471" t="str">
        <f>""</f>
        <v/>
      </c>
      <c r="D2471">
        <v>32.853999999999999</v>
      </c>
      <c r="E2471">
        <v>14.9</v>
      </c>
      <c r="F2471">
        <v>2</v>
      </c>
      <c r="G2471">
        <v>3</v>
      </c>
      <c r="H2471">
        <v>1</v>
      </c>
      <c r="I2471" s="7">
        <v>1.1216636267886</v>
      </c>
      <c r="J2471" s="6">
        <v>1.74363718651829</v>
      </c>
      <c r="K2471" s="6">
        <v>0.60348020787262302</v>
      </c>
      <c r="L2471">
        <v>1.04626616141189</v>
      </c>
      <c r="M2471">
        <v>0.95132720057207598</v>
      </c>
    </row>
    <row r="2472" spans="1:13" x14ac:dyDescent="0.25">
      <c r="A2472">
        <v>225</v>
      </c>
      <c r="B2472" t="str">
        <f>"XPOT"</f>
        <v>XPOT</v>
      </c>
      <c r="C2472" t="str">
        <f>""</f>
        <v/>
      </c>
      <c r="D2472">
        <v>109.96</v>
      </c>
      <c r="E2472">
        <v>2.2999999999999998</v>
      </c>
      <c r="F2472">
        <v>2</v>
      </c>
      <c r="G2472">
        <v>3</v>
      </c>
      <c r="H2472">
        <v>1</v>
      </c>
      <c r="I2472" s="7">
        <v>1.1216636267886</v>
      </c>
      <c r="J2472" s="6">
        <v>1.74363718651829</v>
      </c>
      <c r="K2472" s="6">
        <v>0.60348020787262302</v>
      </c>
      <c r="L2472">
        <v>1.04626616141189</v>
      </c>
      <c r="M2472">
        <v>0.95132720057207598</v>
      </c>
    </row>
    <row r="2473" spans="1:13" x14ac:dyDescent="0.25">
      <c r="A2473">
        <v>255</v>
      </c>
      <c r="B2473" t="str">
        <f>"DHX16"</f>
        <v>DHX16</v>
      </c>
      <c r="C2473" t="str">
        <f>""</f>
        <v/>
      </c>
      <c r="D2473">
        <v>119.26</v>
      </c>
      <c r="E2473">
        <v>6</v>
      </c>
      <c r="F2473">
        <v>2</v>
      </c>
      <c r="G2473">
        <v>3</v>
      </c>
      <c r="H2473">
        <v>1</v>
      </c>
      <c r="I2473" s="7">
        <v>1.1216636267886</v>
      </c>
      <c r="J2473" s="6">
        <v>1.74363718651829</v>
      </c>
      <c r="K2473" s="6">
        <v>0.60348020787262302</v>
      </c>
      <c r="L2473">
        <v>1.04626616141189</v>
      </c>
      <c r="M2473">
        <v>0.95132720057207598</v>
      </c>
    </row>
    <row r="2474" spans="1:13" x14ac:dyDescent="0.25">
      <c r="A2474">
        <v>357</v>
      </c>
      <c r="B2474" t="str">
        <f>"CPD"</f>
        <v>CPD</v>
      </c>
      <c r="C2474" t="str">
        <f>""</f>
        <v/>
      </c>
      <c r="D2474">
        <v>126.49</v>
      </c>
      <c r="E2474">
        <v>1.9</v>
      </c>
      <c r="F2474">
        <v>2</v>
      </c>
      <c r="G2474">
        <v>3</v>
      </c>
      <c r="H2474">
        <v>1</v>
      </c>
      <c r="I2474" s="7">
        <v>1.1216636267886</v>
      </c>
      <c r="J2474" s="6">
        <v>1.74363718651829</v>
      </c>
      <c r="K2474" s="6">
        <v>0.60348020787262302</v>
      </c>
      <c r="L2474">
        <v>1.04626616141189</v>
      </c>
      <c r="M2474">
        <v>0.95132720057207598</v>
      </c>
    </row>
    <row r="2475" spans="1:13" x14ac:dyDescent="0.25">
      <c r="A2475">
        <v>1348</v>
      </c>
      <c r="B2475" t="str">
        <f>"FKBP1A"</f>
        <v>FKBP1A</v>
      </c>
      <c r="C2475" t="str">
        <f>""</f>
        <v/>
      </c>
      <c r="D2475">
        <v>11.951000000000001</v>
      </c>
      <c r="E2475">
        <v>25</v>
      </c>
      <c r="F2475">
        <v>2</v>
      </c>
      <c r="G2475">
        <v>3</v>
      </c>
      <c r="H2475">
        <v>1</v>
      </c>
      <c r="I2475" s="7">
        <v>1.1216636267886</v>
      </c>
      <c r="J2475" s="6">
        <v>1.74363718651829</v>
      </c>
      <c r="K2475" s="6">
        <v>0.60348020787262302</v>
      </c>
      <c r="L2475">
        <v>1.04626616141189</v>
      </c>
      <c r="M2475">
        <v>0.95132720057207598</v>
      </c>
    </row>
    <row r="2476" spans="1:13" x14ac:dyDescent="0.25">
      <c r="A2476">
        <v>1764</v>
      </c>
      <c r="B2476" t="str">
        <f>"CDC37"</f>
        <v>CDC37</v>
      </c>
      <c r="C2476" t="str">
        <f>""</f>
        <v/>
      </c>
      <c r="D2476">
        <v>44.468000000000004</v>
      </c>
      <c r="E2476">
        <v>9.3000000000000007</v>
      </c>
      <c r="F2476">
        <v>2</v>
      </c>
      <c r="G2476">
        <v>3</v>
      </c>
      <c r="H2476">
        <v>1</v>
      </c>
      <c r="I2476" s="7">
        <v>1.1216636267886</v>
      </c>
      <c r="J2476" s="6">
        <v>1.74363718651829</v>
      </c>
      <c r="K2476" s="6">
        <v>0.60348020787262302</v>
      </c>
      <c r="L2476">
        <v>1.04626616141189</v>
      </c>
      <c r="M2476">
        <v>0.95132720057207598</v>
      </c>
    </row>
    <row r="2477" spans="1:13" x14ac:dyDescent="0.25">
      <c r="A2477">
        <v>2042</v>
      </c>
      <c r="B2477" t="str">
        <f>"SETD3"</f>
        <v>SETD3</v>
      </c>
      <c r="C2477" t="str">
        <f>""</f>
        <v/>
      </c>
      <c r="D2477">
        <v>32.54</v>
      </c>
      <c r="E2477">
        <v>4.2</v>
      </c>
      <c r="F2477">
        <v>2</v>
      </c>
      <c r="G2477">
        <v>3</v>
      </c>
      <c r="H2477">
        <v>1</v>
      </c>
      <c r="I2477" s="7">
        <v>1.1216636267886</v>
      </c>
      <c r="J2477" s="6">
        <v>1.74363718651829</v>
      </c>
      <c r="K2477" s="6">
        <v>0.60348020787262302</v>
      </c>
      <c r="L2477">
        <v>1.04626616141189</v>
      </c>
      <c r="M2477">
        <v>0.95132720057207598</v>
      </c>
    </row>
    <row r="2478" spans="1:13" x14ac:dyDescent="0.25">
      <c r="A2478">
        <v>2420</v>
      </c>
      <c r="B2478" t="str">
        <f>"PBK"</f>
        <v>PBK</v>
      </c>
      <c r="C2478" t="str">
        <f>"PBK"</f>
        <v>PBK</v>
      </c>
      <c r="D2478">
        <v>36.085000000000001</v>
      </c>
      <c r="E2478">
        <v>3.7</v>
      </c>
      <c r="F2478">
        <v>2</v>
      </c>
      <c r="G2478">
        <v>3</v>
      </c>
      <c r="H2478">
        <v>1</v>
      </c>
      <c r="I2478" s="7">
        <v>1.1216636267886</v>
      </c>
      <c r="J2478" s="6">
        <v>1.74363718651829</v>
      </c>
      <c r="K2478" s="6">
        <v>0.60348020787262302</v>
      </c>
      <c r="L2478">
        <v>1.04626616141189</v>
      </c>
      <c r="M2478">
        <v>0.95132720057207598</v>
      </c>
    </row>
    <row r="2479" spans="1:13" x14ac:dyDescent="0.25">
      <c r="A2479">
        <v>2666</v>
      </c>
      <c r="B2479" t="str">
        <f>"PNN"</f>
        <v>PNN</v>
      </c>
      <c r="C2479" t="str">
        <f>""</f>
        <v/>
      </c>
      <c r="D2479">
        <v>81.626999999999995</v>
      </c>
      <c r="E2479">
        <v>4.5999999999999996</v>
      </c>
      <c r="F2479">
        <v>2</v>
      </c>
      <c r="G2479">
        <v>3</v>
      </c>
      <c r="H2479">
        <v>1</v>
      </c>
      <c r="I2479" s="7">
        <v>1.1216636267886</v>
      </c>
      <c r="J2479" s="6">
        <v>1.74363718651829</v>
      </c>
      <c r="K2479" s="6">
        <v>0.60348020787262302</v>
      </c>
      <c r="L2479">
        <v>1.04626616141189</v>
      </c>
      <c r="M2479">
        <v>0.95132720057207598</v>
      </c>
    </row>
    <row r="2480" spans="1:13" x14ac:dyDescent="0.25">
      <c r="A2480">
        <v>2756</v>
      </c>
      <c r="B2480" t="str">
        <f>"DMAP1"</f>
        <v>DMAP1</v>
      </c>
      <c r="C2480" t="str">
        <f>""</f>
        <v/>
      </c>
      <c r="D2480">
        <v>52.991999999999997</v>
      </c>
      <c r="E2480">
        <v>5.4</v>
      </c>
      <c r="F2480">
        <v>2</v>
      </c>
      <c r="G2480">
        <v>3</v>
      </c>
      <c r="H2480">
        <v>1</v>
      </c>
      <c r="I2480" s="7">
        <v>1.1216636267886</v>
      </c>
      <c r="J2480" s="6">
        <v>1.74363718651829</v>
      </c>
      <c r="K2480" s="6">
        <v>0.60348020787262302</v>
      </c>
      <c r="L2480">
        <v>1.04626616141189</v>
      </c>
      <c r="M2480">
        <v>0.95132720057207598</v>
      </c>
    </row>
    <row r="2481" spans="1:13" x14ac:dyDescent="0.25">
      <c r="A2481">
        <v>2761</v>
      </c>
      <c r="B2481" t="str">
        <f>"LUC7L"</f>
        <v>LUC7L</v>
      </c>
      <c r="C2481" t="str">
        <f>""</f>
        <v/>
      </c>
      <c r="D2481">
        <v>38.405000000000001</v>
      </c>
      <c r="E2481">
        <v>13.5</v>
      </c>
      <c r="F2481">
        <v>2</v>
      </c>
      <c r="G2481">
        <v>3</v>
      </c>
      <c r="H2481">
        <v>1</v>
      </c>
      <c r="I2481" s="7">
        <v>1.1216636267886</v>
      </c>
      <c r="J2481" s="6">
        <v>1.74363718651829</v>
      </c>
      <c r="K2481" s="6">
        <v>0.60348020787262302</v>
      </c>
      <c r="L2481">
        <v>1.04626616141189</v>
      </c>
      <c r="M2481">
        <v>0.95132720057207598</v>
      </c>
    </row>
    <row r="2482" spans="1:13" x14ac:dyDescent="0.25">
      <c r="A2482">
        <v>1484</v>
      </c>
      <c r="B2482" t="str">
        <f>"GOLGA3"</f>
        <v>GOLGA3</v>
      </c>
      <c r="C2482" t="str">
        <f>""</f>
        <v/>
      </c>
      <c r="D2482">
        <v>167.35</v>
      </c>
      <c r="E2482">
        <v>14.3</v>
      </c>
      <c r="F2482">
        <v>1</v>
      </c>
      <c r="G2482">
        <v>1</v>
      </c>
      <c r="H2482">
        <v>1</v>
      </c>
      <c r="I2482" s="7">
        <v>0.56083181339430199</v>
      </c>
      <c r="J2482" s="6">
        <v>0.58121239550609605</v>
      </c>
      <c r="K2482" s="6">
        <v>0.60348020787262302</v>
      </c>
      <c r="L2482">
        <v>1.0561924048215501</v>
      </c>
      <c r="M2482">
        <v>0.96470866349043605</v>
      </c>
    </row>
    <row r="2483" spans="1:13" x14ac:dyDescent="0.25">
      <c r="A2483">
        <v>2143</v>
      </c>
      <c r="B2483" t="str">
        <f>"FNBP4"</f>
        <v>FNBP4</v>
      </c>
      <c r="C2483" t="str">
        <f>""</f>
        <v/>
      </c>
      <c r="D2483">
        <v>110.26</v>
      </c>
      <c r="E2483">
        <v>8.6999999999999993</v>
      </c>
      <c r="F2483">
        <v>1</v>
      </c>
      <c r="G2483">
        <v>1</v>
      </c>
      <c r="H2483">
        <v>1</v>
      </c>
      <c r="I2483" s="7">
        <v>0.56083181339430199</v>
      </c>
      <c r="J2483" s="6">
        <v>0.58121239550609605</v>
      </c>
      <c r="K2483" s="6">
        <v>0.60348020787262302</v>
      </c>
      <c r="L2483">
        <v>1.0561924048215501</v>
      </c>
      <c r="M2483">
        <v>0.96470866349043605</v>
      </c>
    </row>
    <row r="2484" spans="1:13" x14ac:dyDescent="0.25">
      <c r="A2484">
        <v>58</v>
      </c>
      <c r="B2484" t="str">
        <f>"FLG"</f>
        <v>FLG</v>
      </c>
      <c r="C2484" t="str">
        <f>""</f>
        <v/>
      </c>
      <c r="D2484">
        <v>435.16</v>
      </c>
      <c r="E2484">
        <v>1.6</v>
      </c>
      <c r="F2484">
        <v>1</v>
      </c>
      <c r="G2484">
        <v>1</v>
      </c>
      <c r="H2484">
        <v>1</v>
      </c>
      <c r="I2484" s="7">
        <v>0.56083181339430199</v>
      </c>
      <c r="J2484" s="6">
        <v>0.58121239550609605</v>
      </c>
      <c r="K2484" s="6">
        <v>0.60348020787262302</v>
      </c>
      <c r="L2484">
        <v>1.0561924048215501</v>
      </c>
      <c r="M2484">
        <v>0.96470866349043605</v>
      </c>
    </row>
    <row r="2485" spans="1:13" x14ac:dyDescent="0.25">
      <c r="A2485">
        <v>982</v>
      </c>
      <c r="B2485" t="str">
        <f>"BRCA1"</f>
        <v>BRCA1</v>
      </c>
      <c r="C2485" t="str">
        <f>""</f>
        <v/>
      </c>
      <c r="D2485">
        <v>202.34</v>
      </c>
      <c r="E2485">
        <v>2.9</v>
      </c>
      <c r="F2485">
        <v>1</v>
      </c>
      <c r="G2485">
        <v>1</v>
      </c>
      <c r="H2485">
        <v>1</v>
      </c>
      <c r="I2485" s="7">
        <v>0.56083181339430199</v>
      </c>
      <c r="J2485" s="6">
        <v>0.58121239550609605</v>
      </c>
      <c r="K2485" s="6">
        <v>0.60348020787262302</v>
      </c>
      <c r="L2485">
        <v>1.0561924048215501</v>
      </c>
      <c r="M2485">
        <v>0.96470866349043605</v>
      </c>
    </row>
    <row r="2486" spans="1:13" x14ac:dyDescent="0.25">
      <c r="A2486">
        <v>1968</v>
      </c>
      <c r="B2486" t="str">
        <f>"MPRIP"</f>
        <v>MPRIP</v>
      </c>
      <c r="C2486" t="str">
        <f>""</f>
        <v/>
      </c>
      <c r="D2486">
        <v>118.1</v>
      </c>
      <c r="E2486">
        <v>4.8</v>
      </c>
      <c r="F2486">
        <v>1</v>
      </c>
      <c r="G2486">
        <v>1</v>
      </c>
      <c r="H2486">
        <v>1</v>
      </c>
      <c r="I2486" s="7">
        <v>0.56083181339430199</v>
      </c>
      <c r="J2486" s="6">
        <v>0.58121239550609605</v>
      </c>
      <c r="K2486" s="6">
        <v>0.60348020787262302</v>
      </c>
      <c r="L2486">
        <v>1.0561924048215501</v>
      </c>
      <c r="M2486">
        <v>0.96470866349043605</v>
      </c>
    </row>
    <row r="2487" spans="1:13" x14ac:dyDescent="0.25">
      <c r="A2487">
        <v>36</v>
      </c>
      <c r="B2487" t="str">
        <f>"KRT86;KRT83;KRT81"</f>
        <v>KRT86;KRT83;KRT81</v>
      </c>
      <c r="C2487" t="str">
        <f>""</f>
        <v/>
      </c>
      <c r="D2487">
        <v>53.5</v>
      </c>
      <c r="E2487">
        <v>8.1999999999999993</v>
      </c>
      <c r="F2487">
        <v>1</v>
      </c>
      <c r="G2487">
        <v>1</v>
      </c>
      <c r="H2487">
        <v>1</v>
      </c>
      <c r="I2487" s="7">
        <v>0.56083181339430199</v>
      </c>
      <c r="J2487" s="6">
        <v>0.58121239550609605</v>
      </c>
      <c r="K2487" s="6">
        <v>0.60348020787262302</v>
      </c>
      <c r="L2487">
        <v>1.0561924048215501</v>
      </c>
      <c r="M2487">
        <v>0.96470866349043605</v>
      </c>
    </row>
    <row r="2488" spans="1:13" x14ac:dyDescent="0.25">
      <c r="A2488">
        <v>1532</v>
      </c>
      <c r="B2488" t="str">
        <f>"STK4"</f>
        <v>STK4</v>
      </c>
      <c r="C2488" t="str">
        <f>"STK4"</f>
        <v>STK4</v>
      </c>
      <c r="D2488">
        <v>52.335000000000001</v>
      </c>
      <c r="E2488">
        <v>9.1</v>
      </c>
      <c r="F2488">
        <v>1</v>
      </c>
      <c r="G2488">
        <v>1</v>
      </c>
      <c r="H2488">
        <v>1</v>
      </c>
      <c r="I2488" s="7">
        <v>0.56083181339430199</v>
      </c>
      <c r="J2488" s="6">
        <v>0.58121239550609605</v>
      </c>
      <c r="K2488" s="6">
        <v>0.60348020787262302</v>
      </c>
      <c r="L2488">
        <v>1.0561924048215501</v>
      </c>
      <c r="M2488">
        <v>0.96470866349043605</v>
      </c>
    </row>
    <row r="2489" spans="1:13" x14ac:dyDescent="0.25">
      <c r="A2489">
        <v>376</v>
      </c>
      <c r="B2489" t="str">
        <f>"FRYL"</f>
        <v>FRYL</v>
      </c>
      <c r="C2489" t="str">
        <f>""</f>
        <v/>
      </c>
      <c r="D2489">
        <v>339.59</v>
      </c>
      <c r="E2489">
        <v>1.8</v>
      </c>
      <c r="F2489">
        <v>1</v>
      </c>
      <c r="G2489">
        <v>1</v>
      </c>
      <c r="H2489">
        <v>1</v>
      </c>
      <c r="I2489" s="7">
        <v>0.56083181339430199</v>
      </c>
      <c r="J2489" s="6">
        <v>0.58121239550609605</v>
      </c>
      <c r="K2489" s="6">
        <v>0.60348020787262302</v>
      </c>
      <c r="L2489">
        <v>1.0561924048215501</v>
      </c>
      <c r="M2489">
        <v>0.96470866349043605</v>
      </c>
    </row>
    <row r="2490" spans="1:13" x14ac:dyDescent="0.25">
      <c r="A2490">
        <v>2113</v>
      </c>
      <c r="B2490" t="str">
        <f>"KATNAL2"</f>
        <v>KATNAL2</v>
      </c>
      <c r="C2490" t="str">
        <f>""</f>
        <v/>
      </c>
      <c r="D2490">
        <v>52.780999999999999</v>
      </c>
      <c r="E2490">
        <v>2.6</v>
      </c>
      <c r="F2490">
        <v>1</v>
      </c>
      <c r="G2490">
        <v>1</v>
      </c>
      <c r="H2490">
        <v>1</v>
      </c>
      <c r="I2490" s="7">
        <v>0.56083181339430199</v>
      </c>
      <c r="J2490" s="6">
        <v>0.58121239550609605</v>
      </c>
      <c r="K2490" s="6">
        <v>0.60348020787262302</v>
      </c>
      <c r="L2490">
        <v>1.0561924048215501</v>
      </c>
      <c r="M2490">
        <v>0.96470866349043605</v>
      </c>
    </row>
    <row r="2491" spans="1:13" x14ac:dyDescent="0.25">
      <c r="A2491">
        <v>948</v>
      </c>
      <c r="B2491" t="str">
        <f>"RPL22"</f>
        <v>RPL22</v>
      </c>
      <c r="C2491" t="str">
        <f>""</f>
        <v/>
      </c>
      <c r="D2491">
        <v>14.787000000000001</v>
      </c>
      <c r="E2491">
        <v>10.199999999999999</v>
      </c>
      <c r="F2491">
        <v>1</v>
      </c>
      <c r="G2491">
        <v>1</v>
      </c>
      <c r="H2491">
        <v>1</v>
      </c>
      <c r="I2491" s="7">
        <v>0.56083181339430199</v>
      </c>
      <c r="J2491" s="6">
        <v>0.58121239550609605</v>
      </c>
      <c r="K2491" s="6">
        <v>0.60348020787262302</v>
      </c>
      <c r="L2491">
        <v>1.0561924048215501</v>
      </c>
      <c r="M2491">
        <v>0.96470866349043605</v>
      </c>
    </row>
    <row r="2492" spans="1:13" x14ac:dyDescent="0.25">
      <c r="A2492">
        <v>2198</v>
      </c>
      <c r="B2492" t="str">
        <f>"IPMK"</f>
        <v>IPMK</v>
      </c>
      <c r="C2492" t="str">
        <f>""</f>
        <v/>
      </c>
      <c r="D2492">
        <v>47.220999999999997</v>
      </c>
      <c r="E2492">
        <v>2.2000000000000002</v>
      </c>
      <c r="F2492">
        <v>1</v>
      </c>
      <c r="G2492">
        <v>1</v>
      </c>
      <c r="H2492">
        <v>1</v>
      </c>
      <c r="I2492" s="7">
        <v>0.56083181339430199</v>
      </c>
      <c r="J2492" s="6">
        <v>0.58121239550609605</v>
      </c>
      <c r="K2492" s="6">
        <v>0.60348020787262302</v>
      </c>
      <c r="L2492">
        <v>1.0561924048215501</v>
      </c>
      <c r="M2492">
        <v>0.96470866349043605</v>
      </c>
    </row>
    <row r="2493" spans="1:13" x14ac:dyDescent="0.25">
      <c r="A2493">
        <v>2411</v>
      </c>
      <c r="B2493" t="str">
        <f>"ITCH"</f>
        <v>ITCH</v>
      </c>
      <c r="C2493" t="str">
        <f>""</f>
        <v/>
      </c>
      <c r="D2493">
        <v>86.497</v>
      </c>
      <c r="E2493">
        <v>5.5</v>
      </c>
      <c r="F2493">
        <v>1</v>
      </c>
      <c r="G2493">
        <v>1</v>
      </c>
      <c r="H2493">
        <v>1</v>
      </c>
      <c r="I2493" s="7">
        <v>0.56083181339430199</v>
      </c>
      <c r="J2493" s="6">
        <v>0.58121239550609605</v>
      </c>
      <c r="K2493" s="6">
        <v>0.60348020787262302</v>
      </c>
      <c r="L2493">
        <v>1.0561924048215501</v>
      </c>
      <c r="M2493">
        <v>0.96470866349043605</v>
      </c>
    </row>
    <row r="2494" spans="1:13" x14ac:dyDescent="0.25">
      <c r="A2494">
        <v>2873</v>
      </c>
      <c r="B2494" t="str">
        <f>"ITSN2"</f>
        <v>ITSN2</v>
      </c>
      <c r="C2494" t="str">
        <f>""</f>
        <v/>
      </c>
      <c r="D2494">
        <v>135.13999999999999</v>
      </c>
      <c r="E2494">
        <v>1.7</v>
      </c>
      <c r="F2494">
        <v>1</v>
      </c>
      <c r="G2494">
        <v>1</v>
      </c>
      <c r="H2494">
        <v>1</v>
      </c>
      <c r="I2494" s="7">
        <v>0.56083181339430199</v>
      </c>
      <c r="J2494" s="6">
        <v>0.58121239550609605</v>
      </c>
      <c r="K2494" s="6">
        <v>0.60348020787262302</v>
      </c>
      <c r="L2494">
        <v>1.0561924048215501</v>
      </c>
      <c r="M2494">
        <v>0.96470866349043605</v>
      </c>
    </row>
    <row r="2495" spans="1:13" x14ac:dyDescent="0.25">
      <c r="A2495">
        <v>86</v>
      </c>
      <c r="B2495" t="str">
        <f>"KIF2A"</f>
        <v>KIF2A</v>
      </c>
      <c r="C2495" t="str">
        <f>""</f>
        <v/>
      </c>
      <c r="D2495">
        <v>75.042000000000002</v>
      </c>
      <c r="E2495">
        <v>5.6</v>
      </c>
      <c r="F2495">
        <v>1</v>
      </c>
      <c r="G2495">
        <v>1</v>
      </c>
      <c r="H2495">
        <v>1</v>
      </c>
      <c r="I2495" s="7">
        <v>0.56083181339430199</v>
      </c>
      <c r="J2495" s="6">
        <v>0.58121239550609605</v>
      </c>
      <c r="K2495" s="6">
        <v>0.60348020787262302</v>
      </c>
      <c r="L2495">
        <v>1.0561924048215501</v>
      </c>
      <c r="M2495">
        <v>0.96470866349043605</v>
      </c>
    </row>
    <row r="2496" spans="1:13" x14ac:dyDescent="0.25">
      <c r="A2496">
        <v>1104</v>
      </c>
      <c r="B2496" t="str">
        <f>"UBE2A"</f>
        <v>UBE2A</v>
      </c>
      <c r="C2496" t="str">
        <f>""</f>
        <v/>
      </c>
      <c r="D2496">
        <v>8.8327000000000009</v>
      </c>
      <c r="E2496">
        <v>13</v>
      </c>
      <c r="F2496">
        <v>1</v>
      </c>
      <c r="G2496">
        <v>1</v>
      </c>
      <c r="H2496">
        <v>1</v>
      </c>
      <c r="I2496" s="7">
        <v>0.56083181339430199</v>
      </c>
      <c r="J2496" s="6">
        <v>0.58121239550609605</v>
      </c>
      <c r="K2496" s="6">
        <v>0.60348020787262302</v>
      </c>
      <c r="L2496">
        <v>1.0561924048215501</v>
      </c>
      <c r="M2496">
        <v>0.96470866349043605</v>
      </c>
    </row>
    <row r="2497" spans="1:13" x14ac:dyDescent="0.25">
      <c r="A2497">
        <v>1565</v>
      </c>
      <c r="B2497" t="str">
        <f>"MRPL49"</f>
        <v>MRPL49</v>
      </c>
      <c r="C2497" t="str">
        <f>""</f>
        <v/>
      </c>
      <c r="D2497">
        <v>19.198</v>
      </c>
      <c r="E2497">
        <v>7.2</v>
      </c>
      <c r="F2497">
        <v>1</v>
      </c>
      <c r="G2497">
        <v>1</v>
      </c>
      <c r="H2497">
        <v>1</v>
      </c>
      <c r="I2497" s="7">
        <v>0.56083181339430199</v>
      </c>
      <c r="J2497" s="6">
        <v>0.58121239550609605</v>
      </c>
      <c r="K2497" s="6">
        <v>0.60348020787262302</v>
      </c>
      <c r="L2497">
        <v>1.0561924048215501</v>
      </c>
      <c r="M2497">
        <v>0.96470866349043605</v>
      </c>
    </row>
    <row r="2498" spans="1:13" x14ac:dyDescent="0.25">
      <c r="A2498">
        <v>1650</v>
      </c>
      <c r="B2498" t="str">
        <f>"ITPR2;ITPR1"</f>
        <v>ITPR2;ITPR1</v>
      </c>
      <c r="C2498" t="str">
        <f>""</f>
        <v/>
      </c>
      <c r="D2498">
        <v>308.06</v>
      </c>
      <c r="E2498">
        <v>0.7</v>
      </c>
      <c r="F2498">
        <v>1</v>
      </c>
      <c r="G2498">
        <v>1</v>
      </c>
      <c r="H2498">
        <v>1</v>
      </c>
      <c r="I2498" s="7">
        <v>0.56083181339430199</v>
      </c>
      <c r="J2498" s="6">
        <v>0.58121239550609605</v>
      </c>
      <c r="K2498" s="6">
        <v>0.60348020787262302</v>
      </c>
      <c r="L2498">
        <v>1.0561924048215501</v>
      </c>
      <c r="M2498">
        <v>0.96470866349043605</v>
      </c>
    </row>
    <row r="2499" spans="1:13" x14ac:dyDescent="0.25">
      <c r="A2499">
        <v>2022</v>
      </c>
      <c r="B2499" t="str">
        <f>"CLASP1"</f>
        <v>CLASP1</v>
      </c>
      <c r="C2499" t="str">
        <f>""</f>
        <v/>
      </c>
      <c r="D2499">
        <v>162.11000000000001</v>
      </c>
      <c r="E2499">
        <v>1.6</v>
      </c>
      <c r="F2499">
        <v>1</v>
      </c>
      <c r="G2499">
        <v>1</v>
      </c>
      <c r="H2499">
        <v>1</v>
      </c>
      <c r="I2499" s="7">
        <v>0.56083181339430199</v>
      </c>
      <c r="J2499" s="6">
        <v>0.58121239550609605</v>
      </c>
      <c r="K2499" s="6">
        <v>0.60348020787262302</v>
      </c>
      <c r="L2499">
        <v>1.0561924048215501</v>
      </c>
      <c r="M2499">
        <v>0.96470866349043605</v>
      </c>
    </row>
    <row r="2500" spans="1:13" x14ac:dyDescent="0.25">
      <c r="A2500">
        <v>2256</v>
      </c>
      <c r="B2500" t="str">
        <f>"GATAD2B"</f>
        <v>GATAD2B</v>
      </c>
      <c r="C2500" t="str">
        <f>""</f>
        <v/>
      </c>
      <c r="D2500">
        <v>65.260000000000005</v>
      </c>
      <c r="E2500">
        <v>4</v>
      </c>
      <c r="F2500">
        <v>1</v>
      </c>
      <c r="G2500">
        <v>1</v>
      </c>
      <c r="H2500">
        <v>1</v>
      </c>
      <c r="I2500" s="7">
        <v>0.56083181339430199</v>
      </c>
      <c r="J2500" s="6">
        <v>0.58121239550609605</v>
      </c>
      <c r="K2500" s="6">
        <v>0.60348020787262302</v>
      </c>
      <c r="L2500">
        <v>1.0561924048215501</v>
      </c>
      <c r="M2500">
        <v>0.96470866349043605</v>
      </c>
    </row>
    <row r="2501" spans="1:13" x14ac:dyDescent="0.25">
      <c r="A2501">
        <v>2280</v>
      </c>
      <c r="B2501" t="str">
        <f>"MYO18A"</f>
        <v>MYO18A</v>
      </c>
      <c r="C2501" t="str">
        <f>""</f>
        <v/>
      </c>
      <c r="D2501">
        <v>226.69</v>
      </c>
      <c r="E2501">
        <v>1</v>
      </c>
      <c r="F2501">
        <v>1</v>
      </c>
      <c r="G2501">
        <v>1</v>
      </c>
      <c r="H2501">
        <v>1</v>
      </c>
      <c r="I2501" s="7">
        <v>0.56083181339430199</v>
      </c>
      <c r="J2501" s="6">
        <v>0.58121239550609605</v>
      </c>
      <c r="K2501" s="6">
        <v>0.60348020787262302</v>
      </c>
      <c r="L2501">
        <v>1.0561924048215501</v>
      </c>
      <c r="M2501">
        <v>0.96470866349043605</v>
      </c>
    </row>
    <row r="2502" spans="1:13" x14ac:dyDescent="0.25">
      <c r="A2502">
        <v>71</v>
      </c>
      <c r="B2502" t="str">
        <f>""</f>
        <v/>
      </c>
      <c r="C2502" t="str">
        <f>""</f>
        <v/>
      </c>
      <c r="D2502">
        <v>68.587000000000003</v>
      </c>
      <c r="E2502">
        <v>2.2999999999999998</v>
      </c>
      <c r="F2502">
        <v>1</v>
      </c>
      <c r="G2502">
        <v>1</v>
      </c>
      <c r="H2502">
        <v>1</v>
      </c>
      <c r="I2502" s="7">
        <v>0.56083181339430199</v>
      </c>
      <c r="J2502" s="6">
        <v>0.58121239550609605</v>
      </c>
      <c r="K2502" s="6">
        <v>0.60348020787262302</v>
      </c>
      <c r="L2502">
        <v>1.0561924048215501</v>
      </c>
      <c r="M2502">
        <v>0.96470866349043605</v>
      </c>
    </row>
    <row r="2503" spans="1:13" x14ac:dyDescent="0.25">
      <c r="A2503">
        <v>116</v>
      </c>
      <c r="B2503" t="str">
        <f>"PLOD2"</f>
        <v>PLOD2</v>
      </c>
      <c r="C2503" t="str">
        <f>""</f>
        <v/>
      </c>
      <c r="D2503">
        <v>87.096999999999994</v>
      </c>
      <c r="E2503">
        <v>5.0999999999999996</v>
      </c>
      <c r="F2503">
        <v>1</v>
      </c>
      <c r="G2503">
        <v>1</v>
      </c>
      <c r="H2503">
        <v>1</v>
      </c>
      <c r="I2503" s="7">
        <v>0.56083181339430199</v>
      </c>
      <c r="J2503" s="6">
        <v>0.58121239550609605</v>
      </c>
      <c r="K2503" s="6">
        <v>0.60348020787262302</v>
      </c>
      <c r="L2503">
        <v>1.0561924048215501</v>
      </c>
      <c r="M2503">
        <v>0.96470866349043605</v>
      </c>
    </row>
    <row r="2504" spans="1:13" x14ac:dyDescent="0.25">
      <c r="A2504">
        <v>183</v>
      </c>
      <c r="B2504" t="str">
        <f>"SPTLC1"</f>
        <v>SPTLC1</v>
      </c>
      <c r="C2504" t="str">
        <f>""</f>
        <v/>
      </c>
      <c r="D2504">
        <v>16.071999999999999</v>
      </c>
      <c r="E2504">
        <v>14</v>
      </c>
      <c r="F2504">
        <v>1</v>
      </c>
      <c r="G2504">
        <v>1</v>
      </c>
      <c r="H2504">
        <v>1</v>
      </c>
      <c r="I2504" s="7">
        <v>0.56083181339430199</v>
      </c>
      <c r="J2504" s="6">
        <v>0.58121239550609605</v>
      </c>
      <c r="K2504" s="6">
        <v>0.60348020787262302</v>
      </c>
      <c r="L2504">
        <v>1.0561924048215501</v>
      </c>
      <c r="M2504">
        <v>0.96470866349043605</v>
      </c>
    </row>
    <row r="2505" spans="1:13" x14ac:dyDescent="0.25">
      <c r="A2505">
        <v>189</v>
      </c>
      <c r="B2505" t="str">
        <f>"PPM1G"</f>
        <v>PPM1G</v>
      </c>
      <c r="C2505" t="str">
        <f>""</f>
        <v/>
      </c>
      <c r="D2505">
        <v>59.271000000000001</v>
      </c>
      <c r="E2505">
        <v>2.6</v>
      </c>
      <c r="F2505">
        <v>1</v>
      </c>
      <c r="G2505">
        <v>1</v>
      </c>
      <c r="H2505">
        <v>1</v>
      </c>
      <c r="I2505" s="7">
        <v>0.56083181339430199</v>
      </c>
      <c r="J2505" s="6">
        <v>0.58121239550609605</v>
      </c>
      <c r="K2505" s="6">
        <v>0.60348020787262302</v>
      </c>
      <c r="L2505">
        <v>1.0561924048215501</v>
      </c>
      <c r="M2505">
        <v>0.96470866349043605</v>
      </c>
    </row>
    <row r="2506" spans="1:13" x14ac:dyDescent="0.25">
      <c r="A2506">
        <v>261</v>
      </c>
      <c r="B2506" t="str">
        <f>"OPA1"</f>
        <v>OPA1</v>
      </c>
      <c r="C2506" t="str">
        <f>""</f>
        <v/>
      </c>
      <c r="D2506">
        <v>111.63</v>
      </c>
      <c r="E2506">
        <v>5.4</v>
      </c>
      <c r="F2506">
        <v>1</v>
      </c>
      <c r="G2506">
        <v>1</v>
      </c>
      <c r="H2506">
        <v>1</v>
      </c>
      <c r="I2506" s="7">
        <v>0.56083181339430199</v>
      </c>
      <c r="J2506" s="6">
        <v>0.58121239550609605</v>
      </c>
      <c r="K2506" s="6">
        <v>0.60348020787262302</v>
      </c>
      <c r="L2506">
        <v>1.0561924048215501</v>
      </c>
      <c r="M2506">
        <v>0.96470866349043605</v>
      </c>
    </row>
    <row r="2507" spans="1:13" x14ac:dyDescent="0.25">
      <c r="A2507">
        <v>314</v>
      </c>
      <c r="B2507" t="str">
        <f>"HMMR"</f>
        <v>HMMR</v>
      </c>
      <c r="C2507" t="str">
        <f>""</f>
        <v/>
      </c>
      <c r="D2507">
        <v>74.494</v>
      </c>
      <c r="E2507">
        <v>2.7</v>
      </c>
      <c r="F2507">
        <v>1</v>
      </c>
      <c r="G2507">
        <v>1</v>
      </c>
      <c r="H2507">
        <v>1</v>
      </c>
      <c r="I2507" s="7">
        <v>0.56083181339430199</v>
      </c>
      <c r="J2507" s="6">
        <v>0.58121239550609605</v>
      </c>
      <c r="K2507" s="6">
        <v>0.60348020787262302</v>
      </c>
      <c r="L2507">
        <v>1.0561924048215501</v>
      </c>
      <c r="M2507">
        <v>0.96470866349043605</v>
      </c>
    </row>
    <row r="2508" spans="1:13" x14ac:dyDescent="0.25">
      <c r="A2508">
        <v>339</v>
      </c>
      <c r="B2508" t="str">
        <f>"LYPLA1"</f>
        <v>LYPLA1</v>
      </c>
      <c r="C2508" t="str">
        <f>""</f>
        <v/>
      </c>
      <c r="D2508">
        <v>22.875</v>
      </c>
      <c r="E2508">
        <v>11.7</v>
      </c>
      <c r="F2508">
        <v>1</v>
      </c>
      <c r="G2508">
        <v>1</v>
      </c>
      <c r="H2508">
        <v>1</v>
      </c>
      <c r="I2508" s="7">
        <v>0.56083181339430199</v>
      </c>
      <c r="J2508" s="6">
        <v>0.58121239550609605</v>
      </c>
      <c r="K2508" s="6">
        <v>0.60348020787262302</v>
      </c>
      <c r="L2508">
        <v>1.0561924048215501</v>
      </c>
      <c r="M2508">
        <v>0.96470866349043605</v>
      </c>
    </row>
    <row r="2509" spans="1:13" x14ac:dyDescent="0.25">
      <c r="A2509">
        <v>365</v>
      </c>
      <c r="B2509" t="str">
        <f>"MTA2"</f>
        <v>MTA2</v>
      </c>
      <c r="C2509" t="str">
        <f>""</f>
        <v/>
      </c>
      <c r="D2509">
        <v>75.022000000000006</v>
      </c>
      <c r="E2509">
        <v>3.9</v>
      </c>
      <c r="F2509">
        <v>1</v>
      </c>
      <c r="G2509">
        <v>1</v>
      </c>
      <c r="H2509">
        <v>1</v>
      </c>
      <c r="I2509" s="7">
        <v>0.56083181339430199</v>
      </c>
      <c r="J2509" s="6">
        <v>0.58121239550609605</v>
      </c>
      <c r="K2509" s="6">
        <v>0.60348020787262302</v>
      </c>
      <c r="L2509">
        <v>1.0561924048215501</v>
      </c>
      <c r="M2509">
        <v>0.96470866349043605</v>
      </c>
    </row>
    <row r="2510" spans="1:13" x14ac:dyDescent="0.25">
      <c r="A2510">
        <v>366</v>
      </c>
      <c r="B2510" t="str">
        <f>"USP1"</f>
        <v>USP1</v>
      </c>
      <c r="C2510" t="str">
        <f>""</f>
        <v/>
      </c>
      <c r="D2510">
        <v>88.206000000000003</v>
      </c>
      <c r="E2510">
        <v>4.3</v>
      </c>
      <c r="F2510">
        <v>1</v>
      </c>
      <c r="G2510">
        <v>1</v>
      </c>
      <c r="H2510">
        <v>1</v>
      </c>
      <c r="I2510" s="7">
        <v>0.56083181339430199</v>
      </c>
      <c r="J2510" s="6">
        <v>0.58121239550609605</v>
      </c>
      <c r="K2510" s="6">
        <v>0.60348020787262302</v>
      </c>
      <c r="L2510">
        <v>1.0561924048215501</v>
      </c>
      <c r="M2510">
        <v>0.96470866349043605</v>
      </c>
    </row>
    <row r="2511" spans="1:13" x14ac:dyDescent="0.25">
      <c r="A2511">
        <v>395</v>
      </c>
      <c r="B2511" t="str">
        <f>"GOSR1"</f>
        <v>GOSR1</v>
      </c>
      <c r="C2511" t="str">
        <f>""</f>
        <v/>
      </c>
      <c r="D2511">
        <v>28.611999999999998</v>
      </c>
      <c r="E2511">
        <v>3.6</v>
      </c>
      <c r="F2511">
        <v>1</v>
      </c>
      <c r="G2511">
        <v>1</v>
      </c>
      <c r="H2511">
        <v>1</v>
      </c>
      <c r="I2511" s="7">
        <v>0.56083181339430199</v>
      </c>
      <c r="J2511" s="6">
        <v>0.58121239550609605</v>
      </c>
      <c r="K2511" s="6">
        <v>0.60348020787262302</v>
      </c>
      <c r="L2511">
        <v>1.0561924048215501</v>
      </c>
      <c r="M2511">
        <v>0.96470866349043605</v>
      </c>
    </row>
    <row r="2512" spans="1:13" x14ac:dyDescent="0.25">
      <c r="A2512">
        <v>416</v>
      </c>
      <c r="B2512" t="str">
        <f>"STAMBP"</f>
        <v>STAMBP</v>
      </c>
      <c r="C2512" t="str">
        <f>""</f>
        <v/>
      </c>
      <c r="D2512">
        <v>39.595999999999997</v>
      </c>
      <c r="E2512">
        <v>3.2</v>
      </c>
      <c r="F2512">
        <v>1</v>
      </c>
      <c r="G2512">
        <v>1</v>
      </c>
      <c r="H2512">
        <v>1</v>
      </c>
      <c r="I2512" s="7">
        <v>0.56083181339430199</v>
      </c>
      <c r="J2512" s="6">
        <v>0.58121239550609605</v>
      </c>
      <c r="K2512" s="6">
        <v>0.60348020787262302</v>
      </c>
      <c r="L2512">
        <v>1.0561924048215501</v>
      </c>
      <c r="M2512">
        <v>0.96470866349043605</v>
      </c>
    </row>
    <row r="2513" spans="1:13" x14ac:dyDescent="0.25">
      <c r="A2513">
        <v>422</v>
      </c>
      <c r="B2513" t="str">
        <f>"PTBP3"</f>
        <v>PTBP3</v>
      </c>
      <c r="C2513" t="str">
        <f>""</f>
        <v/>
      </c>
      <c r="D2513">
        <v>49.539000000000001</v>
      </c>
      <c r="E2513">
        <v>1.8</v>
      </c>
      <c r="F2513">
        <v>1</v>
      </c>
      <c r="G2513">
        <v>1</v>
      </c>
      <c r="H2513">
        <v>1</v>
      </c>
      <c r="I2513" s="7">
        <v>0.56083181339430199</v>
      </c>
      <c r="J2513" s="6">
        <v>0.58121239550609605</v>
      </c>
      <c r="K2513" s="6">
        <v>0.60348020787262302</v>
      </c>
      <c r="L2513">
        <v>1.0561924048215501</v>
      </c>
      <c r="M2513">
        <v>0.96470866349043605</v>
      </c>
    </row>
    <row r="2514" spans="1:13" x14ac:dyDescent="0.25">
      <c r="A2514">
        <v>603</v>
      </c>
      <c r="B2514" t="str">
        <f>"SRP19"</f>
        <v>SRP19</v>
      </c>
      <c r="C2514" t="str">
        <f>""</f>
        <v/>
      </c>
      <c r="D2514">
        <v>16.155999999999999</v>
      </c>
      <c r="E2514">
        <v>10.4</v>
      </c>
      <c r="F2514">
        <v>1</v>
      </c>
      <c r="G2514">
        <v>1</v>
      </c>
      <c r="H2514">
        <v>1</v>
      </c>
      <c r="I2514" s="7">
        <v>0.56083181339430199</v>
      </c>
      <c r="J2514" s="6">
        <v>0.58121239550609605</v>
      </c>
      <c r="K2514" s="6">
        <v>0.60348020787262302</v>
      </c>
      <c r="L2514">
        <v>1.0561924048215501</v>
      </c>
      <c r="M2514">
        <v>0.96470866349043605</v>
      </c>
    </row>
    <row r="2515" spans="1:13" x14ac:dyDescent="0.25">
      <c r="A2515">
        <v>694</v>
      </c>
      <c r="B2515" t="str">
        <f>"NID1"</f>
        <v>NID1</v>
      </c>
      <c r="C2515" t="str">
        <f>""</f>
        <v/>
      </c>
      <c r="D2515">
        <v>122.02</v>
      </c>
      <c r="E2515">
        <v>3.6</v>
      </c>
      <c r="F2515">
        <v>1</v>
      </c>
      <c r="G2515">
        <v>1</v>
      </c>
      <c r="H2515">
        <v>1</v>
      </c>
      <c r="I2515" s="7">
        <v>0.56083181339430199</v>
      </c>
      <c r="J2515" s="6">
        <v>0.58121239550609605</v>
      </c>
      <c r="K2515" s="6">
        <v>0.60348020787262302</v>
      </c>
      <c r="L2515">
        <v>1.0561924048215501</v>
      </c>
      <c r="M2515">
        <v>0.96470866349043605</v>
      </c>
    </row>
    <row r="2516" spans="1:13" x14ac:dyDescent="0.25">
      <c r="A2516">
        <v>697</v>
      </c>
      <c r="B2516" t="str">
        <f>"CCNB1"</f>
        <v>CCNB1</v>
      </c>
      <c r="C2516" t="str">
        <f>""</f>
        <v/>
      </c>
      <c r="D2516">
        <v>48.337000000000003</v>
      </c>
      <c r="E2516">
        <v>9.1999999999999993</v>
      </c>
      <c r="F2516">
        <v>1</v>
      </c>
      <c r="G2516">
        <v>1</v>
      </c>
      <c r="H2516">
        <v>1</v>
      </c>
      <c r="I2516" s="7">
        <v>0.56083181339430199</v>
      </c>
      <c r="J2516" s="6">
        <v>0.58121239550609605</v>
      </c>
      <c r="K2516" s="6">
        <v>0.60348020787262302</v>
      </c>
      <c r="L2516">
        <v>1.0561924048215501</v>
      </c>
      <c r="M2516">
        <v>0.96470866349043605</v>
      </c>
    </row>
    <row r="2517" spans="1:13" x14ac:dyDescent="0.25">
      <c r="A2517">
        <v>784</v>
      </c>
      <c r="B2517" t="str">
        <f>"MUT"</f>
        <v>MUT</v>
      </c>
      <c r="C2517" t="str">
        <f>""</f>
        <v/>
      </c>
      <c r="D2517">
        <v>83.134</v>
      </c>
      <c r="E2517">
        <v>3.2</v>
      </c>
      <c r="F2517">
        <v>1</v>
      </c>
      <c r="G2517">
        <v>1</v>
      </c>
      <c r="H2517">
        <v>1</v>
      </c>
      <c r="I2517" s="7">
        <v>0.56083181339430199</v>
      </c>
      <c r="J2517" s="6">
        <v>0.58121239550609605</v>
      </c>
      <c r="K2517" s="6">
        <v>0.60348020787262302</v>
      </c>
      <c r="L2517">
        <v>1.0561924048215501</v>
      </c>
      <c r="M2517">
        <v>0.96470866349043605</v>
      </c>
    </row>
    <row r="2518" spans="1:13" x14ac:dyDescent="0.25">
      <c r="A2518">
        <v>824</v>
      </c>
      <c r="B2518" t="str">
        <f>"DNAJB1"</f>
        <v>DNAJB1</v>
      </c>
      <c r="C2518" t="str">
        <f>""</f>
        <v/>
      </c>
      <c r="D2518">
        <v>27.015999999999998</v>
      </c>
      <c r="E2518">
        <v>6.7</v>
      </c>
      <c r="F2518">
        <v>1</v>
      </c>
      <c r="G2518">
        <v>1</v>
      </c>
      <c r="H2518">
        <v>1</v>
      </c>
      <c r="I2518" s="7">
        <v>0.56083181339430199</v>
      </c>
      <c r="J2518" s="6">
        <v>0.58121239550609605</v>
      </c>
      <c r="K2518" s="6">
        <v>0.60348020787262302</v>
      </c>
      <c r="L2518">
        <v>1.0561924048215501</v>
      </c>
      <c r="M2518">
        <v>0.96470866349043605</v>
      </c>
    </row>
    <row r="2519" spans="1:13" x14ac:dyDescent="0.25">
      <c r="A2519">
        <v>831</v>
      </c>
      <c r="B2519" t="str">
        <f>"DDX6"</f>
        <v>DDX6</v>
      </c>
      <c r="C2519" t="str">
        <f>""</f>
        <v/>
      </c>
      <c r="D2519">
        <v>54.415999999999997</v>
      </c>
      <c r="E2519">
        <v>5.6</v>
      </c>
      <c r="F2519">
        <v>1</v>
      </c>
      <c r="G2519">
        <v>1</v>
      </c>
      <c r="H2519">
        <v>1</v>
      </c>
      <c r="I2519" s="7">
        <v>0.56083181339430199</v>
      </c>
      <c r="J2519" s="6">
        <v>0.58121239550609605</v>
      </c>
      <c r="K2519" s="6">
        <v>0.60348020787262302</v>
      </c>
      <c r="L2519">
        <v>1.0561924048215501</v>
      </c>
      <c r="M2519">
        <v>0.96470866349043605</v>
      </c>
    </row>
    <row r="2520" spans="1:13" x14ac:dyDescent="0.25">
      <c r="A2520">
        <v>835</v>
      </c>
      <c r="B2520" t="str">
        <f>"CHML"</f>
        <v>CHML</v>
      </c>
      <c r="C2520" t="str">
        <f>""</f>
        <v/>
      </c>
      <c r="D2520">
        <v>74.070999999999998</v>
      </c>
      <c r="E2520">
        <v>1.7</v>
      </c>
      <c r="F2520">
        <v>1</v>
      </c>
      <c r="G2520">
        <v>1</v>
      </c>
      <c r="H2520">
        <v>1</v>
      </c>
      <c r="I2520" s="7">
        <v>0.56083181339430199</v>
      </c>
      <c r="J2520" s="6">
        <v>0.58121239550609605</v>
      </c>
      <c r="K2520" s="6">
        <v>0.60348020787262302</v>
      </c>
      <c r="L2520">
        <v>1.0561924048215501</v>
      </c>
      <c r="M2520">
        <v>0.96470866349043605</v>
      </c>
    </row>
    <row r="2521" spans="1:13" x14ac:dyDescent="0.25">
      <c r="A2521">
        <v>940</v>
      </c>
      <c r="B2521" t="str">
        <f>"CTNNA1;CTNNA2"</f>
        <v>CTNNA1;CTNNA2</v>
      </c>
      <c r="C2521" t="str">
        <f>""</f>
        <v/>
      </c>
      <c r="D2521">
        <v>100.07</v>
      </c>
      <c r="E2521">
        <v>2.1</v>
      </c>
      <c r="F2521">
        <v>1</v>
      </c>
      <c r="G2521">
        <v>1</v>
      </c>
      <c r="H2521">
        <v>1</v>
      </c>
      <c r="I2521" s="7">
        <v>0.56083181339430199</v>
      </c>
      <c r="J2521" s="6">
        <v>0.58121239550609605</v>
      </c>
      <c r="K2521" s="6">
        <v>0.60348020787262302</v>
      </c>
      <c r="L2521">
        <v>1.0561924048215501</v>
      </c>
      <c r="M2521">
        <v>0.96470866349043605</v>
      </c>
    </row>
    <row r="2522" spans="1:13" x14ac:dyDescent="0.25">
      <c r="A2522">
        <v>990</v>
      </c>
      <c r="B2522" t="str">
        <f>"ANP32A;ANP32C"</f>
        <v>ANP32A;ANP32C</v>
      </c>
      <c r="C2522" t="str">
        <f>""</f>
        <v/>
      </c>
      <c r="D2522">
        <v>28.585000000000001</v>
      </c>
      <c r="E2522">
        <v>9.6</v>
      </c>
      <c r="F2522">
        <v>1</v>
      </c>
      <c r="G2522">
        <v>1</v>
      </c>
      <c r="H2522">
        <v>1</v>
      </c>
      <c r="I2522" s="7">
        <v>0.56083181339430199</v>
      </c>
      <c r="J2522" s="6">
        <v>0.58121239550609605</v>
      </c>
      <c r="K2522" s="6">
        <v>0.60348020787262302</v>
      </c>
      <c r="L2522">
        <v>1.0561924048215501</v>
      </c>
      <c r="M2522">
        <v>0.96470866349043605</v>
      </c>
    </row>
    <row r="2523" spans="1:13" x14ac:dyDescent="0.25">
      <c r="A2523">
        <v>997</v>
      </c>
      <c r="B2523" t="str">
        <f>"PBX2;PBX1"</f>
        <v>PBX2;PBX1</v>
      </c>
      <c r="C2523" t="str">
        <f>""</f>
        <v/>
      </c>
      <c r="D2523">
        <v>45.881</v>
      </c>
      <c r="E2523">
        <v>6</v>
      </c>
      <c r="F2523">
        <v>1</v>
      </c>
      <c r="G2523">
        <v>1</v>
      </c>
      <c r="H2523">
        <v>1</v>
      </c>
      <c r="I2523" s="7">
        <v>0.56083181339430199</v>
      </c>
      <c r="J2523" s="6">
        <v>0.58121239550609605</v>
      </c>
      <c r="K2523" s="6">
        <v>0.60348020787262302</v>
      </c>
      <c r="L2523">
        <v>1.0561924048215501</v>
      </c>
      <c r="M2523">
        <v>0.96470866349043605</v>
      </c>
    </row>
    <row r="2524" spans="1:13" x14ac:dyDescent="0.25">
      <c r="A2524">
        <v>1021</v>
      </c>
      <c r="B2524" t="str">
        <f>"EPS15"</f>
        <v>EPS15</v>
      </c>
      <c r="C2524" t="str">
        <f>""</f>
        <v/>
      </c>
      <c r="D2524">
        <v>64.375</v>
      </c>
      <c r="E2524">
        <v>4.3</v>
      </c>
      <c r="F2524">
        <v>1</v>
      </c>
      <c r="G2524">
        <v>1</v>
      </c>
      <c r="H2524">
        <v>1</v>
      </c>
      <c r="I2524" s="7">
        <v>0.56083181339430199</v>
      </c>
      <c r="J2524" s="6">
        <v>0.58121239550609605</v>
      </c>
      <c r="K2524" s="6">
        <v>0.60348020787262302</v>
      </c>
      <c r="L2524">
        <v>1.0561924048215501</v>
      </c>
      <c r="M2524">
        <v>0.96470866349043605</v>
      </c>
    </row>
    <row r="2525" spans="1:13" x14ac:dyDescent="0.25">
      <c r="A2525">
        <v>1113</v>
      </c>
      <c r="B2525" t="str">
        <f>"PSMB2"</f>
        <v>PSMB2</v>
      </c>
      <c r="C2525" t="str">
        <f>""</f>
        <v/>
      </c>
      <c r="D2525">
        <v>22.835999999999999</v>
      </c>
      <c r="E2525">
        <v>9.5</v>
      </c>
      <c r="F2525">
        <v>1</v>
      </c>
      <c r="G2525">
        <v>1</v>
      </c>
      <c r="H2525">
        <v>1</v>
      </c>
      <c r="I2525" s="7">
        <v>0.56083181339430199</v>
      </c>
      <c r="J2525" s="6">
        <v>0.58121239550609605</v>
      </c>
      <c r="K2525" s="6">
        <v>0.60348020787262302</v>
      </c>
      <c r="L2525">
        <v>1.0561924048215501</v>
      </c>
      <c r="M2525">
        <v>0.96470866349043605</v>
      </c>
    </row>
    <row r="2526" spans="1:13" x14ac:dyDescent="0.25">
      <c r="A2526">
        <v>1132</v>
      </c>
      <c r="B2526" t="str">
        <f>"EMD"</f>
        <v>EMD</v>
      </c>
      <c r="C2526" t="str">
        <f>""</f>
        <v/>
      </c>
      <c r="D2526">
        <v>28.994</v>
      </c>
      <c r="E2526">
        <v>18.100000000000001</v>
      </c>
      <c r="F2526">
        <v>1</v>
      </c>
      <c r="G2526">
        <v>1</v>
      </c>
      <c r="H2526">
        <v>1</v>
      </c>
      <c r="I2526" s="7">
        <v>0.56083181339430199</v>
      </c>
      <c r="J2526" s="6">
        <v>0.58121239550609605</v>
      </c>
      <c r="K2526" s="6">
        <v>0.60348020787262302</v>
      </c>
      <c r="L2526">
        <v>1.0561924048215501</v>
      </c>
      <c r="M2526">
        <v>0.96470866349043605</v>
      </c>
    </row>
    <row r="2527" spans="1:13" x14ac:dyDescent="0.25">
      <c r="A2527">
        <v>1164</v>
      </c>
      <c r="B2527" t="str">
        <f>"ALDH5A1"</f>
        <v>ALDH5A1</v>
      </c>
      <c r="C2527" t="str">
        <f>""</f>
        <v/>
      </c>
      <c r="D2527">
        <v>57.213999999999999</v>
      </c>
      <c r="E2527">
        <v>2.1</v>
      </c>
      <c r="F2527">
        <v>1</v>
      </c>
      <c r="G2527">
        <v>1</v>
      </c>
      <c r="H2527">
        <v>1</v>
      </c>
      <c r="I2527" s="7">
        <v>0.56083181339430199</v>
      </c>
      <c r="J2527" s="6">
        <v>0.58121239550609605</v>
      </c>
      <c r="K2527" s="6">
        <v>0.60348020787262302</v>
      </c>
      <c r="L2527">
        <v>1.0561924048215501</v>
      </c>
      <c r="M2527">
        <v>0.96470866349043605</v>
      </c>
    </row>
    <row r="2528" spans="1:13" x14ac:dyDescent="0.25">
      <c r="A2528">
        <v>1168</v>
      </c>
      <c r="B2528" t="str">
        <f>"DYNLT3"</f>
        <v>DYNLT3</v>
      </c>
      <c r="C2528" t="str">
        <f>""</f>
        <v/>
      </c>
      <c r="D2528">
        <v>13.061999999999999</v>
      </c>
      <c r="E2528">
        <v>23.3</v>
      </c>
      <c r="F2528">
        <v>1</v>
      </c>
      <c r="G2528">
        <v>1</v>
      </c>
      <c r="H2528">
        <v>1</v>
      </c>
      <c r="I2528" s="7">
        <v>0.56083181339430199</v>
      </c>
      <c r="J2528" s="6">
        <v>0.58121239550609605</v>
      </c>
      <c r="K2528" s="6">
        <v>0.60348020787262302</v>
      </c>
      <c r="L2528">
        <v>1.0561924048215501</v>
      </c>
      <c r="M2528">
        <v>0.96470866349043605</v>
      </c>
    </row>
    <row r="2529" spans="1:13" x14ac:dyDescent="0.25">
      <c r="A2529">
        <v>1177</v>
      </c>
      <c r="B2529" t="str">
        <f>"KPNA1"</f>
        <v>KPNA1</v>
      </c>
      <c r="C2529" t="str">
        <f>""</f>
        <v/>
      </c>
      <c r="D2529">
        <v>60.220999999999997</v>
      </c>
      <c r="E2529">
        <v>8.4</v>
      </c>
      <c r="F2529">
        <v>1</v>
      </c>
      <c r="G2529">
        <v>1</v>
      </c>
      <c r="H2529">
        <v>1</v>
      </c>
      <c r="I2529" s="7">
        <v>0.56083181339430199</v>
      </c>
      <c r="J2529" s="6">
        <v>0.58121239550609605</v>
      </c>
      <c r="K2529" s="6">
        <v>0.60348020787262302</v>
      </c>
      <c r="L2529">
        <v>1.0561924048215501</v>
      </c>
      <c r="M2529">
        <v>0.96470866349043605</v>
      </c>
    </row>
    <row r="2530" spans="1:13" x14ac:dyDescent="0.25">
      <c r="A2530">
        <v>1225</v>
      </c>
      <c r="B2530" t="str">
        <f>"EIF5"</f>
        <v>EIF5</v>
      </c>
      <c r="C2530" t="str">
        <f>""</f>
        <v/>
      </c>
      <c r="D2530">
        <v>49.222000000000001</v>
      </c>
      <c r="E2530">
        <v>11.1</v>
      </c>
      <c r="F2530">
        <v>1</v>
      </c>
      <c r="G2530">
        <v>1</v>
      </c>
      <c r="H2530">
        <v>1</v>
      </c>
      <c r="I2530" s="7">
        <v>0.56083181339430199</v>
      </c>
      <c r="J2530" s="6">
        <v>0.58121239550609605</v>
      </c>
      <c r="K2530" s="6">
        <v>0.60348020787262302</v>
      </c>
      <c r="L2530">
        <v>1.0561924048215501</v>
      </c>
      <c r="M2530">
        <v>0.96470866349043605</v>
      </c>
    </row>
    <row r="2531" spans="1:13" x14ac:dyDescent="0.25">
      <c r="A2531">
        <v>1241</v>
      </c>
      <c r="B2531" t="str">
        <f>"GFER"</f>
        <v>GFER</v>
      </c>
      <c r="C2531" t="str">
        <f>""</f>
        <v/>
      </c>
      <c r="D2531">
        <v>23.449000000000002</v>
      </c>
      <c r="E2531">
        <v>12.2</v>
      </c>
      <c r="F2531">
        <v>1</v>
      </c>
      <c r="G2531">
        <v>1</v>
      </c>
      <c r="H2531">
        <v>1</v>
      </c>
      <c r="I2531" s="7">
        <v>0.56083181339430199</v>
      </c>
      <c r="J2531" s="6">
        <v>0.58121239550609605</v>
      </c>
      <c r="K2531" s="6">
        <v>0.60348020787262302</v>
      </c>
      <c r="L2531">
        <v>1.0561924048215501</v>
      </c>
      <c r="M2531">
        <v>0.96470866349043605</v>
      </c>
    </row>
    <row r="2532" spans="1:13" x14ac:dyDescent="0.25">
      <c r="A2532">
        <v>1266</v>
      </c>
      <c r="B2532" t="str">
        <f>"RPS20"</f>
        <v>RPS20</v>
      </c>
      <c r="C2532" t="str">
        <f>""</f>
        <v/>
      </c>
      <c r="D2532">
        <v>13.372999999999999</v>
      </c>
      <c r="E2532">
        <v>12.6</v>
      </c>
      <c r="F2532">
        <v>1</v>
      </c>
      <c r="G2532">
        <v>1</v>
      </c>
      <c r="H2532">
        <v>1</v>
      </c>
      <c r="I2532" s="7">
        <v>0.56083181339430199</v>
      </c>
      <c r="J2532" s="6">
        <v>0.58121239550609605</v>
      </c>
      <c r="K2532" s="6">
        <v>0.60348020787262302</v>
      </c>
      <c r="L2532">
        <v>1.0561924048215501</v>
      </c>
      <c r="M2532">
        <v>0.96470866349043605</v>
      </c>
    </row>
    <row r="2533" spans="1:13" x14ac:dyDescent="0.25">
      <c r="A2533">
        <v>1285</v>
      </c>
      <c r="B2533" t="str">
        <f>"RPL26L1;RPL26"</f>
        <v>RPL26L1;RPL26</v>
      </c>
      <c r="C2533" t="str">
        <f>""</f>
        <v/>
      </c>
      <c r="D2533">
        <v>17.256</v>
      </c>
      <c r="E2533">
        <v>10.3</v>
      </c>
      <c r="F2533">
        <v>1</v>
      </c>
      <c r="G2533">
        <v>1</v>
      </c>
      <c r="H2533">
        <v>1</v>
      </c>
      <c r="I2533" s="7">
        <v>0.56083181339430199</v>
      </c>
      <c r="J2533" s="6">
        <v>0.58121239550609605</v>
      </c>
      <c r="K2533" s="6">
        <v>0.60348020787262302</v>
      </c>
      <c r="L2533">
        <v>1.0561924048215501</v>
      </c>
      <c r="M2533">
        <v>0.96470866349043605</v>
      </c>
    </row>
    <row r="2534" spans="1:13" x14ac:dyDescent="0.25">
      <c r="A2534">
        <v>1322</v>
      </c>
      <c r="B2534" t="str">
        <f>"SELT"</f>
        <v>SELT</v>
      </c>
      <c r="C2534" t="str">
        <f>""</f>
        <v/>
      </c>
      <c r="D2534">
        <v>22.324000000000002</v>
      </c>
      <c r="E2534">
        <v>6.7</v>
      </c>
      <c r="F2534">
        <v>1</v>
      </c>
      <c r="G2534">
        <v>1</v>
      </c>
      <c r="H2534">
        <v>1</v>
      </c>
      <c r="I2534" s="7">
        <v>0.56083181339430199</v>
      </c>
      <c r="J2534" s="6">
        <v>0.58121239550609605</v>
      </c>
      <c r="K2534" s="6">
        <v>0.60348020787262302</v>
      </c>
      <c r="L2534">
        <v>1.0561924048215501</v>
      </c>
      <c r="M2534">
        <v>0.96470866349043605</v>
      </c>
    </row>
    <row r="2535" spans="1:13" x14ac:dyDescent="0.25">
      <c r="A2535">
        <v>1410</v>
      </c>
      <c r="B2535" t="str">
        <f>"CDK16;CDK18;CDK17"</f>
        <v>CDK16;CDK18;CDK17</v>
      </c>
      <c r="C2535" t="str">
        <f>"CDK16;CDK18;CDK17"</f>
        <v>CDK16;CDK18;CDK17</v>
      </c>
      <c r="D2535">
        <v>55.715000000000003</v>
      </c>
      <c r="E2535">
        <v>4.5999999999999996</v>
      </c>
      <c r="F2535">
        <v>1</v>
      </c>
      <c r="G2535">
        <v>1</v>
      </c>
      <c r="H2535">
        <v>1</v>
      </c>
      <c r="I2535" s="7">
        <v>0.56083181339430199</v>
      </c>
      <c r="J2535" s="6">
        <v>0.58121239550609605</v>
      </c>
      <c r="K2535" s="6">
        <v>0.60348020787262302</v>
      </c>
      <c r="L2535">
        <v>1.0561924048215501</v>
      </c>
      <c r="M2535">
        <v>0.96470866349043605</v>
      </c>
    </row>
    <row r="2536" spans="1:13" x14ac:dyDescent="0.25">
      <c r="A2536">
        <v>1429</v>
      </c>
      <c r="B2536" t="str">
        <f>"PFKP"</f>
        <v>PFKP</v>
      </c>
      <c r="C2536" t="str">
        <f>""</f>
        <v/>
      </c>
      <c r="D2536">
        <v>85.594999999999999</v>
      </c>
      <c r="E2536">
        <v>3.8</v>
      </c>
      <c r="F2536">
        <v>1</v>
      </c>
      <c r="G2536">
        <v>1</v>
      </c>
      <c r="H2536">
        <v>1</v>
      </c>
      <c r="I2536" s="7">
        <v>0.56083181339430199</v>
      </c>
      <c r="J2536" s="6">
        <v>0.58121239550609605</v>
      </c>
      <c r="K2536" s="6">
        <v>0.60348020787262302</v>
      </c>
      <c r="L2536">
        <v>1.0561924048215501</v>
      </c>
      <c r="M2536">
        <v>0.96470866349043605</v>
      </c>
    </row>
    <row r="2537" spans="1:13" x14ac:dyDescent="0.25">
      <c r="A2537">
        <v>1450</v>
      </c>
      <c r="B2537" t="str">
        <f>"TLE3"</f>
        <v>TLE3</v>
      </c>
      <c r="C2537" t="str">
        <f>""</f>
        <v/>
      </c>
      <c r="D2537">
        <v>82.221000000000004</v>
      </c>
      <c r="E2537">
        <v>3.4</v>
      </c>
      <c r="F2537">
        <v>1</v>
      </c>
      <c r="G2537">
        <v>1</v>
      </c>
      <c r="H2537">
        <v>1</v>
      </c>
      <c r="I2537" s="7">
        <v>0.56083181339430199</v>
      </c>
      <c r="J2537" s="6">
        <v>0.58121239550609605</v>
      </c>
      <c r="K2537" s="6">
        <v>0.60348020787262302</v>
      </c>
      <c r="L2537">
        <v>1.0561924048215501</v>
      </c>
      <c r="M2537">
        <v>0.96470866349043605</v>
      </c>
    </row>
    <row r="2538" spans="1:13" x14ac:dyDescent="0.25">
      <c r="A2538">
        <v>1455</v>
      </c>
      <c r="B2538" t="str">
        <f>"UBE3A"</f>
        <v>UBE3A</v>
      </c>
      <c r="C2538" t="str">
        <f>""</f>
        <v/>
      </c>
      <c r="D2538">
        <v>97.966999999999999</v>
      </c>
      <c r="E2538">
        <v>1.1000000000000001</v>
      </c>
      <c r="F2538">
        <v>1</v>
      </c>
      <c r="G2538">
        <v>1</v>
      </c>
      <c r="H2538">
        <v>1</v>
      </c>
      <c r="I2538" s="7">
        <v>0.56083181339430199</v>
      </c>
      <c r="J2538" s="6">
        <v>0.58121239550609605</v>
      </c>
      <c r="K2538" s="6">
        <v>0.60348020787262302</v>
      </c>
      <c r="L2538">
        <v>1.0561924048215501</v>
      </c>
      <c r="M2538">
        <v>0.96470866349043605</v>
      </c>
    </row>
    <row r="2539" spans="1:13" x14ac:dyDescent="0.25">
      <c r="A2539">
        <v>1464</v>
      </c>
      <c r="B2539" t="str">
        <f>"PPAT"</f>
        <v>PPAT</v>
      </c>
      <c r="C2539" t="str">
        <f>""</f>
        <v/>
      </c>
      <c r="D2539">
        <v>57.398000000000003</v>
      </c>
      <c r="E2539">
        <v>2.2999999999999998</v>
      </c>
      <c r="F2539">
        <v>1</v>
      </c>
      <c r="G2539">
        <v>1</v>
      </c>
      <c r="H2539">
        <v>1</v>
      </c>
      <c r="I2539" s="7">
        <v>0.56083181339430199</v>
      </c>
      <c r="J2539" s="6">
        <v>0.58121239550609605</v>
      </c>
      <c r="K2539" s="6">
        <v>0.60348020787262302</v>
      </c>
      <c r="L2539">
        <v>1.0561924048215501</v>
      </c>
      <c r="M2539">
        <v>0.96470866349043605</v>
      </c>
    </row>
    <row r="2540" spans="1:13" x14ac:dyDescent="0.25">
      <c r="A2540">
        <v>1513</v>
      </c>
      <c r="B2540" t="str">
        <f>"GRSF1"</f>
        <v>GRSF1</v>
      </c>
      <c r="C2540" t="str">
        <f>""</f>
        <v/>
      </c>
      <c r="D2540">
        <v>36.613</v>
      </c>
      <c r="E2540">
        <v>6</v>
      </c>
      <c r="F2540">
        <v>1</v>
      </c>
      <c r="G2540">
        <v>1</v>
      </c>
      <c r="H2540">
        <v>1</v>
      </c>
      <c r="I2540" s="7">
        <v>0.56083181339430199</v>
      </c>
      <c r="J2540" s="6">
        <v>0.58121239550609605</v>
      </c>
      <c r="K2540" s="6">
        <v>0.60348020787262302</v>
      </c>
      <c r="L2540">
        <v>1.0561924048215501</v>
      </c>
      <c r="M2540">
        <v>0.96470866349043605</v>
      </c>
    </row>
    <row r="2541" spans="1:13" x14ac:dyDescent="0.25">
      <c r="A2541">
        <v>1522</v>
      </c>
      <c r="B2541" t="str">
        <f>"TRAF2"</f>
        <v>TRAF2</v>
      </c>
      <c r="C2541" t="str">
        <f>""</f>
        <v/>
      </c>
      <c r="D2541">
        <v>53.055</v>
      </c>
      <c r="E2541">
        <v>2.2999999999999998</v>
      </c>
      <c r="F2541">
        <v>1</v>
      </c>
      <c r="G2541">
        <v>1</v>
      </c>
      <c r="H2541">
        <v>1</v>
      </c>
      <c r="I2541" s="7">
        <v>0.56083181339430199</v>
      </c>
      <c r="J2541" s="6">
        <v>0.58121239550609605</v>
      </c>
      <c r="K2541" s="6">
        <v>0.60348020787262302</v>
      </c>
      <c r="L2541">
        <v>1.0561924048215501</v>
      </c>
      <c r="M2541">
        <v>0.96470866349043605</v>
      </c>
    </row>
    <row r="2542" spans="1:13" x14ac:dyDescent="0.25">
      <c r="A2542">
        <v>1534</v>
      </c>
      <c r="B2542" t="str">
        <f>"MRPL28"</f>
        <v>MRPL28</v>
      </c>
      <c r="C2542" t="str">
        <f>""</f>
        <v/>
      </c>
      <c r="D2542">
        <v>30.155999999999999</v>
      </c>
      <c r="E2542">
        <v>8.6</v>
      </c>
      <c r="F2542">
        <v>1</v>
      </c>
      <c r="G2542">
        <v>1</v>
      </c>
      <c r="H2542">
        <v>1</v>
      </c>
      <c r="I2542" s="7">
        <v>0.56083181339430199</v>
      </c>
      <c r="J2542" s="6">
        <v>0.58121239550609605</v>
      </c>
      <c r="K2542" s="6">
        <v>0.60348020787262302</v>
      </c>
      <c r="L2542">
        <v>1.0561924048215501</v>
      </c>
      <c r="M2542">
        <v>0.96470866349043605</v>
      </c>
    </row>
    <row r="2543" spans="1:13" x14ac:dyDescent="0.25">
      <c r="A2543">
        <v>1569</v>
      </c>
      <c r="B2543" t="str">
        <f>"SNTB2"</f>
        <v>SNTB2</v>
      </c>
      <c r="C2543" t="str">
        <f>""</f>
        <v/>
      </c>
      <c r="D2543">
        <v>27.675999999999998</v>
      </c>
      <c r="E2543">
        <v>4.0999999999999996</v>
      </c>
      <c r="F2543">
        <v>1</v>
      </c>
      <c r="G2543">
        <v>1</v>
      </c>
      <c r="H2543">
        <v>1</v>
      </c>
      <c r="I2543" s="7">
        <v>0.56083181339430199</v>
      </c>
      <c r="J2543" s="6">
        <v>0.58121239550609605</v>
      </c>
      <c r="K2543" s="6">
        <v>0.60348020787262302</v>
      </c>
      <c r="L2543">
        <v>1.0561924048215501</v>
      </c>
      <c r="M2543">
        <v>0.96470866349043605</v>
      </c>
    </row>
    <row r="2544" spans="1:13" x14ac:dyDescent="0.25">
      <c r="A2544">
        <v>1629</v>
      </c>
      <c r="B2544" t="str">
        <f>"TTLL12"</f>
        <v>TTLL12</v>
      </c>
      <c r="C2544" t="str">
        <f>""</f>
        <v/>
      </c>
      <c r="D2544">
        <v>74.403000000000006</v>
      </c>
      <c r="E2544">
        <v>2.5</v>
      </c>
      <c r="F2544">
        <v>1</v>
      </c>
      <c r="G2544">
        <v>1</v>
      </c>
      <c r="H2544">
        <v>1</v>
      </c>
      <c r="I2544" s="7">
        <v>0.56083181339430199</v>
      </c>
      <c r="J2544" s="6">
        <v>0.58121239550609605</v>
      </c>
      <c r="K2544" s="6">
        <v>0.60348020787262302</v>
      </c>
      <c r="L2544">
        <v>1.0561924048215501</v>
      </c>
      <c r="M2544">
        <v>0.96470866349043605</v>
      </c>
    </row>
    <row r="2545" spans="1:13" x14ac:dyDescent="0.25">
      <c r="A2545">
        <v>1676</v>
      </c>
      <c r="B2545" t="str">
        <f>"NOLC1"</f>
        <v>NOLC1</v>
      </c>
      <c r="C2545" t="str">
        <f>""</f>
        <v/>
      </c>
      <c r="D2545">
        <v>73.602000000000004</v>
      </c>
      <c r="E2545">
        <v>1.6</v>
      </c>
      <c r="F2545">
        <v>1</v>
      </c>
      <c r="G2545">
        <v>1</v>
      </c>
      <c r="H2545">
        <v>1</v>
      </c>
      <c r="I2545" s="7">
        <v>0.56083181339430199</v>
      </c>
      <c r="J2545" s="6">
        <v>0.58121239550609605</v>
      </c>
      <c r="K2545" s="6">
        <v>0.60348020787262302</v>
      </c>
      <c r="L2545">
        <v>1.0561924048215501</v>
      </c>
      <c r="M2545">
        <v>0.96470866349043605</v>
      </c>
    </row>
    <row r="2546" spans="1:13" x14ac:dyDescent="0.25">
      <c r="A2546">
        <v>1684</v>
      </c>
      <c r="B2546" t="str">
        <f>"EMC2"</f>
        <v>EMC2</v>
      </c>
      <c r="C2546" t="str">
        <f>""</f>
        <v/>
      </c>
      <c r="D2546">
        <v>34.832999999999998</v>
      </c>
      <c r="E2546">
        <v>7.4</v>
      </c>
      <c r="F2546">
        <v>1</v>
      </c>
      <c r="G2546">
        <v>1</v>
      </c>
      <c r="H2546">
        <v>1</v>
      </c>
      <c r="I2546" s="7">
        <v>0.56083181339430199</v>
      </c>
      <c r="J2546" s="6">
        <v>0.58121239550609605</v>
      </c>
      <c r="K2546" s="6">
        <v>0.60348020787262302</v>
      </c>
      <c r="L2546">
        <v>1.0561924048215501</v>
      </c>
      <c r="M2546">
        <v>0.96470866349043605</v>
      </c>
    </row>
    <row r="2547" spans="1:13" x14ac:dyDescent="0.25">
      <c r="A2547">
        <v>1692</v>
      </c>
      <c r="B2547" t="str">
        <f>"SUZ12"</f>
        <v>SUZ12</v>
      </c>
      <c r="C2547" t="str">
        <f>""</f>
        <v/>
      </c>
      <c r="D2547">
        <v>83.054000000000002</v>
      </c>
      <c r="E2547">
        <v>1.6</v>
      </c>
      <c r="F2547">
        <v>1</v>
      </c>
      <c r="G2547">
        <v>1</v>
      </c>
      <c r="H2547">
        <v>1</v>
      </c>
      <c r="I2547" s="7">
        <v>0.56083181339430199</v>
      </c>
      <c r="J2547" s="6">
        <v>0.58121239550609605</v>
      </c>
      <c r="K2547" s="6">
        <v>0.60348020787262302</v>
      </c>
      <c r="L2547">
        <v>1.0561924048215501</v>
      </c>
      <c r="M2547">
        <v>0.96470866349043605</v>
      </c>
    </row>
    <row r="2548" spans="1:13" x14ac:dyDescent="0.25">
      <c r="A2548">
        <v>1701</v>
      </c>
      <c r="B2548" t="str">
        <f>"ACOX1"</f>
        <v>ACOX1</v>
      </c>
      <c r="C2548" t="str">
        <f>""</f>
        <v/>
      </c>
      <c r="D2548">
        <v>70.135000000000005</v>
      </c>
      <c r="E2548">
        <v>3.1</v>
      </c>
      <c r="F2548">
        <v>1</v>
      </c>
      <c r="G2548">
        <v>1</v>
      </c>
      <c r="H2548">
        <v>1</v>
      </c>
      <c r="I2548" s="7">
        <v>0.56083181339430199</v>
      </c>
      <c r="J2548" s="6">
        <v>0.58121239550609605</v>
      </c>
      <c r="K2548" s="6">
        <v>0.60348020787262302</v>
      </c>
      <c r="L2548">
        <v>1.0561924048215501</v>
      </c>
      <c r="M2548">
        <v>0.96470866349043605</v>
      </c>
    </row>
    <row r="2549" spans="1:13" x14ac:dyDescent="0.25">
      <c r="A2549">
        <v>1741</v>
      </c>
      <c r="B2549" t="str">
        <f>"JMJD1C"</f>
        <v>JMJD1C</v>
      </c>
      <c r="C2549" t="str">
        <f>""</f>
        <v/>
      </c>
      <c r="D2549">
        <v>263.14999999999998</v>
      </c>
      <c r="E2549">
        <v>0.3</v>
      </c>
      <c r="F2549">
        <v>1</v>
      </c>
      <c r="G2549">
        <v>1</v>
      </c>
      <c r="H2549">
        <v>1</v>
      </c>
      <c r="I2549" s="7">
        <v>0.56083181339430199</v>
      </c>
      <c r="J2549" s="6">
        <v>0.58121239550609605</v>
      </c>
      <c r="K2549" s="6">
        <v>0.60348020787262302</v>
      </c>
      <c r="L2549">
        <v>1.0561924048215501</v>
      </c>
      <c r="M2549">
        <v>0.96470866349043605</v>
      </c>
    </row>
    <row r="2550" spans="1:13" x14ac:dyDescent="0.25">
      <c r="A2550">
        <v>1802</v>
      </c>
      <c r="B2550" t="str">
        <f>"LEPRE1"</f>
        <v>LEPRE1</v>
      </c>
      <c r="C2550" t="str">
        <f>""</f>
        <v/>
      </c>
      <c r="D2550">
        <v>78.921000000000006</v>
      </c>
      <c r="E2550">
        <v>3.9</v>
      </c>
      <c r="F2550">
        <v>1</v>
      </c>
      <c r="G2550">
        <v>1</v>
      </c>
      <c r="H2550">
        <v>1</v>
      </c>
      <c r="I2550" s="7">
        <v>0.56083181339430199</v>
      </c>
      <c r="J2550" s="6">
        <v>0.58121239550609605</v>
      </c>
      <c r="K2550" s="6">
        <v>0.60348020787262302</v>
      </c>
      <c r="L2550">
        <v>1.0561924048215501</v>
      </c>
      <c r="M2550">
        <v>0.96470866349043605</v>
      </c>
    </row>
    <row r="2551" spans="1:13" x14ac:dyDescent="0.25">
      <c r="A2551">
        <v>1804</v>
      </c>
      <c r="B2551" t="str">
        <f>"EML3"</f>
        <v>EML3</v>
      </c>
      <c r="C2551" t="str">
        <f>""</f>
        <v/>
      </c>
      <c r="D2551">
        <v>95.195999999999998</v>
      </c>
      <c r="E2551">
        <v>1.8</v>
      </c>
      <c r="F2551">
        <v>1</v>
      </c>
      <c r="G2551">
        <v>1</v>
      </c>
      <c r="H2551">
        <v>1</v>
      </c>
      <c r="I2551" s="7">
        <v>0.56083181339430199</v>
      </c>
      <c r="J2551" s="6">
        <v>0.58121239550609605</v>
      </c>
      <c r="K2551" s="6">
        <v>0.60348020787262302</v>
      </c>
      <c r="L2551">
        <v>1.0561924048215501</v>
      </c>
      <c r="M2551">
        <v>0.96470866349043605</v>
      </c>
    </row>
    <row r="2552" spans="1:13" x14ac:dyDescent="0.25">
      <c r="A2552">
        <v>1806</v>
      </c>
      <c r="B2552" t="str">
        <f>"MAP7D1"</f>
        <v>MAP7D1</v>
      </c>
      <c r="C2552" t="str">
        <f>""</f>
        <v/>
      </c>
      <c r="D2552">
        <v>42.103999999999999</v>
      </c>
      <c r="E2552">
        <v>5.3</v>
      </c>
      <c r="F2552">
        <v>1</v>
      </c>
      <c r="G2552">
        <v>1</v>
      </c>
      <c r="H2552">
        <v>1</v>
      </c>
      <c r="I2552" s="7">
        <v>0.56083181339430199</v>
      </c>
      <c r="J2552" s="6">
        <v>0.58121239550609605</v>
      </c>
      <c r="K2552" s="6">
        <v>0.60348020787262302</v>
      </c>
      <c r="L2552">
        <v>1.0561924048215501</v>
      </c>
      <c r="M2552">
        <v>0.96470866349043605</v>
      </c>
    </row>
    <row r="2553" spans="1:13" x14ac:dyDescent="0.25">
      <c r="A2553">
        <v>1988</v>
      </c>
      <c r="B2553" t="str">
        <f>"PAXIP1"</f>
        <v>PAXIP1</v>
      </c>
      <c r="C2553" t="str">
        <f>""</f>
        <v/>
      </c>
      <c r="D2553">
        <v>93.881</v>
      </c>
      <c r="E2553">
        <v>1.8</v>
      </c>
      <c r="F2553">
        <v>1</v>
      </c>
      <c r="G2553">
        <v>1</v>
      </c>
      <c r="H2553">
        <v>1</v>
      </c>
      <c r="I2553" s="7">
        <v>0.56083181339430199</v>
      </c>
      <c r="J2553" s="6">
        <v>0.58121239550609605</v>
      </c>
      <c r="K2553" s="6">
        <v>0.60348020787262302</v>
      </c>
      <c r="L2553">
        <v>1.0561924048215501</v>
      </c>
      <c r="M2553">
        <v>0.96470866349043605</v>
      </c>
    </row>
    <row r="2554" spans="1:13" x14ac:dyDescent="0.25">
      <c r="A2554">
        <v>2012</v>
      </c>
      <c r="B2554" t="str">
        <f>"PHF5A"</f>
        <v>PHF5A</v>
      </c>
      <c r="C2554" t="str">
        <f>""</f>
        <v/>
      </c>
      <c r="D2554">
        <v>12.404999999999999</v>
      </c>
      <c r="E2554">
        <v>11.8</v>
      </c>
      <c r="F2554">
        <v>1</v>
      </c>
      <c r="G2554">
        <v>1</v>
      </c>
      <c r="H2554">
        <v>1</v>
      </c>
      <c r="I2554" s="7">
        <v>0.56083181339430199</v>
      </c>
      <c r="J2554" s="6">
        <v>0.58121239550609605</v>
      </c>
      <c r="K2554" s="6">
        <v>0.60348020787262302</v>
      </c>
      <c r="L2554">
        <v>1.0561924048215501</v>
      </c>
      <c r="M2554">
        <v>0.96470866349043605</v>
      </c>
    </row>
    <row r="2555" spans="1:13" x14ac:dyDescent="0.25">
      <c r="A2555">
        <v>2025</v>
      </c>
      <c r="B2555" t="str">
        <f>"HAUS6"</f>
        <v>HAUS6</v>
      </c>
      <c r="C2555" t="str">
        <f>""</f>
        <v/>
      </c>
      <c r="D2555">
        <v>69.328000000000003</v>
      </c>
      <c r="E2555">
        <v>3.8</v>
      </c>
      <c r="F2555">
        <v>1</v>
      </c>
      <c r="G2555">
        <v>1</v>
      </c>
      <c r="H2555">
        <v>1</v>
      </c>
      <c r="I2555" s="7">
        <v>0.56083181339430199</v>
      </c>
      <c r="J2555" s="6">
        <v>0.58121239550609605</v>
      </c>
      <c r="K2555" s="6">
        <v>0.60348020787262302</v>
      </c>
      <c r="L2555">
        <v>1.0561924048215501</v>
      </c>
      <c r="M2555">
        <v>0.96470866349043605</v>
      </c>
    </row>
    <row r="2556" spans="1:13" x14ac:dyDescent="0.25">
      <c r="A2556">
        <v>2033</v>
      </c>
      <c r="B2556" t="str">
        <f>"RBBP6"</f>
        <v>RBBP6</v>
      </c>
      <c r="C2556" t="str">
        <f>""</f>
        <v/>
      </c>
      <c r="D2556">
        <v>13.234999999999999</v>
      </c>
      <c r="E2556">
        <v>11.9</v>
      </c>
      <c r="F2556">
        <v>1</v>
      </c>
      <c r="G2556">
        <v>1</v>
      </c>
      <c r="H2556">
        <v>1</v>
      </c>
      <c r="I2556" s="7">
        <v>0.56083181339430199</v>
      </c>
      <c r="J2556" s="6">
        <v>0.58121239550609605</v>
      </c>
      <c r="K2556" s="6">
        <v>0.60348020787262302</v>
      </c>
      <c r="L2556">
        <v>1.0561924048215501</v>
      </c>
      <c r="M2556">
        <v>0.96470866349043605</v>
      </c>
    </row>
    <row r="2557" spans="1:13" x14ac:dyDescent="0.25">
      <c r="A2557">
        <v>2036</v>
      </c>
      <c r="B2557" t="str">
        <f>"UBE2Q1"</f>
        <v>UBE2Q1</v>
      </c>
      <c r="C2557" t="str">
        <f>""</f>
        <v/>
      </c>
      <c r="D2557">
        <v>28.472000000000001</v>
      </c>
      <c r="E2557">
        <v>5.9</v>
      </c>
      <c r="F2557">
        <v>1</v>
      </c>
      <c r="G2557">
        <v>1</v>
      </c>
      <c r="H2557">
        <v>1</v>
      </c>
      <c r="I2557" s="7">
        <v>0.56083181339430199</v>
      </c>
      <c r="J2557" s="6">
        <v>0.58121239550609605</v>
      </c>
      <c r="K2557" s="6">
        <v>0.60348020787262302</v>
      </c>
      <c r="L2557">
        <v>1.0561924048215501</v>
      </c>
      <c r="M2557">
        <v>0.96470866349043605</v>
      </c>
    </row>
    <row r="2558" spans="1:13" x14ac:dyDescent="0.25">
      <c r="A2558">
        <v>2052</v>
      </c>
      <c r="B2558" t="str">
        <f>"ZNF598"</f>
        <v>ZNF598</v>
      </c>
      <c r="C2558" t="str">
        <f>""</f>
        <v/>
      </c>
      <c r="D2558">
        <v>97.805000000000007</v>
      </c>
      <c r="E2558">
        <v>4.0999999999999996</v>
      </c>
      <c r="F2558">
        <v>1</v>
      </c>
      <c r="G2558">
        <v>1</v>
      </c>
      <c r="H2558">
        <v>1</v>
      </c>
      <c r="I2558" s="7">
        <v>0.56083181339430199</v>
      </c>
      <c r="J2558" s="6">
        <v>0.58121239550609605</v>
      </c>
      <c r="K2558" s="6">
        <v>0.60348020787262302</v>
      </c>
      <c r="L2558">
        <v>1.0561924048215501</v>
      </c>
      <c r="M2558">
        <v>0.96470866349043605</v>
      </c>
    </row>
    <row r="2559" spans="1:13" x14ac:dyDescent="0.25">
      <c r="A2559">
        <v>2090</v>
      </c>
      <c r="B2559" t="str">
        <f>"WDFY1"</f>
        <v>WDFY1</v>
      </c>
      <c r="C2559" t="str">
        <f>""</f>
        <v/>
      </c>
      <c r="D2559">
        <v>46.323</v>
      </c>
      <c r="E2559">
        <v>6.1</v>
      </c>
      <c r="F2559">
        <v>1</v>
      </c>
      <c r="G2559">
        <v>1</v>
      </c>
      <c r="H2559">
        <v>1</v>
      </c>
      <c r="I2559" s="7">
        <v>0.56083181339430199</v>
      </c>
      <c r="J2559" s="6">
        <v>0.58121239550609605</v>
      </c>
      <c r="K2559" s="6">
        <v>0.60348020787262302</v>
      </c>
      <c r="L2559">
        <v>1.0561924048215501</v>
      </c>
      <c r="M2559">
        <v>0.96470866349043605</v>
      </c>
    </row>
    <row r="2560" spans="1:13" x14ac:dyDescent="0.25">
      <c r="A2560">
        <v>2101</v>
      </c>
      <c r="B2560" t="str">
        <f>"BAP18"</f>
        <v>BAP18</v>
      </c>
      <c r="C2560" t="str">
        <f>""</f>
        <v/>
      </c>
      <c r="D2560">
        <v>17.899999999999999</v>
      </c>
      <c r="E2560">
        <v>11.6</v>
      </c>
      <c r="F2560">
        <v>1</v>
      </c>
      <c r="G2560">
        <v>1</v>
      </c>
      <c r="H2560">
        <v>1</v>
      </c>
      <c r="I2560" s="7">
        <v>0.56083181339430199</v>
      </c>
      <c r="J2560" s="6">
        <v>0.58121239550609605</v>
      </c>
      <c r="K2560" s="6">
        <v>0.60348020787262302</v>
      </c>
      <c r="L2560">
        <v>1.0561924048215501</v>
      </c>
      <c r="M2560">
        <v>0.96470866349043605</v>
      </c>
    </row>
    <row r="2561" spans="1:13" x14ac:dyDescent="0.25">
      <c r="A2561">
        <v>2102</v>
      </c>
      <c r="B2561" t="str">
        <f>"GPALPP1"</f>
        <v>GPALPP1</v>
      </c>
      <c r="C2561" t="str">
        <f>""</f>
        <v/>
      </c>
      <c r="D2561">
        <v>19.806999999999999</v>
      </c>
      <c r="E2561">
        <v>7.1</v>
      </c>
      <c r="F2561">
        <v>1</v>
      </c>
      <c r="G2561">
        <v>1</v>
      </c>
      <c r="H2561">
        <v>1</v>
      </c>
      <c r="I2561" s="7">
        <v>0.56083181339430199</v>
      </c>
      <c r="J2561" s="6">
        <v>0.58121239550609605</v>
      </c>
      <c r="K2561" s="6">
        <v>0.60348020787262302</v>
      </c>
      <c r="L2561">
        <v>1.0561924048215501</v>
      </c>
      <c r="M2561">
        <v>0.96470866349043605</v>
      </c>
    </row>
    <row r="2562" spans="1:13" x14ac:dyDescent="0.25">
      <c r="A2562">
        <v>2103</v>
      </c>
      <c r="B2562" t="str">
        <f>"DHX37"</f>
        <v>DHX37</v>
      </c>
      <c r="C2562" t="str">
        <f>""</f>
        <v/>
      </c>
      <c r="D2562">
        <v>129.54</v>
      </c>
      <c r="E2562">
        <v>1</v>
      </c>
      <c r="F2562">
        <v>1</v>
      </c>
      <c r="G2562">
        <v>1</v>
      </c>
      <c r="H2562">
        <v>1</v>
      </c>
      <c r="I2562" s="7">
        <v>0.56083181339430199</v>
      </c>
      <c r="J2562" s="6">
        <v>0.58121239550609605</v>
      </c>
      <c r="K2562" s="6">
        <v>0.60348020787262302</v>
      </c>
      <c r="L2562">
        <v>1.0561924048215501</v>
      </c>
      <c r="M2562">
        <v>0.96470866349043605</v>
      </c>
    </row>
    <row r="2563" spans="1:13" x14ac:dyDescent="0.25">
      <c r="A2563">
        <v>2117</v>
      </c>
      <c r="B2563" t="str">
        <f>"RPUSD2"</f>
        <v>RPUSD2</v>
      </c>
      <c r="C2563" t="str">
        <f>""</f>
        <v/>
      </c>
      <c r="D2563">
        <v>54.097000000000001</v>
      </c>
      <c r="E2563">
        <v>4.3</v>
      </c>
      <c r="F2563">
        <v>1</v>
      </c>
      <c r="G2563">
        <v>1</v>
      </c>
      <c r="H2563">
        <v>1</v>
      </c>
      <c r="I2563" s="7">
        <v>0.56083181339430199</v>
      </c>
      <c r="J2563" s="6">
        <v>0.58121239550609605</v>
      </c>
      <c r="K2563" s="6">
        <v>0.60348020787262302</v>
      </c>
      <c r="L2563">
        <v>1.0561924048215501</v>
      </c>
      <c r="M2563">
        <v>0.96470866349043605</v>
      </c>
    </row>
    <row r="2564" spans="1:13" x14ac:dyDescent="0.25">
      <c r="A2564">
        <v>2126</v>
      </c>
      <c r="B2564" t="str">
        <f>"NDUFAF2"</f>
        <v>NDUFAF2</v>
      </c>
      <c r="C2564" t="str">
        <f>""</f>
        <v/>
      </c>
      <c r="D2564">
        <v>19.856000000000002</v>
      </c>
      <c r="E2564">
        <v>13</v>
      </c>
      <c r="F2564">
        <v>1</v>
      </c>
      <c r="G2564">
        <v>1</v>
      </c>
      <c r="H2564">
        <v>1</v>
      </c>
      <c r="I2564" s="7">
        <v>0.56083181339430199</v>
      </c>
      <c r="J2564" s="6">
        <v>0.58121239550609605</v>
      </c>
      <c r="K2564" s="6">
        <v>0.60348020787262302</v>
      </c>
      <c r="L2564">
        <v>1.0561924048215501</v>
      </c>
      <c r="M2564">
        <v>0.96470866349043605</v>
      </c>
    </row>
    <row r="2565" spans="1:13" x14ac:dyDescent="0.25">
      <c r="A2565">
        <v>2135</v>
      </c>
      <c r="B2565" t="str">
        <f>"CLASRP"</f>
        <v>CLASRP</v>
      </c>
      <c r="C2565" t="str">
        <f>""</f>
        <v/>
      </c>
      <c r="D2565">
        <v>66.353999999999999</v>
      </c>
      <c r="E2565">
        <v>2.4</v>
      </c>
      <c r="F2565">
        <v>1</v>
      </c>
      <c r="G2565">
        <v>1</v>
      </c>
      <c r="H2565">
        <v>1</v>
      </c>
      <c r="I2565" s="7">
        <v>0.56083181339430199</v>
      </c>
      <c r="J2565" s="6">
        <v>0.58121239550609605</v>
      </c>
      <c r="K2565" s="6">
        <v>0.60348020787262302</v>
      </c>
      <c r="L2565">
        <v>1.0561924048215501</v>
      </c>
      <c r="M2565">
        <v>0.96470866349043605</v>
      </c>
    </row>
    <row r="2566" spans="1:13" x14ac:dyDescent="0.25">
      <c r="A2566">
        <v>2178</v>
      </c>
      <c r="B2566" t="str">
        <f>"PDPR"</f>
        <v>PDPR</v>
      </c>
      <c r="C2566" t="str">
        <f>""</f>
        <v/>
      </c>
      <c r="D2566">
        <v>99.363</v>
      </c>
      <c r="E2566">
        <v>1</v>
      </c>
      <c r="F2566">
        <v>1</v>
      </c>
      <c r="G2566">
        <v>1</v>
      </c>
      <c r="H2566">
        <v>1</v>
      </c>
      <c r="I2566" s="7">
        <v>0.56083181339430199</v>
      </c>
      <c r="J2566" s="6">
        <v>0.58121239550609605</v>
      </c>
      <c r="K2566" s="6">
        <v>0.60348020787262302</v>
      </c>
      <c r="L2566">
        <v>1.0561924048215501</v>
      </c>
      <c r="M2566">
        <v>0.96470866349043605</v>
      </c>
    </row>
    <row r="2567" spans="1:13" x14ac:dyDescent="0.25">
      <c r="A2567">
        <v>2201</v>
      </c>
      <c r="B2567" t="str">
        <f>"TTL"</f>
        <v>TTL</v>
      </c>
      <c r="C2567" t="str">
        <f>""</f>
        <v/>
      </c>
      <c r="D2567">
        <v>43.212000000000003</v>
      </c>
      <c r="E2567">
        <v>3.2</v>
      </c>
      <c r="F2567">
        <v>1</v>
      </c>
      <c r="G2567">
        <v>1</v>
      </c>
      <c r="H2567">
        <v>1</v>
      </c>
      <c r="I2567" s="7">
        <v>0.56083181339430199</v>
      </c>
      <c r="J2567" s="6">
        <v>0.58121239550609605</v>
      </c>
      <c r="K2567" s="6">
        <v>0.60348020787262302</v>
      </c>
      <c r="L2567">
        <v>1.0561924048215501</v>
      </c>
      <c r="M2567">
        <v>0.96470866349043605</v>
      </c>
    </row>
    <row r="2568" spans="1:13" x14ac:dyDescent="0.25">
      <c r="A2568">
        <v>2224</v>
      </c>
      <c r="B2568" t="str">
        <f>"UTP15"</f>
        <v>UTP15</v>
      </c>
      <c r="C2568" t="str">
        <f>""</f>
        <v/>
      </c>
      <c r="D2568">
        <v>56.354999999999997</v>
      </c>
      <c r="E2568">
        <v>2.4</v>
      </c>
      <c r="F2568">
        <v>1</v>
      </c>
      <c r="G2568">
        <v>1</v>
      </c>
      <c r="H2568">
        <v>1</v>
      </c>
      <c r="I2568" s="7">
        <v>0.56083181339430199</v>
      </c>
      <c r="J2568" s="6">
        <v>0.58121239550609605</v>
      </c>
      <c r="K2568" s="6">
        <v>0.60348020787262302</v>
      </c>
      <c r="L2568">
        <v>1.0561924048215501</v>
      </c>
      <c r="M2568">
        <v>0.96470866349043605</v>
      </c>
    </row>
    <row r="2569" spans="1:13" x14ac:dyDescent="0.25">
      <c r="A2569">
        <v>2232</v>
      </c>
      <c r="B2569" t="str">
        <f>"SETD7"</f>
        <v>SETD7</v>
      </c>
      <c r="C2569" t="str">
        <f>""</f>
        <v/>
      </c>
      <c r="D2569">
        <v>40.72</v>
      </c>
      <c r="E2569">
        <v>3.8</v>
      </c>
      <c r="F2569">
        <v>1</v>
      </c>
      <c r="G2569">
        <v>1</v>
      </c>
      <c r="H2569">
        <v>1</v>
      </c>
      <c r="I2569" s="7">
        <v>0.56083181339430199</v>
      </c>
      <c r="J2569" s="6">
        <v>0.58121239550609605</v>
      </c>
      <c r="K2569" s="6">
        <v>0.60348020787262302</v>
      </c>
      <c r="L2569">
        <v>1.0561924048215501</v>
      </c>
      <c r="M2569">
        <v>0.96470866349043605</v>
      </c>
    </row>
    <row r="2570" spans="1:13" x14ac:dyDescent="0.25">
      <c r="A2570">
        <v>2237</v>
      </c>
      <c r="B2570" t="str">
        <f>"CCDC12"</f>
        <v>CCDC12</v>
      </c>
      <c r="C2570" t="str">
        <f>""</f>
        <v/>
      </c>
      <c r="D2570">
        <v>19.181000000000001</v>
      </c>
      <c r="E2570">
        <v>7.8</v>
      </c>
      <c r="F2570">
        <v>1</v>
      </c>
      <c r="G2570">
        <v>1</v>
      </c>
      <c r="H2570">
        <v>1</v>
      </c>
      <c r="I2570" s="7">
        <v>0.56083181339430199</v>
      </c>
      <c r="J2570" s="6">
        <v>0.58121239550609605</v>
      </c>
      <c r="K2570" s="6">
        <v>0.60348020787262302</v>
      </c>
      <c r="L2570">
        <v>1.0561924048215501</v>
      </c>
      <c r="M2570">
        <v>0.96470866349043605</v>
      </c>
    </row>
    <row r="2571" spans="1:13" x14ac:dyDescent="0.25">
      <c r="A2571">
        <v>2259</v>
      </c>
      <c r="B2571" t="str">
        <f>"CTNNBL1"</f>
        <v>CTNNBL1</v>
      </c>
      <c r="C2571" t="str">
        <f>""</f>
        <v/>
      </c>
      <c r="D2571">
        <v>65.173000000000002</v>
      </c>
      <c r="E2571">
        <v>5.2</v>
      </c>
      <c r="F2571">
        <v>1</v>
      </c>
      <c r="G2571">
        <v>1</v>
      </c>
      <c r="H2571">
        <v>1</v>
      </c>
      <c r="I2571" s="7">
        <v>0.56083181339430199</v>
      </c>
      <c r="J2571" s="6">
        <v>0.58121239550609605</v>
      </c>
      <c r="K2571" s="6">
        <v>0.60348020787262302</v>
      </c>
      <c r="L2571">
        <v>1.0561924048215501</v>
      </c>
      <c r="M2571">
        <v>0.96470866349043605</v>
      </c>
    </row>
    <row r="2572" spans="1:13" x14ac:dyDescent="0.25">
      <c r="A2572">
        <v>2287</v>
      </c>
      <c r="B2572" t="str">
        <f>"PRCC"</f>
        <v>PRCC</v>
      </c>
      <c r="C2572" t="str">
        <f>""</f>
        <v/>
      </c>
      <c r="D2572">
        <v>52.417000000000002</v>
      </c>
      <c r="E2572">
        <v>6.9</v>
      </c>
      <c r="F2572">
        <v>1</v>
      </c>
      <c r="G2572">
        <v>1</v>
      </c>
      <c r="H2572">
        <v>1</v>
      </c>
      <c r="I2572" s="7">
        <v>0.56083181339430199</v>
      </c>
      <c r="J2572" s="6">
        <v>0.58121239550609605</v>
      </c>
      <c r="K2572" s="6">
        <v>0.60348020787262302</v>
      </c>
      <c r="L2572">
        <v>1.0561924048215501</v>
      </c>
      <c r="M2572">
        <v>0.96470866349043605</v>
      </c>
    </row>
    <row r="2573" spans="1:13" x14ac:dyDescent="0.25">
      <c r="A2573">
        <v>2301</v>
      </c>
      <c r="B2573" t="str">
        <f>"GLG1"</f>
        <v>GLG1</v>
      </c>
      <c r="C2573" t="str">
        <f>""</f>
        <v/>
      </c>
      <c r="D2573">
        <v>134.55000000000001</v>
      </c>
      <c r="E2573">
        <v>3.6</v>
      </c>
      <c r="F2573">
        <v>1</v>
      </c>
      <c r="G2573">
        <v>1</v>
      </c>
      <c r="H2573">
        <v>1</v>
      </c>
      <c r="I2573" s="7">
        <v>0.56083181339430199</v>
      </c>
      <c r="J2573" s="6">
        <v>0.58121239550609605</v>
      </c>
      <c r="K2573" s="6">
        <v>0.60348020787262302</v>
      </c>
      <c r="L2573">
        <v>1.0561924048215501</v>
      </c>
      <c r="M2573">
        <v>0.96470866349043605</v>
      </c>
    </row>
    <row r="2574" spans="1:13" x14ac:dyDescent="0.25">
      <c r="A2574">
        <v>2302</v>
      </c>
      <c r="B2574" t="str">
        <f>"UPF1"</f>
        <v>UPF1</v>
      </c>
      <c r="C2574" t="str">
        <f>""</f>
        <v/>
      </c>
      <c r="D2574">
        <v>123.03</v>
      </c>
      <c r="E2574">
        <v>2.1</v>
      </c>
      <c r="F2574">
        <v>1</v>
      </c>
      <c r="G2574">
        <v>1</v>
      </c>
      <c r="H2574">
        <v>1</v>
      </c>
      <c r="I2574" s="7">
        <v>0.56083181339430199</v>
      </c>
      <c r="J2574" s="6">
        <v>0.58121239550609605</v>
      </c>
      <c r="K2574" s="6">
        <v>0.60348020787262302</v>
      </c>
      <c r="L2574">
        <v>1.0561924048215501</v>
      </c>
      <c r="M2574">
        <v>0.96470866349043605</v>
      </c>
    </row>
    <row r="2575" spans="1:13" x14ac:dyDescent="0.25">
      <c r="A2575">
        <v>2304</v>
      </c>
      <c r="B2575" t="str">
        <f>"GPKOW"</f>
        <v>GPKOW</v>
      </c>
      <c r="C2575" t="str">
        <f>""</f>
        <v/>
      </c>
      <c r="D2575">
        <v>52.228000000000002</v>
      </c>
      <c r="E2575">
        <v>2.5</v>
      </c>
      <c r="F2575">
        <v>1</v>
      </c>
      <c r="G2575">
        <v>1</v>
      </c>
      <c r="H2575">
        <v>1</v>
      </c>
      <c r="I2575" s="7">
        <v>0.56083181339430199</v>
      </c>
      <c r="J2575" s="6">
        <v>0.58121239550609605</v>
      </c>
      <c r="K2575" s="6">
        <v>0.60348020787262302</v>
      </c>
      <c r="L2575">
        <v>1.0561924048215501</v>
      </c>
      <c r="M2575">
        <v>0.96470866349043605</v>
      </c>
    </row>
    <row r="2576" spans="1:13" x14ac:dyDescent="0.25">
      <c r="A2576">
        <v>2320</v>
      </c>
      <c r="B2576" t="str">
        <f>"IGSF8"</f>
        <v>IGSF8</v>
      </c>
      <c r="C2576" t="str">
        <f>""</f>
        <v/>
      </c>
      <c r="D2576">
        <v>55.807000000000002</v>
      </c>
      <c r="E2576">
        <v>1.9</v>
      </c>
      <c r="F2576">
        <v>1</v>
      </c>
      <c r="G2576">
        <v>1</v>
      </c>
      <c r="H2576">
        <v>1</v>
      </c>
      <c r="I2576" s="7">
        <v>0.56083181339430199</v>
      </c>
      <c r="J2576" s="6">
        <v>0.58121239550609605</v>
      </c>
      <c r="K2576" s="6">
        <v>0.60348020787262302</v>
      </c>
      <c r="L2576">
        <v>1.0561924048215501</v>
      </c>
      <c r="M2576">
        <v>0.96470866349043605</v>
      </c>
    </row>
    <row r="2577" spans="1:13" x14ac:dyDescent="0.25">
      <c r="A2577">
        <v>2334</v>
      </c>
      <c r="B2577" t="str">
        <f>"VPS33A"</f>
        <v>VPS33A</v>
      </c>
      <c r="C2577" t="str">
        <f>""</f>
        <v/>
      </c>
      <c r="D2577">
        <v>67.61</v>
      </c>
      <c r="E2577">
        <v>3.5</v>
      </c>
      <c r="F2577">
        <v>1</v>
      </c>
      <c r="G2577">
        <v>1</v>
      </c>
      <c r="H2577">
        <v>1</v>
      </c>
      <c r="I2577" s="7">
        <v>0.56083181339430199</v>
      </c>
      <c r="J2577" s="6">
        <v>0.58121239550609605</v>
      </c>
      <c r="K2577" s="6">
        <v>0.60348020787262302</v>
      </c>
      <c r="L2577">
        <v>1.0561924048215501</v>
      </c>
      <c r="M2577">
        <v>0.96470866349043605</v>
      </c>
    </row>
    <row r="2578" spans="1:13" x14ac:dyDescent="0.25">
      <c r="A2578">
        <v>2338</v>
      </c>
      <c r="B2578" t="str">
        <f>"EXOSC8"</f>
        <v>EXOSC8</v>
      </c>
      <c r="C2578" t="str">
        <f>""</f>
        <v/>
      </c>
      <c r="D2578">
        <v>30.039000000000001</v>
      </c>
      <c r="E2578">
        <v>4.7</v>
      </c>
      <c r="F2578">
        <v>1</v>
      </c>
      <c r="G2578">
        <v>1</v>
      </c>
      <c r="H2578">
        <v>1</v>
      </c>
      <c r="I2578" s="7">
        <v>0.56083181339430199</v>
      </c>
      <c r="J2578" s="6">
        <v>0.58121239550609605</v>
      </c>
      <c r="K2578" s="6">
        <v>0.60348020787262302</v>
      </c>
      <c r="L2578">
        <v>1.0561924048215501</v>
      </c>
      <c r="M2578">
        <v>0.96470866349043605</v>
      </c>
    </row>
    <row r="2579" spans="1:13" x14ac:dyDescent="0.25">
      <c r="A2579">
        <v>2341</v>
      </c>
      <c r="B2579" t="str">
        <f>"RNF25"</f>
        <v>RNF25</v>
      </c>
      <c r="C2579" t="str">
        <f>""</f>
        <v/>
      </c>
      <c r="D2579">
        <v>51.218000000000004</v>
      </c>
      <c r="E2579">
        <v>4.8</v>
      </c>
      <c r="F2579">
        <v>1</v>
      </c>
      <c r="G2579">
        <v>1</v>
      </c>
      <c r="H2579">
        <v>1</v>
      </c>
      <c r="I2579" s="7">
        <v>0.56083181339430199</v>
      </c>
      <c r="J2579" s="6">
        <v>0.58121239550609605</v>
      </c>
      <c r="K2579" s="6">
        <v>0.60348020787262302</v>
      </c>
      <c r="L2579">
        <v>1.0561924048215501</v>
      </c>
      <c r="M2579">
        <v>0.96470866349043605</v>
      </c>
    </row>
    <row r="2580" spans="1:13" x14ac:dyDescent="0.25">
      <c r="A2580">
        <v>2346</v>
      </c>
      <c r="B2580" t="str">
        <f>"UPRT"</f>
        <v>UPRT</v>
      </c>
      <c r="C2580" t="str">
        <f>""</f>
        <v/>
      </c>
      <c r="D2580">
        <v>19.056000000000001</v>
      </c>
      <c r="E2580">
        <v>6.6</v>
      </c>
      <c r="F2580">
        <v>1</v>
      </c>
      <c r="G2580">
        <v>1</v>
      </c>
      <c r="H2580">
        <v>1</v>
      </c>
      <c r="I2580" s="7">
        <v>0.56083181339430199</v>
      </c>
      <c r="J2580" s="6">
        <v>0.58121239550609605</v>
      </c>
      <c r="K2580" s="6">
        <v>0.60348020787262302</v>
      </c>
      <c r="L2580">
        <v>1.0561924048215501</v>
      </c>
      <c r="M2580">
        <v>0.96470866349043605</v>
      </c>
    </row>
    <row r="2581" spans="1:13" x14ac:dyDescent="0.25">
      <c r="A2581">
        <v>2360</v>
      </c>
      <c r="B2581" t="str">
        <f>"CMBL"</f>
        <v>CMBL</v>
      </c>
      <c r="C2581" t="str">
        <f>""</f>
        <v/>
      </c>
      <c r="D2581">
        <v>28.047999999999998</v>
      </c>
      <c r="E2581">
        <v>10.199999999999999</v>
      </c>
      <c r="F2581">
        <v>1</v>
      </c>
      <c r="G2581">
        <v>1</v>
      </c>
      <c r="H2581">
        <v>1</v>
      </c>
      <c r="I2581" s="7">
        <v>0.56083181339430199</v>
      </c>
      <c r="J2581" s="6">
        <v>0.58121239550609605</v>
      </c>
      <c r="K2581" s="6">
        <v>0.60348020787262302</v>
      </c>
      <c r="L2581">
        <v>1.0561924048215501</v>
      </c>
      <c r="M2581">
        <v>0.96470866349043605</v>
      </c>
    </row>
    <row r="2582" spans="1:13" x14ac:dyDescent="0.25">
      <c r="A2582">
        <v>2392</v>
      </c>
      <c r="B2582" t="str">
        <f>"DUS3L"</f>
        <v>DUS3L</v>
      </c>
      <c r="C2582" t="str">
        <f>""</f>
        <v/>
      </c>
      <c r="D2582">
        <v>52.771999999999998</v>
      </c>
      <c r="E2582">
        <v>2.5</v>
      </c>
      <c r="F2582">
        <v>1</v>
      </c>
      <c r="G2582">
        <v>1</v>
      </c>
      <c r="H2582">
        <v>1</v>
      </c>
      <c r="I2582" s="7">
        <v>0.56083181339430199</v>
      </c>
      <c r="J2582" s="6">
        <v>0.58121239550609605</v>
      </c>
      <c r="K2582" s="6">
        <v>0.60348020787262302</v>
      </c>
      <c r="L2582">
        <v>1.0561924048215501</v>
      </c>
      <c r="M2582">
        <v>0.96470866349043605</v>
      </c>
    </row>
    <row r="2583" spans="1:13" x14ac:dyDescent="0.25">
      <c r="A2583">
        <v>2414</v>
      </c>
      <c r="B2583" t="str">
        <f>"VCPIP1"</f>
        <v>VCPIP1</v>
      </c>
      <c r="C2583" t="str">
        <f>""</f>
        <v/>
      </c>
      <c r="D2583">
        <v>134.32</v>
      </c>
      <c r="E2583">
        <v>2.5</v>
      </c>
      <c r="F2583">
        <v>1</v>
      </c>
      <c r="G2583">
        <v>1</v>
      </c>
      <c r="H2583">
        <v>1</v>
      </c>
      <c r="I2583" s="7">
        <v>0.56083181339430199</v>
      </c>
      <c r="J2583" s="6">
        <v>0.58121239550609605</v>
      </c>
      <c r="K2583" s="6">
        <v>0.60348020787262302</v>
      </c>
      <c r="L2583">
        <v>1.0561924048215501</v>
      </c>
      <c r="M2583">
        <v>0.96470866349043605</v>
      </c>
    </row>
    <row r="2584" spans="1:13" x14ac:dyDescent="0.25">
      <c r="A2584">
        <v>2424</v>
      </c>
      <c r="B2584" t="str">
        <f>"EP400"</f>
        <v>EP400</v>
      </c>
      <c r="C2584" t="str">
        <f>""</f>
        <v/>
      </c>
      <c r="D2584">
        <v>335.8</v>
      </c>
      <c r="E2584">
        <v>1.5</v>
      </c>
      <c r="F2584">
        <v>1</v>
      </c>
      <c r="G2584">
        <v>1</v>
      </c>
      <c r="H2584">
        <v>1</v>
      </c>
      <c r="I2584" s="7">
        <v>0.56083181339430199</v>
      </c>
      <c r="J2584" s="6">
        <v>0.58121239550609605</v>
      </c>
      <c r="K2584" s="6">
        <v>0.60348020787262302</v>
      </c>
      <c r="L2584">
        <v>1.0561924048215501</v>
      </c>
      <c r="M2584">
        <v>0.96470866349043605</v>
      </c>
    </row>
    <row r="2585" spans="1:13" x14ac:dyDescent="0.25">
      <c r="A2585">
        <v>2439</v>
      </c>
      <c r="B2585" t="str">
        <f>"NEK1"</f>
        <v>NEK1</v>
      </c>
      <c r="C2585" t="str">
        <f>"NEK1"</f>
        <v>NEK1</v>
      </c>
      <c r="D2585">
        <v>60.249000000000002</v>
      </c>
      <c r="E2585">
        <v>4.4000000000000004</v>
      </c>
      <c r="F2585">
        <v>1</v>
      </c>
      <c r="G2585">
        <v>1</v>
      </c>
      <c r="H2585">
        <v>1</v>
      </c>
      <c r="I2585" s="7">
        <v>0.56083181339430199</v>
      </c>
      <c r="J2585" s="6">
        <v>0.58121239550609605</v>
      </c>
      <c r="K2585" s="6">
        <v>0.60348020787262302</v>
      </c>
      <c r="L2585">
        <v>1.0561924048215501</v>
      </c>
      <c r="M2585">
        <v>0.96470866349043605</v>
      </c>
    </row>
    <row r="2586" spans="1:13" x14ac:dyDescent="0.25">
      <c r="A2586">
        <v>2441</v>
      </c>
      <c r="B2586" t="str">
        <f>"TRNT1"</f>
        <v>TRNT1</v>
      </c>
      <c r="C2586" t="str">
        <f>""</f>
        <v/>
      </c>
      <c r="D2586">
        <v>47.828000000000003</v>
      </c>
      <c r="E2586">
        <v>2.4</v>
      </c>
      <c r="F2586">
        <v>1</v>
      </c>
      <c r="G2586">
        <v>1</v>
      </c>
      <c r="H2586">
        <v>1</v>
      </c>
      <c r="I2586" s="7">
        <v>0.56083181339430199</v>
      </c>
      <c r="J2586" s="6">
        <v>0.58121239550609605</v>
      </c>
      <c r="K2586" s="6">
        <v>0.60348020787262302</v>
      </c>
      <c r="L2586">
        <v>1.0561924048215501</v>
      </c>
      <c r="M2586">
        <v>0.96470866349043605</v>
      </c>
    </row>
    <row r="2587" spans="1:13" x14ac:dyDescent="0.25">
      <c r="A2587">
        <v>2450</v>
      </c>
      <c r="B2587" t="str">
        <f>"SNX18"</f>
        <v>SNX18</v>
      </c>
      <c r="C2587" t="str">
        <f>""</f>
        <v/>
      </c>
      <c r="D2587">
        <v>64.751000000000005</v>
      </c>
      <c r="E2587">
        <v>1.7</v>
      </c>
      <c r="F2587">
        <v>1</v>
      </c>
      <c r="G2587">
        <v>1</v>
      </c>
      <c r="H2587">
        <v>1</v>
      </c>
      <c r="I2587" s="7">
        <v>0.56083181339430199</v>
      </c>
      <c r="J2587" s="6">
        <v>0.58121239550609605</v>
      </c>
      <c r="K2587" s="6">
        <v>0.60348020787262302</v>
      </c>
      <c r="L2587">
        <v>1.0561924048215501</v>
      </c>
      <c r="M2587">
        <v>0.96470866349043605</v>
      </c>
    </row>
    <row r="2588" spans="1:13" x14ac:dyDescent="0.25">
      <c r="A2588">
        <v>2458</v>
      </c>
      <c r="B2588" t="str">
        <f>"CDK5RAP2;PDE4DIP"</f>
        <v>CDK5RAP2;PDE4DIP</v>
      </c>
      <c r="C2588" t="str">
        <f>""</f>
        <v/>
      </c>
      <c r="D2588">
        <v>206.32</v>
      </c>
      <c r="E2588">
        <v>1.2</v>
      </c>
      <c r="F2588">
        <v>1</v>
      </c>
      <c r="G2588">
        <v>1</v>
      </c>
      <c r="H2588">
        <v>1</v>
      </c>
      <c r="I2588" s="7">
        <v>0.56083181339430199</v>
      </c>
      <c r="J2588" s="6">
        <v>0.58121239550609605</v>
      </c>
      <c r="K2588" s="6">
        <v>0.60348020787262302</v>
      </c>
      <c r="L2588">
        <v>1.0561924048215501</v>
      </c>
      <c r="M2588">
        <v>0.96470866349043605</v>
      </c>
    </row>
    <row r="2589" spans="1:13" x14ac:dyDescent="0.25">
      <c r="A2589">
        <v>2479</v>
      </c>
      <c r="B2589" t="str">
        <f>"PIK3R4"</f>
        <v>PIK3R4</v>
      </c>
      <c r="C2589" t="str">
        <f>"PIK3R4"</f>
        <v>PIK3R4</v>
      </c>
      <c r="D2589">
        <v>153.1</v>
      </c>
      <c r="E2589">
        <v>1.3</v>
      </c>
      <c r="F2589">
        <v>1</v>
      </c>
      <c r="G2589">
        <v>1</v>
      </c>
      <c r="H2589">
        <v>1</v>
      </c>
      <c r="I2589" s="7">
        <v>0.56083181339430199</v>
      </c>
      <c r="J2589" s="6">
        <v>0.58121239550609605</v>
      </c>
      <c r="K2589" s="6">
        <v>0.60348020787262302</v>
      </c>
      <c r="L2589">
        <v>1.0561924048215501</v>
      </c>
      <c r="M2589">
        <v>0.96470866349043605</v>
      </c>
    </row>
    <row r="2590" spans="1:13" x14ac:dyDescent="0.25">
      <c r="A2590">
        <v>2485</v>
      </c>
      <c r="B2590" t="str">
        <f>"COPS8"</f>
        <v>COPS8</v>
      </c>
      <c r="C2590" t="str">
        <f>""</f>
        <v/>
      </c>
      <c r="D2590">
        <v>17.908999999999999</v>
      </c>
      <c r="E2590">
        <v>6.2</v>
      </c>
      <c r="F2590">
        <v>1</v>
      </c>
      <c r="G2590">
        <v>1</v>
      </c>
      <c r="H2590">
        <v>1</v>
      </c>
      <c r="I2590" s="7">
        <v>0.56083181339430199</v>
      </c>
      <c r="J2590" s="6">
        <v>0.58121239550609605</v>
      </c>
      <c r="K2590" s="6">
        <v>0.60348020787262302</v>
      </c>
      <c r="L2590">
        <v>1.0561924048215501</v>
      </c>
      <c r="M2590">
        <v>0.96470866349043605</v>
      </c>
    </row>
    <row r="2591" spans="1:13" x14ac:dyDescent="0.25">
      <c r="A2591">
        <v>2513</v>
      </c>
      <c r="B2591" t="str">
        <f>"MACROD1"</f>
        <v>MACROD1</v>
      </c>
      <c r="C2591" t="str">
        <f>""</f>
        <v/>
      </c>
      <c r="D2591">
        <v>35.505000000000003</v>
      </c>
      <c r="E2591">
        <v>3.4</v>
      </c>
      <c r="F2591">
        <v>1</v>
      </c>
      <c r="G2591">
        <v>1</v>
      </c>
      <c r="H2591">
        <v>1</v>
      </c>
      <c r="I2591" s="7">
        <v>0.56083181339430199</v>
      </c>
      <c r="J2591" s="6">
        <v>0.58121239550609605</v>
      </c>
      <c r="K2591" s="6">
        <v>0.60348020787262302</v>
      </c>
      <c r="L2591">
        <v>1.0561924048215501</v>
      </c>
      <c r="M2591">
        <v>0.96470866349043605</v>
      </c>
    </row>
    <row r="2592" spans="1:13" x14ac:dyDescent="0.25">
      <c r="A2592">
        <v>2524</v>
      </c>
      <c r="B2592" t="str">
        <f>"VPS25"</f>
        <v>VPS25</v>
      </c>
      <c r="C2592" t="str">
        <f>""</f>
        <v/>
      </c>
      <c r="D2592">
        <v>20.747</v>
      </c>
      <c r="E2592">
        <v>13.6</v>
      </c>
      <c r="F2592">
        <v>1</v>
      </c>
      <c r="G2592">
        <v>1</v>
      </c>
      <c r="H2592">
        <v>1</v>
      </c>
      <c r="I2592" s="7">
        <v>0.56083181339430199</v>
      </c>
      <c r="J2592" s="6">
        <v>0.58121239550609605</v>
      </c>
      <c r="K2592" s="6">
        <v>0.60348020787262302</v>
      </c>
      <c r="L2592">
        <v>1.0561924048215501</v>
      </c>
      <c r="M2592">
        <v>0.96470866349043605</v>
      </c>
    </row>
    <row r="2593" spans="1:13" x14ac:dyDescent="0.25">
      <c r="A2593">
        <v>2586</v>
      </c>
      <c r="B2593" t="str">
        <f>"HINT2"</f>
        <v>HINT2</v>
      </c>
      <c r="C2593" t="str">
        <f>""</f>
        <v/>
      </c>
      <c r="D2593">
        <v>17.161999999999999</v>
      </c>
      <c r="E2593">
        <v>9.8000000000000007</v>
      </c>
      <c r="F2593">
        <v>1</v>
      </c>
      <c r="G2593">
        <v>1</v>
      </c>
      <c r="H2593">
        <v>1</v>
      </c>
      <c r="I2593" s="7">
        <v>0.56083181339430199</v>
      </c>
      <c r="J2593" s="6">
        <v>0.58121239550609605</v>
      </c>
      <c r="K2593" s="6">
        <v>0.60348020787262302</v>
      </c>
      <c r="L2593">
        <v>1.0561924048215501</v>
      </c>
      <c r="M2593">
        <v>0.96470866349043605</v>
      </c>
    </row>
    <row r="2594" spans="1:13" x14ac:dyDescent="0.25">
      <c r="A2594">
        <v>2590</v>
      </c>
      <c r="B2594" t="str">
        <f>"SRRT"</f>
        <v>SRRT</v>
      </c>
      <c r="C2594" t="str">
        <f>""</f>
        <v/>
      </c>
      <c r="D2594">
        <v>96.221000000000004</v>
      </c>
      <c r="E2594">
        <v>3.9</v>
      </c>
      <c r="F2594">
        <v>1</v>
      </c>
      <c r="G2594">
        <v>1</v>
      </c>
      <c r="H2594">
        <v>1</v>
      </c>
      <c r="I2594" s="7">
        <v>0.56083181339430199</v>
      </c>
      <c r="J2594" s="6">
        <v>0.58121239550609605</v>
      </c>
      <c r="K2594" s="6">
        <v>0.60348020787262302</v>
      </c>
      <c r="L2594">
        <v>1.0561924048215501</v>
      </c>
      <c r="M2594">
        <v>0.96470866349043605</v>
      </c>
    </row>
    <row r="2595" spans="1:13" x14ac:dyDescent="0.25">
      <c r="A2595">
        <v>2607</v>
      </c>
      <c r="B2595" t="str">
        <f>"SETD2"</f>
        <v>SETD2</v>
      </c>
      <c r="C2595" t="str">
        <f>""</f>
        <v/>
      </c>
      <c r="D2595">
        <v>175.98</v>
      </c>
      <c r="E2595">
        <v>1.5</v>
      </c>
      <c r="F2595">
        <v>1</v>
      </c>
      <c r="G2595">
        <v>1</v>
      </c>
      <c r="H2595">
        <v>1</v>
      </c>
      <c r="I2595" s="7">
        <v>0.56083181339430199</v>
      </c>
      <c r="J2595" s="6">
        <v>0.58121239550609605</v>
      </c>
      <c r="K2595" s="6">
        <v>0.60348020787262302</v>
      </c>
      <c r="L2595">
        <v>1.0561924048215501</v>
      </c>
      <c r="M2595">
        <v>0.96470866349043605</v>
      </c>
    </row>
    <row r="2596" spans="1:13" x14ac:dyDescent="0.25">
      <c r="A2596">
        <v>2609</v>
      </c>
      <c r="B2596" t="str">
        <f>"NUF2"</f>
        <v>NUF2</v>
      </c>
      <c r="C2596" t="str">
        <f>""</f>
        <v/>
      </c>
      <c r="D2596">
        <v>54.302999999999997</v>
      </c>
      <c r="E2596">
        <v>6.9</v>
      </c>
      <c r="F2596">
        <v>1</v>
      </c>
      <c r="G2596">
        <v>1</v>
      </c>
      <c r="H2596">
        <v>1</v>
      </c>
      <c r="I2596" s="7">
        <v>0.56083181339430199</v>
      </c>
      <c r="J2596" s="6">
        <v>0.58121239550609605</v>
      </c>
      <c r="K2596" s="6">
        <v>0.60348020787262302</v>
      </c>
      <c r="L2596">
        <v>1.0561924048215501</v>
      </c>
      <c r="M2596">
        <v>0.96470866349043605</v>
      </c>
    </row>
    <row r="2597" spans="1:13" x14ac:dyDescent="0.25">
      <c r="A2597">
        <v>2642</v>
      </c>
      <c r="B2597" t="str">
        <f>"SAP130"</f>
        <v>SAP130</v>
      </c>
      <c r="C2597" t="str">
        <f>""</f>
        <v/>
      </c>
      <c r="D2597">
        <v>65.688999999999993</v>
      </c>
      <c r="E2597">
        <v>1.8</v>
      </c>
      <c r="F2597">
        <v>1</v>
      </c>
      <c r="G2597">
        <v>1</v>
      </c>
      <c r="H2597">
        <v>1</v>
      </c>
      <c r="I2597" s="7">
        <v>0.56083181339430199</v>
      </c>
      <c r="J2597" s="6">
        <v>0.58121239550609605</v>
      </c>
      <c r="K2597" s="6">
        <v>0.60348020787262302</v>
      </c>
      <c r="L2597">
        <v>1.0561924048215501</v>
      </c>
      <c r="M2597">
        <v>0.96470866349043605</v>
      </c>
    </row>
    <row r="2598" spans="1:13" x14ac:dyDescent="0.25">
      <c r="A2598">
        <v>2649</v>
      </c>
      <c r="B2598" t="str">
        <f>"TSPYL1"</f>
        <v>TSPYL1</v>
      </c>
      <c r="C2598" t="str">
        <f>""</f>
        <v/>
      </c>
      <c r="D2598">
        <v>49.192</v>
      </c>
      <c r="E2598">
        <v>6.4</v>
      </c>
      <c r="F2598">
        <v>1</v>
      </c>
      <c r="G2598">
        <v>1</v>
      </c>
      <c r="H2598">
        <v>1</v>
      </c>
      <c r="I2598" s="7">
        <v>0.56083181339430199</v>
      </c>
      <c r="J2598" s="6">
        <v>0.58121239550609605</v>
      </c>
      <c r="K2598" s="6">
        <v>0.60348020787262302</v>
      </c>
      <c r="L2598">
        <v>1.0561924048215501</v>
      </c>
      <c r="M2598">
        <v>0.96470866349043605</v>
      </c>
    </row>
    <row r="2599" spans="1:13" x14ac:dyDescent="0.25">
      <c r="A2599">
        <v>2660</v>
      </c>
      <c r="B2599" t="str">
        <f>"GAN"</f>
        <v>GAN</v>
      </c>
      <c r="C2599" t="str">
        <f>""</f>
        <v/>
      </c>
      <c r="D2599">
        <v>67.638000000000005</v>
      </c>
      <c r="E2599">
        <v>1.5</v>
      </c>
      <c r="F2599">
        <v>1</v>
      </c>
      <c r="G2599">
        <v>1</v>
      </c>
      <c r="H2599">
        <v>1</v>
      </c>
      <c r="I2599" s="7">
        <v>0.56083181339430199</v>
      </c>
      <c r="J2599" s="6">
        <v>0.58121239550609605</v>
      </c>
      <c r="K2599" s="6">
        <v>0.60348020787262302</v>
      </c>
      <c r="L2599">
        <v>1.0561924048215501</v>
      </c>
      <c r="M2599">
        <v>0.96470866349043605</v>
      </c>
    </row>
    <row r="2600" spans="1:13" x14ac:dyDescent="0.25">
      <c r="A2600">
        <v>2682</v>
      </c>
      <c r="B2600" t="str">
        <f>"PCIF1"</f>
        <v>PCIF1</v>
      </c>
      <c r="C2600" t="str">
        <f>""</f>
        <v/>
      </c>
      <c r="D2600">
        <v>80.668999999999997</v>
      </c>
      <c r="E2600">
        <v>1.6</v>
      </c>
      <c r="F2600">
        <v>1</v>
      </c>
      <c r="G2600">
        <v>1</v>
      </c>
      <c r="H2600">
        <v>1</v>
      </c>
      <c r="I2600" s="7">
        <v>0.56083181339430199</v>
      </c>
      <c r="J2600" s="6">
        <v>0.58121239550609605</v>
      </c>
      <c r="K2600" s="6">
        <v>0.60348020787262302</v>
      </c>
      <c r="L2600">
        <v>1.0561924048215501</v>
      </c>
      <c r="M2600">
        <v>0.96470866349043605</v>
      </c>
    </row>
    <row r="2601" spans="1:13" x14ac:dyDescent="0.25">
      <c r="A2601">
        <v>2699</v>
      </c>
      <c r="B2601" t="str">
        <f>"WDR26"</f>
        <v>WDR26</v>
      </c>
      <c r="C2601" t="str">
        <f>""</f>
        <v/>
      </c>
      <c r="D2601">
        <v>70.459000000000003</v>
      </c>
      <c r="E2601">
        <v>5.0999999999999996</v>
      </c>
      <c r="F2601">
        <v>1</v>
      </c>
      <c r="G2601">
        <v>1</v>
      </c>
      <c r="H2601">
        <v>1</v>
      </c>
      <c r="I2601" s="7">
        <v>0.56083181339430199</v>
      </c>
      <c r="J2601" s="6">
        <v>0.58121239550609605</v>
      </c>
      <c r="K2601" s="6">
        <v>0.60348020787262302</v>
      </c>
      <c r="L2601">
        <v>1.0561924048215501</v>
      </c>
      <c r="M2601">
        <v>0.96470866349043605</v>
      </c>
    </row>
    <row r="2602" spans="1:13" x14ac:dyDescent="0.25">
      <c r="A2602">
        <v>2714</v>
      </c>
      <c r="B2602" t="str">
        <f>"QTRTD1"</f>
        <v>QTRTD1</v>
      </c>
      <c r="C2602" t="str">
        <f>""</f>
        <v/>
      </c>
      <c r="D2602">
        <v>33.470999999999997</v>
      </c>
      <c r="E2602">
        <v>8.6</v>
      </c>
      <c r="F2602">
        <v>1</v>
      </c>
      <c r="G2602">
        <v>1</v>
      </c>
      <c r="H2602">
        <v>1</v>
      </c>
      <c r="I2602" s="7">
        <v>0.56083181339430199</v>
      </c>
      <c r="J2602" s="6">
        <v>0.58121239550609605</v>
      </c>
      <c r="K2602" s="6">
        <v>0.60348020787262302</v>
      </c>
      <c r="L2602">
        <v>1.0561924048215501</v>
      </c>
      <c r="M2602">
        <v>0.96470866349043605</v>
      </c>
    </row>
    <row r="2603" spans="1:13" x14ac:dyDescent="0.25">
      <c r="A2603">
        <v>2727</v>
      </c>
      <c r="B2603" t="str">
        <f>"XPO5"</f>
        <v>XPO5</v>
      </c>
      <c r="C2603" t="str">
        <f>""</f>
        <v/>
      </c>
      <c r="D2603">
        <v>136.31</v>
      </c>
      <c r="E2603">
        <v>1.7</v>
      </c>
      <c r="F2603">
        <v>1</v>
      </c>
      <c r="G2603">
        <v>1</v>
      </c>
      <c r="H2603">
        <v>1</v>
      </c>
      <c r="I2603" s="7">
        <v>0.56083181339430199</v>
      </c>
      <c r="J2603" s="6">
        <v>0.58121239550609605</v>
      </c>
      <c r="K2603" s="6">
        <v>0.60348020787262302</v>
      </c>
      <c r="L2603">
        <v>1.0561924048215501</v>
      </c>
      <c r="M2603">
        <v>0.96470866349043605</v>
      </c>
    </row>
    <row r="2604" spans="1:13" x14ac:dyDescent="0.25">
      <c r="A2604">
        <v>2745</v>
      </c>
      <c r="B2604" t="str">
        <f>"SRA1"</f>
        <v>SRA1</v>
      </c>
      <c r="C2604" t="str">
        <f>""</f>
        <v/>
      </c>
      <c r="D2604">
        <v>25.672999999999998</v>
      </c>
      <c r="E2604">
        <v>10.199999999999999</v>
      </c>
      <c r="F2604">
        <v>1</v>
      </c>
      <c r="G2604">
        <v>1</v>
      </c>
      <c r="H2604">
        <v>1</v>
      </c>
      <c r="I2604" s="7">
        <v>0.56083181339430199</v>
      </c>
      <c r="J2604" s="6">
        <v>0.58121239550609605</v>
      </c>
      <c r="K2604" s="6">
        <v>0.60348020787262302</v>
      </c>
      <c r="L2604">
        <v>1.0561924048215501</v>
      </c>
      <c r="M2604">
        <v>0.96470866349043605</v>
      </c>
    </row>
    <row r="2605" spans="1:13" x14ac:dyDescent="0.25">
      <c r="A2605">
        <v>2767</v>
      </c>
      <c r="B2605" t="str">
        <f>"NIT2"</f>
        <v>NIT2</v>
      </c>
      <c r="C2605" t="str">
        <f>""</f>
        <v/>
      </c>
      <c r="D2605">
        <v>30.608000000000001</v>
      </c>
      <c r="E2605">
        <v>7.6</v>
      </c>
      <c r="F2605">
        <v>1</v>
      </c>
      <c r="G2605">
        <v>1</v>
      </c>
      <c r="H2605">
        <v>1</v>
      </c>
      <c r="I2605" s="7">
        <v>0.56083181339430199</v>
      </c>
      <c r="J2605" s="6">
        <v>0.58121239550609605</v>
      </c>
      <c r="K2605" s="6">
        <v>0.60348020787262302</v>
      </c>
      <c r="L2605">
        <v>1.0561924048215501</v>
      </c>
      <c r="M2605">
        <v>0.96470866349043605</v>
      </c>
    </row>
    <row r="2606" spans="1:13" x14ac:dyDescent="0.25">
      <c r="A2606">
        <v>2780</v>
      </c>
      <c r="B2606" t="str">
        <f>"EIF2B3"</f>
        <v>EIF2B3</v>
      </c>
      <c r="C2606" t="str">
        <f>""</f>
        <v/>
      </c>
      <c r="D2606">
        <v>44.802999999999997</v>
      </c>
      <c r="E2606">
        <v>2.7</v>
      </c>
      <c r="F2606">
        <v>1</v>
      </c>
      <c r="G2606">
        <v>1</v>
      </c>
      <c r="H2606">
        <v>1</v>
      </c>
      <c r="I2606" s="7">
        <v>0.56083181339430199</v>
      </c>
      <c r="J2606" s="6">
        <v>0.58121239550609605</v>
      </c>
      <c r="K2606" s="6">
        <v>0.60348020787262302</v>
      </c>
      <c r="L2606">
        <v>1.0561924048215501</v>
      </c>
      <c r="M2606">
        <v>0.96470866349043605</v>
      </c>
    </row>
    <row r="2607" spans="1:13" x14ac:dyDescent="0.25">
      <c r="A2607">
        <v>2803</v>
      </c>
      <c r="B2607" t="str">
        <f>"SACM1L"</f>
        <v>SACM1L</v>
      </c>
      <c r="C2607" t="str">
        <f>""</f>
        <v/>
      </c>
      <c r="D2607">
        <v>60.851999999999997</v>
      </c>
      <c r="E2607">
        <v>1.9</v>
      </c>
      <c r="F2607">
        <v>1</v>
      </c>
      <c r="G2607">
        <v>1</v>
      </c>
      <c r="H2607">
        <v>1</v>
      </c>
      <c r="I2607" s="7">
        <v>0.56083181339430199</v>
      </c>
      <c r="J2607" s="6">
        <v>0.58121239550609605</v>
      </c>
      <c r="K2607" s="6">
        <v>0.60348020787262302</v>
      </c>
      <c r="L2607">
        <v>1.0561924048215501</v>
      </c>
      <c r="M2607">
        <v>0.96470866349043605</v>
      </c>
    </row>
    <row r="2608" spans="1:13" x14ac:dyDescent="0.25">
      <c r="A2608">
        <v>2840</v>
      </c>
      <c r="B2608" t="str">
        <f>"THG1L"</f>
        <v>THG1L</v>
      </c>
      <c r="C2608" t="str">
        <f>""</f>
        <v/>
      </c>
      <c r="D2608">
        <v>34.83</v>
      </c>
      <c r="E2608">
        <v>3.4</v>
      </c>
      <c r="F2608">
        <v>1</v>
      </c>
      <c r="G2608">
        <v>1</v>
      </c>
      <c r="H2608">
        <v>1</v>
      </c>
      <c r="I2608" s="7">
        <v>0.56083181339430199</v>
      </c>
      <c r="J2608" s="6">
        <v>0.58121239550609605</v>
      </c>
      <c r="K2608" s="6">
        <v>0.60348020787262302</v>
      </c>
      <c r="L2608">
        <v>1.0561924048215501</v>
      </c>
      <c r="M2608">
        <v>0.96470866349043605</v>
      </c>
    </row>
    <row r="2609" spans="1:13" x14ac:dyDescent="0.25">
      <c r="A2609">
        <v>2854</v>
      </c>
      <c r="B2609" t="str">
        <f>"PPP4R2"</f>
        <v>PPP4R2</v>
      </c>
      <c r="C2609" t="str">
        <f>""</f>
        <v/>
      </c>
      <c r="D2609">
        <v>40.174999999999997</v>
      </c>
      <c r="E2609">
        <v>5.3</v>
      </c>
      <c r="F2609">
        <v>1</v>
      </c>
      <c r="G2609">
        <v>1</v>
      </c>
      <c r="H2609">
        <v>1</v>
      </c>
      <c r="I2609" s="7">
        <v>0.56083181339430199</v>
      </c>
      <c r="J2609" s="6">
        <v>0.58121239550609605</v>
      </c>
      <c r="K2609" s="6">
        <v>0.60348020787262302</v>
      </c>
      <c r="L2609">
        <v>1.0561924048215501</v>
      </c>
      <c r="M2609">
        <v>0.96470866349043605</v>
      </c>
    </row>
    <row r="2610" spans="1:13" x14ac:dyDescent="0.25">
      <c r="A2610">
        <v>2867</v>
      </c>
      <c r="B2610" t="str">
        <f>"SPG21"</f>
        <v>SPG21</v>
      </c>
      <c r="C2610" t="str">
        <f>""</f>
        <v/>
      </c>
      <c r="D2610">
        <v>31.585000000000001</v>
      </c>
      <c r="E2610">
        <v>6.8</v>
      </c>
      <c r="F2610">
        <v>1</v>
      </c>
      <c r="G2610">
        <v>1</v>
      </c>
      <c r="H2610">
        <v>1</v>
      </c>
      <c r="I2610" s="7">
        <v>0.56083181339430199</v>
      </c>
      <c r="J2610" s="6">
        <v>0.58121239550609605</v>
      </c>
      <c r="K2610" s="6">
        <v>0.60348020787262302</v>
      </c>
      <c r="L2610">
        <v>1.0561924048215501</v>
      </c>
      <c r="M2610">
        <v>0.96470866349043605</v>
      </c>
    </row>
    <row r="2611" spans="1:13" x14ac:dyDescent="0.25">
      <c r="A2611">
        <v>2884</v>
      </c>
      <c r="B2611" t="str">
        <f>"NDUFA13"</f>
        <v>NDUFA13</v>
      </c>
      <c r="C2611" t="str">
        <f>""</f>
        <v/>
      </c>
      <c r="D2611">
        <v>16.698</v>
      </c>
      <c r="E2611">
        <v>14.6</v>
      </c>
      <c r="F2611">
        <v>1</v>
      </c>
      <c r="G2611">
        <v>1</v>
      </c>
      <c r="H2611">
        <v>1</v>
      </c>
      <c r="I2611" s="7">
        <v>0.56083181339430199</v>
      </c>
      <c r="J2611" s="6">
        <v>0.58121239550609605</v>
      </c>
      <c r="K2611" s="6">
        <v>0.60348020787262302</v>
      </c>
      <c r="L2611">
        <v>1.0561924048215501</v>
      </c>
      <c r="M2611">
        <v>0.96470866349043605</v>
      </c>
    </row>
    <row r="2612" spans="1:13" x14ac:dyDescent="0.25">
      <c r="A2612">
        <v>2919</v>
      </c>
      <c r="B2612" t="str">
        <f>"ASH2L"</f>
        <v>ASH2L</v>
      </c>
      <c r="C2612" t="str">
        <f>""</f>
        <v/>
      </c>
      <c r="D2612">
        <v>56.475999999999999</v>
      </c>
      <c r="E2612">
        <v>2.4</v>
      </c>
      <c r="F2612">
        <v>1</v>
      </c>
      <c r="G2612">
        <v>1</v>
      </c>
      <c r="H2612">
        <v>1</v>
      </c>
      <c r="I2612" s="7">
        <v>0.56083181339430199</v>
      </c>
      <c r="J2612" s="6">
        <v>0.58121239550609605</v>
      </c>
      <c r="K2612" s="6">
        <v>0.60348020787262302</v>
      </c>
      <c r="L2612">
        <v>1.0561924048215501</v>
      </c>
      <c r="M2612">
        <v>0.96470866349043605</v>
      </c>
    </row>
    <row r="2613" spans="1:13" x14ac:dyDescent="0.25">
      <c r="A2613">
        <v>2961</v>
      </c>
      <c r="B2613" t="str">
        <f>"HERC5"</f>
        <v>HERC5</v>
      </c>
      <c r="C2613" t="str">
        <f>""</f>
        <v/>
      </c>
      <c r="D2613">
        <v>116.85</v>
      </c>
      <c r="E2613">
        <v>1.3</v>
      </c>
      <c r="F2613">
        <v>1</v>
      </c>
      <c r="G2613">
        <v>1</v>
      </c>
      <c r="H2613">
        <v>1</v>
      </c>
      <c r="I2613" s="7">
        <v>0.56083181339430199</v>
      </c>
      <c r="J2613" s="6">
        <v>0.58121239550609605</v>
      </c>
      <c r="K2613" s="6">
        <v>0.60348020787262302</v>
      </c>
      <c r="L2613">
        <v>1.0561924048215501</v>
      </c>
      <c r="M2613">
        <v>0.96470866349043605</v>
      </c>
    </row>
    <row r="2614" spans="1:13" x14ac:dyDescent="0.25">
      <c r="A2614">
        <v>2964</v>
      </c>
      <c r="B2614" t="str">
        <f>"TRMT6"</f>
        <v>TRMT6</v>
      </c>
      <c r="C2614" t="str">
        <f>""</f>
        <v/>
      </c>
      <c r="D2614">
        <v>36.439</v>
      </c>
      <c r="E2614">
        <v>9.5</v>
      </c>
      <c r="F2614">
        <v>1</v>
      </c>
      <c r="G2614">
        <v>1</v>
      </c>
      <c r="H2614">
        <v>1</v>
      </c>
      <c r="I2614" s="7">
        <v>0.56083181339430199</v>
      </c>
      <c r="J2614" s="6">
        <v>0.58121239550609605</v>
      </c>
      <c r="K2614" s="6">
        <v>0.60348020787262302</v>
      </c>
      <c r="L2614">
        <v>1.0561924048215501</v>
      </c>
      <c r="M2614">
        <v>0.96470866349043605</v>
      </c>
    </row>
    <row r="2615" spans="1:13" x14ac:dyDescent="0.25">
      <c r="A2615">
        <v>2966</v>
      </c>
      <c r="B2615" t="str">
        <f>"SLC25A13;SLC25A12"</f>
        <v>SLC25A13;SLC25A12</v>
      </c>
      <c r="C2615" t="str">
        <f>""</f>
        <v/>
      </c>
      <c r="D2615">
        <v>74.174999999999997</v>
      </c>
      <c r="E2615">
        <v>6.2</v>
      </c>
      <c r="F2615">
        <v>1</v>
      </c>
      <c r="G2615">
        <v>1</v>
      </c>
      <c r="H2615">
        <v>1</v>
      </c>
      <c r="I2615" s="7">
        <v>0.56083181339430199</v>
      </c>
      <c r="J2615" s="6">
        <v>0.58121239550609605</v>
      </c>
      <c r="K2615" s="6">
        <v>0.60348020787262302</v>
      </c>
      <c r="L2615">
        <v>1.0561924048215501</v>
      </c>
      <c r="M2615">
        <v>0.96470866349043605</v>
      </c>
    </row>
    <row r="2616" spans="1:13" x14ac:dyDescent="0.25">
      <c r="A2616">
        <v>2986</v>
      </c>
      <c r="B2616" t="str">
        <f>"INTS6"</f>
        <v>INTS6</v>
      </c>
      <c r="C2616" t="str">
        <f>""</f>
        <v/>
      </c>
      <c r="D2616">
        <v>12.853999999999999</v>
      </c>
      <c r="E2616">
        <v>8.6999999999999993</v>
      </c>
      <c r="F2616">
        <v>1</v>
      </c>
      <c r="G2616">
        <v>1</v>
      </c>
      <c r="H2616">
        <v>1</v>
      </c>
      <c r="I2616" s="7">
        <v>0.56083181339430199</v>
      </c>
      <c r="J2616" s="6">
        <v>0.58121239550609605</v>
      </c>
      <c r="K2616" s="6">
        <v>0.60348020787262302</v>
      </c>
      <c r="L2616">
        <v>1.0561924048215501</v>
      </c>
      <c r="M2616">
        <v>0.96470866349043605</v>
      </c>
    </row>
    <row r="2617" spans="1:13" x14ac:dyDescent="0.25">
      <c r="A2617">
        <v>3007</v>
      </c>
      <c r="B2617" t="str">
        <f>"PACSIN2"</f>
        <v>PACSIN2</v>
      </c>
      <c r="C2617" t="str">
        <f>""</f>
        <v/>
      </c>
      <c r="D2617">
        <v>51.353000000000002</v>
      </c>
      <c r="E2617">
        <v>9.1999999999999993</v>
      </c>
      <c r="F2617">
        <v>1</v>
      </c>
      <c r="G2617">
        <v>1</v>
      </c>
      <c r="H2617">
        <v>1</v>
      </c>
      <c r="I2617" s="7">
        <v>0.56083181339430199</v>
      </c>
      <c r="J2617" s="6">
        <v>0.58121239550609605</v>
      </c>
      <c r="K2617" s="6">
        <v>0.60348020787262302</v>
      </c>
      <c r="L2617">
        <v>1.0561924048215501</v>
      </c>
      <c r="M2617">
        <v>0.96470866349043605</v>
      </c>
    </row>
    <row r="2618" spans="1:13" x14ac:dyDescent="0.25">
      <c r="A2618">
        <v>3027</v>
      </c>
      <c r="B2618" t="str">
        <f>"EXOC7"</f>
        <v>EXOC7</v>
      </c>
      <c r="C2618" t="str">
        <f>""</f>
        <v/>
      </c>
      <c r="D2618">
        <v>74.712000000000003</v>
      </c>
      <c r="E2618">
        <v>1.8</v>
      </c>
      <c r="F2618">
        <v>1</v>
      </c>
      <c r="G2618">
        <v>1</v>
      </c>
      <c r="H2618">
        <v>1</v>
      </c>
      <c r="I2618" s="7">
        <v>0.56083181339430199</v>
      </c>
      <c r="J2618" s="6">
        <v>0.58121239550609605</v>
      </c>
      <c r="K2618" s="6">
        <v>0.60348020787262302</v>
      </c>
      <c r="L2618">
        <v>1.0561924048215501</v>
      </c>
      <c r="M2618">
        <v>0.96470866349043605</v>
      </c>
    </row>
    <row r="2619" spans="1:13" x14ac:dyDescent="0.25">
      <c r="A2619">
        <v>3136</v>
      </c>
      <c r="B2619" t="str">
        <f>"SNX9"</f>
        <v>SNX9</v>
      </c>
      <c r="C2619" t="str">
        <f>""</f>
        <v/>
      </c>
      <c r="D2619">
        <v>66.590999999999994</v>
      </c>
      <c r="E2619">
        <v>4.5</v>
      </c>
      <c r="F2619">
        <v>1</v>
      </c>
      <c r="G2619">
        <v>1</v>
      </c>
      <c r="H2619">
        <v>1</v>
      </c>
      <c r="I2619" s="7">
        <v>0.56083181339430199</v>
      </c>
      <c r="J2619" s="6">
        <v>0.58121239550609605</v>
      </c>
      <c r="K2619" s="6">
        <v>0.60348020787262302</v>
      </c>
      <c r="L2619">
        <v>1.0561924048215501</v>
      </c>
      <c r="M2619">
        <v>0.96470866349043605</v>
      </c>
    </row>
    <row r="2620" spans="1:13" x14ac:dyDescent="0.25">
      <c r="A2620">
        <v>2282</v>
      </c>
      <c r="B2620" t="str">
        <f>"GCN1L1"</f>
        <v>GCN1L1</v>
      </c>
      <c r="C2620" t="str">
        <f>""</f>
        <v/>
      </c>
      <c r="D2620">
        <v>292.75</v>
      </c>
      <c r="E2620">
        <v>6.9</v>
      </c>
      <c r="F2620">
        <v>13</v>
      </c>
      <c r="G2620">
        <v>11</v>
      </c>
      <c r="H2620">
        <v>14</v>
      </c>
      <c r="I2620" s="7">
        <v>7.2908135741259299</v>
      </c>
      <c r="J2620" s="6">
        <v>6.3933363505670604</v>
      </c>
      <c r="K2620" s="6">
        <v>8.4487229102167198</v>
      </c>
      <c r="L2620">
        <v>1.0178602915768</v>
      </c>
      <c r="M2620">
        <v>0.96509839744552595</v>
      </c>
    </row>
    <row r="2621" spans="1:13" x14ac:dyDescent="0.25">
      <c r="A2621">
        <v>1223</v>
      </c>
      <c r="B2621" t="str">
        <f>"ALDH18A1"</f>
        <v>ALDH18A1</v>
      </c>
      <c r="C2621" t="str">
        <f>""</f>
        <v/>
      </c>
      <c r="D2621">
        <v>87.087999999999994</v>
      </c>
      <c r="E2621">
        <v>12.5</v>
      </c>
      <c r="F2621">
        <v>13</v>
      </c>
      <c r="G2621">
        <v>11</v>
      </c>
      <c r="H2621">
        <v>14</v>
      </c>
      <c r="I2621" s="7">
        <v>7.2908135741259299</v>
      </c>
      <c r="J2621" s="6">
        <v>6.3933363505670604</v>
      </c>
      <c r="K2621" s="6">
        <v>8.4487229102167198</v>
      </c>
      <c r="L2621">
        <v>1.0178602915768</v>
      </c>
      <c r="M2621">
        <v>0.96509839744552595</v>
      </c>
    </row>
    <row r="2622" spans="1:13" x14ac:dyDescent="0.25">
      <c r="A2622">
        <v>2471</v>
      </c>
      <c r="B2622" t="str">
        <f>"CDC5L"</f>
        <v>CDC5L</v>
      </c>
      <c r="C2622" t="str">
        <f>""</f>
        <v/>
      </c>
      <c r="D2622">
        <v>92.25</v>
      </c>
      <c r="E2622">
        <v>11.8</v>
      </c>
      <c r="F2622">
        <v>7</v>
      </c>
      <c r="G2622">
        <v>6</v>
      </c>
      <c r="H2622">
        <v>7</v>
      </c>
      <c r="I2622" s="7">
        <v>3.9258226937601099</v>
      </c>
      <c r="J2622" s="6">
        <v>3.4872743730365801</v>
      </c>
      <c r="K2622" s="6">
        <v>4.2243614551083599</v>
      </c>
      <c r="L2622">
        <v>-1.01815562385147</v>
      </c>
      <c r="M2622">
        <v>0.96648371650920395</v>
      </c>
    </row>
    <row r="2623" spans="1:13" x14ac:dyDescent="0.25">
      <c r="A2623">
        <v>2186</v>
      </c>
      <c r="B2623" t="str">
        <f>"ABCF1"</f>
        <v>ABCF1</v>
      </c>
      <c r="C2623" t="str">
        <f>""</f>
        <v/>
      </c>
      <c r="D2623">
        <v>91.679000000000002</v>
      </c>
      <c r="E2623">
        <v>7.8</v>
      </c>
      <c r="F2623">
        <v>7</v>
      </c>
      <c r="G2623">
        <v>6</v>
      </c>
      <c r="H2623">
        <v>7</v>
      </c>
      <c r="I2623" s="7">
        <v>3.9258226937601099</v>
      </c>
      <c r="J2623" s="6">
        <v>3.4872743730365801</v>
      </c>
      <c r="K2623" s="6">
        <v>4.2243614551083599</v>
      </c>
      <c r="L2623">
        <v>-1.01815562385147</v>
      </c>
      <c r="M2623">
        <v>0.96648371650920395</v>
      </c>
    </row>
    <row r="2624" spans="1:13" x14ac:dyDescent="0.25">
      <c r="A2624">
        <v>2007</v>
      </c>
      <c r="B2624" t="str">
        <f>"COPS6"</f>
        <v>COPS6</v>
      </c>
      <c r="C2624" t="str">
        <f>""</f>
        <v/>
      </c>
      <c r="D2624">
        <v>36.162999999999997</v>
      </c>
      <c r="E2624">
        <v>8.9</v>
      </c>
      <c r="F2624">
        <v>7</v>
      </c>
      <c r="G2624">
        <v>7</v>
      </c>
      <c r="H2624">
        <v>6</v>
      </c>
      <c r="I2624" s="7">
        <v>3.9258226937601099</v>
      </c>
      <c r="J2624" s="6">
        <v>4.0684867685426802</v>
      </c>
      <c r="K2624" s="6">
        <v>3.6208812472357401</v>
      </c>
      <c r="L2624">
        <v>-1.02110412343496</v>
      </c>
      <c r="M2624">
        <v>0.96648375184732505</v>
      </c>
    </row>
    <row r="2625" spans="1:13" x14ac:dyDescent="0.25">
      <c r="A2625">
        <v>1199</v>
      </c>
      <c r="B2625" t="str">
        <f>"ACLY"</f>
        <v>ACLY</v>
      </c>
      <c r="C2625" t="str">
        <f>""</f>
        <v/>
      </c>
      <c r="D2625">
        <v>120.84</v>
      </c>
      <c r="E2625">
        <v>7.4</v>
      </c>
      <c r="F2625">
        <v>24</v>
      </c>
      <c r="G2625">
        <v>21</v>
      </c>
      <c r="H2625">
        <v>24</v>
      </c>
      <c r="I2625" s="7">
        <v>13.459963521463299</v>
      </c>
      <c r="J2625" s="6">
        <v>12.205460305628</v>
      </c>
      <c r="K2625" s="6">
        <v>14.4835249889429</v>
      </c>
      <c r="L2625">
        <v>-1.0086530733861401</v>
      </c>
      <c r="M2625">
        <v>0.967833522234125</v>
      </c>
    </row>
    <row r="2626" spans="1:13" x14ac:dyDescent="0.25">
      <c r="A2626">
        <v>2323</v>
      </c>
      <c r="B2626" t="str">
        <f>"NCLN"</f>
        <v>NCLN</v>
      </c>
      <c r="C2626" t="str">
        <f>""</f>
        <v/>
      </c>
      <c r="D2626">
        <v>62.845999999999997</v>
      </c>
      <c r="E2626">
        <v>8.9</v>
      </c>
      <c r="F2626">
        <v>1</v>
      </c>
      <c r="G2626">
        <v>0</v>
      </c>
      <c r="H2626">
        <v>2</v>
      </c>
      <c r="I2626" s="7">
        <v>0.56083181339430199</v>
      </c>
      <c r="J2626" s="6">
        <v>0</v>
      </c>
      <c r="K2626" s="6">
        <v>1.20696041574525</v>
      </c>
      <c r="L2626">
        <v>1.07604489164087</v>
      </c>
      <c r="M2626">
        <v>0.96818561680787296</v>
      </c>
    </row>
    <row r="2627" spans="1:13" x14ac:dyDescent="0.25">
      <c r="A2627">
        <v>1542</v>
      </c>
      <c r="B2627" t="str">
        <f>"EIF2B5"</f>
        <v>EIF2B5</v>
      </c>
      <c r="C2627" t="str">
        <f>""</f>
        <v/>
      </c>
      <c r="D2627">
        <v>80.379000000000005</v>
      </c>
      <c r="E2627">
        <v>3.3</v>
      </c>
      <c r="F2627">
        <v>1</v>
      </c>
      <c r="G2627">
        <v>0</v>
      </c>
      <c r="H2627">
        <v>2</v>
      </c>
      <c r="I2627" s="7">
        <v>0.56083181339430199</v>
      </c>
      <c r="J2627" s="6">
        <v>0</v>
      </c>
      <c r="K2627" s="6">
        <v>1.20696041574525</v>
      </c>
      <c r="L2627">
        <v>1.07604489164087</v>
      </c>
      <c r="M2627">
        <v>0.96818561680787296</v>
      </c>
    </row>
    <row r="2628" spans="1:13" x14ac:dyDescent="0.25">
      <c r="A2628">
        <v>23</v>
      </c>
      <c r="B2628" t="str">
        <f>"POM121;POM121C"</f>
        <v>POM121;POM121C</v>
      </c>
      <c r="C2628" t="str">
        <f>""</f>
        <v/>
      </c>
      <c r="D2628">
        <v>99.036000000000001</v>
      </c>
      <c r="E2628">
        <v>2.4</v>
      </c>
      <c r="F2628">
        <v>1</v>
      </c>
      <c r="G2628">
        <v>0</v>
      </c>
      <c r="H2628">
        <v>2</v>
      </c>
      <c r="I2628" s="7">
        <v>0.56083181339430199</v>
      </c>
      <c r="J2628" s="6">
        <v>0</v>
      </c>
      <c r="K2628" s="6">
        <v>1.20696041574525</v>
      </c>
      <c r="L2628">
        <v>1.07604489164087</v>
      </c>
      <c r="M2628">
        <v>0.96818561680787296</v>
      </c>
    </row>
    <row r="2629" spans="1:13" x14ac:dyDescent="0.25">
      <c r="A2629">
        <v>120</v>
      </c>
      <c r="B2629" t="str">
        <f>""</f>
        <v/>
      </c>
      <c r="C2629" t="str">
        <f>""</f>
        <v/>
      </c>
      <c r="D2629">
        <v>255.51</v>
      </c>
      <c r="E2629">
        <v>0.7</v>
      </c>
      <c r="F2629">
        <v>1</v>
      </c>
      <c r="G2629">
        <v>0</v>
      </c>
      <c r="H2629">
        <v>2</v>
      </c>
      <c r="I2629" s="7">
        <v>0.56083181339430199</v>
      </c>
      <c r="J2629" s="6">
        <v>0</v>
      </c>
      <c r="K2629" s="6">
        <v>1.20696041574525</v>
      </c>
      <c r="L2629">
        <v>1.07604489164087</v>
      </c>
      <c r="M2629">
        <v>0.96818561680787296</v>
      </c>
    </row>
    <row r="2630" spans="1:13" x14ac:dyDescent="0.25">
      <c r="A2630">
        <v>202</v>
      </c>
      <c r="B2630" t="str">
        <f>"PJA2"</f>
        <v>PJA2</v>
      </c>
      <c r="C2630" t="str">
        <f>""</f>
        <v/>
      </c>
      <c r="D2630">
        <v>76.09</v>
      </c>
      <c r="E2630">
        <v>2.6</v>
      </c>
      <c r="F2630">
        <v>1</v>
      </c>
      <c r="G2630">
        <v>0</v>
      </c>
      <c r="H2630">
        <v>2</v>
      </c>
      <c r="I2630" s="7">
        <v>0.56083181339430199</v>
      </c>
      <c r="J2630" s="6">
        <v>0</v>
      </c>
      <c r="K2630" s="6">
        <v>1.20696041574525</v>
      </c>
      <c r="L2630">
        <v>1.07604489164087</v>
      </c>
      <c r="M2630">
        <v>0.96818561680787296</v>
      </c>
    </row>
    <row r="2631" spans="1:13" x14ac:dyDescent="0.25">
      <c r="A2631">
        <v>210</v>
      </c>
      <c r="B2631" t="str">
        <f>"PPIP5K2;PPIP5K1"</f>
        <v>PPIP5K2;PPIP5K1</v>
      </c>
      <c r="C2631" t="str">
        <f>""</f>
        <v/>
      </c>
      <c r="D2631">
        <v>138.1</v>
      </c>
      <c r="E2631">
        <v>2.4</v>
      </c>
      <c r="F2631">
        <v>1</v>
      </c>
      <c r="G2631">
        <v>0</v>
      </c>
      <c r="H2631">
        <v>2</v>
      </c>
      <c r="I2631" s="7">
        <v>0.56083181339430199</v>
      </c>
      <c r="J2631" s="6">
        <v>0</v>
      </c>
      <c r="K2631" s="6">
        <v>1.20696041574525</v>
      </c>
      <c r="L2631">
        <v>1.07604489164087</v>
      </c>
      <c r="M2631">
        <v>0.96818561680787296</v>
      </c>
    </row>
    <row r="2632" spans="1:13" x14ac:dyDescent="0.25">
      <c r="A2632">
        <v>344</v>
      </c>
      <c r="B2632" t="str">
        <f>"UTP20"</f>
        <v>UTP20</v>
      </c>
      <c r="C2632" t="str">
        <f>""</f>
        <v/>
      </c>
      <c r="D2632">
        <v>318.38</v>
      </c>
      <c r="E2632">
        <v>1.1000000000000001</v>
      </c>
      <c r="F2632">
        <v>1</v>
      </c>
      <c r="G2632">
        <v>0</v>
      </c>
      <c r="H2632">
        <v>2</v>
      </c>
      <c r="I2632" s="7">
        <v>0.56083181339430199</v>
      </c>
      <c r="J2632" s="6">
        <v>0</v>
      </c>
      <c r="K2632" s="6">
        <v>1.20696041574525</v>
      </c>
      <c r="L2632">
        <v>1.07604489164087</v>
      </c>
      <c r="M2632">
        <v>0.96818561680787296</v>
      </c>
    </row>
    <row r="2633" spans="1:13" x14ac:dyDescent="0.25">
      <c r="A2633">
        <v>427</v>
      </c>
      <c r="B2633" t="str">
        <f>"EML2"</f>
        <v>EML2</v>
      </c>
      <c r="C2633" t="str">
        <f>""</f>
        <v/>
      </c>
      <c r="D2633">
        <v>70.677999999999997</v>
      </c>
      <c r="E2633">
        <v>1.8</v>
      </c>
      <c r="F2633">
        <v>1</v>
      </c>
      <c r="G2633">
        <v>0</v>
      </c>
      <c r="H2633">
        <v>2</v>
      </c>
      <c r="I2633" s="7">
        <v>0.56083181339430199</v>
      </c>
      <c r="J2633" s="6">
        <v>0</v>
      </c>
      <c r="K2633" s="6">
        <v>1.20696041574525</v>
      </c>
      <c r="L2633">
        <v>1.07604489164087</v>
      </c>
      <c r="M2633">
        <v>0.96818561680787296</v>
      </c>
    </row>
    <row r="2634" spans="1:13" x14ac:dyDescent="0.25">
      <c r="A2634">
        <v>713</v>
      </c>
      <c r="B2634" t="str">
        <f>"NCK1"</f>
        <v>NCK1</v>
      </c>
      <c r="C2634" t="str">
        <f>""</f>
        <v/>
      </c>
      <c r="D2634">
        <v>35.511000000000003</v>
      </c>
      <c r="E2634">
        <v>3.2</v>
      </c>
      <c r="F2634">
        <v>1</v>
      </c>
      <c r="G2634">
        <v>0</v>
      </c>
      <c r="H2634">
        <v>2</v>
      </c>
      <c r="I2634" s="7">
        <v>0.56083181339430199</v>
      </c>
      <c r="J2634" s="6">
        <v>0</v>
      </c>
      <c r="K2634" s="6">
        <v>1.20696041574525</v>
      </c>
      <c r="L2634">
        <v>1.07604489164087</v>
      </c>
      <c r="M2634">
        <v>0.96818561680787296</v>
      </c>
    </row>
    <row r="2635" spans="1:13" x14ac:dyDescent="0.25">
      <c r="A2635">
        <v>867</v>
      </c>
      <c r="B2635" t="str">
        <f>"GCA"</f>
        <v>GCA</v>
      </c>
      <c r="C2635" t="str">
        <f>""</f>
        <v/>
      </c>
      <c r="D2635">
        <v>24.01</v>
      </c>
      <c r="E2635">
        <v>9.6999999999999993</v>
      </c>
      <c r="F2635">
        <v>1</v>
      </c>
      <c r="G2635">
        <v>0</v>
      </c>
      <c r="H2635">
        <v>2</v>
      </c>
      <c r="I2635" s="7">
        <v>0.56083181339430199</v>
      </c>
      <c r="J2635" s="6">
        <v>0</v>
      </c>
      <c r="K2635" s="6">
        <v>1.20696041574525</v>
      </c>
      <c r="L2635">
        <v>1.07604489164087</v>
      </c>
      <c r="M2635">
        <v>0.96818561680787296</v>
      </c>
    </row>
    <row r="2636" spans="1:13" x14ac:dyDescent="0.25">
      <c r="A2636">
        <v>1109</v>
      </c>
      <c r="B2636" t="str">
        <f>"PPM1F"</f>
        <v>PPM1F</v>
      </c>
      <c r="C2636" t="str">
        <f>""</f>
        <v/>
      </c>
      <c r="D2636">
        <v>38.518000000000001</v>
      </c>
      <c r="E2636">
        <v>4.5999999999999996</v>
      </c>
      <c r="F2636">
        <v>1</v>
      </c>
      <c r="G2636">
        <v>0</v>
      </c>
      <c r="H2636">
        <v>2</v>
      </c>
      <c r="I2636" s="7">
        <v>0.56083181339430199</v>
      </c>
      <c r="J2636" s="6">
        <v>0</v>
      </c>
      <c r="K2636" s="6">
        <v>1.20696041574525</v>
      </c>
      <c r="L2636">
        <v>1.07604489164087</v>
      </c>
      <c r="M2636">
        <v>0.96818561680787296</v>
      </c>
    </row>
    <row r="2637" spans="1:13" x14ac:dyDescent="0.25">
      <c r="A2637">
        <v>1411</v>
      </c>
      <c r="B2637" t="str">
        <f>"CDC42EP1"</f>
        <v>CDC42EP1</v>
      </c>
      <c r="C2637" t="str">
        <f>""</f>
        <v/>
      </c>
      <c r="D2637">
        <v>39.686</v>
      </c>
      <c r="E2637">
        <v>3.4</v>
      </c>
      <c r="F2637">
        <v>1</v>
      </c>
      <c r="G2637">
        <v>0</v>
      </c>
      <c r="H2637">
        <v>2</v>
      </c>
      <c r="I2637" s="7">
        <v>0.56083181339430199</v>
      </c>
      <c r="J2637" s="6">
        <v>0</v>
      </c>
      <c r="K2637" s="6">
        <v>1.20696041574525</v>
      </c>
      <c r="L2637">
        <v>1.07604489164087</v>
      </c>
      <c r="M2637">
        <v>0.96818561680787296</v>
      </c>
    </row>
    <row r="2638" spans="1:13" x14ac:dyDescent="0.25">
      <c r="A2638">
        <v>1420</v>
      </c>
      <c r="B2638" t="str">
        <f>"TIAL1"</f>
        <v>TIAL1</v>
      </c>
      <c r="C2638" t="str">
        <f>""</f>
        <v/>
      </c>
      <c r="D2638">
        <v>41.59</v>
      </c>
      <c r="E2638">
        <v>5.9</v>
      </c>
      <c r="F2638">
        <v>1</v>
      </c>
      <c r="G2638">
        <v>0</v>
      </c>
      <c r="H2638">
        <v>2</v>
      </c>
      <c r="I2638" s="7">
        <v>0.56083181339430199</v>
      </c>
      <c r="J2638" s="6">
        <v>0</v>
      </c>
      <c r="K2638" s="6">
        <v>1.20696041574525</v>
      </c>
      <c r="L2638">
        <v>1.07604489164087</v>
      </c>
      <c r="M2638">
        <v>0.96818561680787296</v>
      </c>
    </row>
    <row r="2639" spans="1:13" x14ac:dyDescent="0.25">
      <c r="A2639">
        <v>1442</v>
      </c>
      <c r="B2639" t="str">
        <f>"TOP2B"</f>
        <v>TOP2B</v>
      </c>
      <c r="C2639" t="str">
        <f>""</f>
        <v/>
      </c>
      <c r="D2639">
        <v>182.66</v>
      </c>
      <c r="E2639">
        <v>1.5</v>
      </c>
      <c r="F2639">
        <v>1</v>
      </c>
      <c r="G2639">
        <v>0</v>
      </c>
      <c r="H2639">
        <v>2</v>
      </c>
      <c r="I2639" s="7">
        <v>0.56083181339430199</v>
      </c>
      <c r="J2639" s="6">
        <v>0</v>
      </c>
      <c r="K2639" s="6">
        <v>1.20696041574525</v>
      </c>
      <c r="L2639">
        <v>1.07604489164087</v>
      </c>
      <c r="M2639">
        <v>0.96818561680787296</v>
      </c>
    </row>
    <row r="2640" spans="1:13" x14ac:dyDescent="0.25">
      <c r="A2640">
        <v>1632</v>
      </c>
      <c r="B2640" t="str">
        <f>"DOCK1"</f>
        <v>DOCK1</v>
      </c>
      <c r="C2640" t="str">
        <f>""</f>
        <v/>
      </c>
      <c r="D2640">
        <v>215.34</v>
      </c>
      <c r="E2640">
        <v>0.5</v>
      </c>
      <c r="F2640">
        <v>1</v>
      </c>
      <c r="G2640">
        <v>0</v>
      </c>
      <c r="H2640">
        <v>2</v>
      </c>
      <c r="I2640" s="7">
        <v>0.56083181339430199</v>
      </c>
      <c r="J2640" s="6">
        <v>0</v>
      </c>
      <c r="K2640" s="6">
        <v>1.20696041574525</v>
      </c>
      <c r="L2640">
        <v>1.07604489164087</v>
      </c>
      <c r="M2640">
        <v>0.96818561680787296</v>
      </c>
    </row>
    <row r="2641" spans="1:13" x14ac:dyDescent="0.25">
      <c r="A2641">
        <v>1673</v>
      </c>
      <c r="B2641" t="str">
        <f>"RAB39A"</f>
        <v>RAB39A</v>
      </c>
      <c r="C2641" t="str">
        <f>""</f>
        <v/>
      </c>
      <c r="D2641">
        <v>25.006</v>
      </c>
      <c r="E2641">
        <v>11.1</v>
      </c>
      <c r="F2641">
        <v>1</v>
      </c>
      <c r="G2641">
        <v>0</v>
      </c>
      <c r="H2641">
        <v>2</v>
      </c>
      <c r="I2641" s="7">
        <v>0.56083181339430199</v>
      </c>
      <c r="J2641" s="6">
        <v>0</v>
      </c>
      <c r="K2641" s="6">
        <v>1.20696041574525</v>
      </c>
      <c r="L2641">
        <v>1.07604489164087</v>
      </c>
      <c r="M2641">
        <v>0.96818561680787296</v>
      </c>
    </row>
    <row r="2642" spans="1:13" x14ac:dyDescent="0.25">
      <c r="A2642">
        <v>1697</v>
      </c>
      <c r="B2642" t="str">
        <f>"SLC39A14"</f>
        <v>SLC39A14</v>
      </c>
      <c r="C2642" t="str">
        <f>""</f>
        <v/>
      </c>
      <c r="D2642">
        <v>52.838000000000001</v>
      </c>
      <c r="E2642">
        <v>4.2</v>
      </c>
      <c r="F2642">
        <v>1</v>
      </c>
      <c r="G2642">
        <v>0</v>
      </c>
      <c r="H2642">
        <v>2</v>
      </c>
      <c r="I2642" s="7">
        <v>0.56083181339430199</v>
      </c>
      <c r="J2642" s="6">
        <v>0</v>
      </c>
      <c r="K2642" s="6">
        <v>1.20696041574525</v>
      </c>
      <c r="L2642">
        <v>1.07604489164087</v>
      </c>
      <c r="M2642">
        <v>0.96818561680787296</v>
      </c>
    </row>
    <row r="2643" spans="1:13" x14ac:dyDescent="0.25">
      <c r="A2643">
        <v>2123</v>
      </c>
      <c r="B2643" t="str">
        <f>"MIER1"</f>
        <v>MIER1</v>
      </c>
      <c r="C2643" t="str">
        <f>""</f>
        <v/>
      </c>
      <c r="D2643">
        <v>42.173999999999999</v>
      </c>
      <c r="E2643">
        <v>2.4</v>
      </c>
      <c r="F2643">
        <v>1</v>
      </c>
      <c r="G2643">
        <v>0</v>
      </c>
      <c r="H2643">
        <v>2</v>
      </c>
      <c r="I2643" s="7">
        <v>0.56083181339430199</v>
      </c>
      <c r="J2643" s="6">
        <v>0</v>
      </c>
      <c r="K2643" s="6">
        <v>1.20696041574525</v>
      </c>
      <c r="L2643">
        <v>1.07604489164087</v>
      </c>
      <c r="M2643">
        <v>0.96818561680787296</v>
      </c>
    </row>
    <row r="2644" spans="1:13" x14ac:dyDescent="0.25">
      <c r="A2644">
        <v>2172</v>
      </c>
      <c r="B2644" t="str">
        <f>"PCYOX1L"</f>
        <v>PCYOX1L</v>
      </c>
      <c r="C2644" t="str">
        <f>""</f>
        <v/>
      </c>
      <c r="D2644">
        <v>54.646000000000001</v>
      </c>
      <c r="E2644">
        <v>3.8</v>
      </c>
      <c r="F2644">
        <v>1</v>
      </c>
      <c r="G2644">
        <v>0</v>
      </c>
      <c r="H2644">
        <v>2</v>
      </c>
      <c r="I2644" s="7">
        <v>0.56083181339430199</v>
      </c>
      <c r="J2644" s="6">
        <v>0</v>
      </c>
      <c r="K2644" s="6">
        <v>1.20696041574525</v>
      </c>
      <c r="L2644">
        <v>1.07604489164087</v>
      </c>
      <c r="M2644">
        <v>0.96818561680787296</v>
      </c>
    </row>
    <row r="2645" spans="1:13" x14ac:dyDescent="0.25">
      <c r="A2645">
        <v>2225</v>
      </c>
      <c r="B2645" t="str">
        <f>"GPX8"</f>
        <v>GPX8</v>
      </c>
      <c r="C2645" t="str">
        <f>""</f>
        <v/>
      </c>
      <c r="D2645">
        <v>23.881</v>
      </c>
      <c r="E2645">
        <v>11</v>
      </c>
      <c r="F2645">
        <v>1</v>
      </c>
      <c r="G2645">
        <v>0</v>
      </c>
      <c r="H2645">
        <v>2</v>
      </c>
      <c r="I2645" s="7">
        <v>0.56083181339430199</v>
      </c>
      <c r="J2645" s="6">
        <v>0</v>
      </c>
      <c r="K2645" s="6">
        <v>1.20696041574525</v>
      </c>
      <c r="L2645">
        <v>1.07604489164087</v>
      </c>
      <c r="M2645">
        <v>0.96818561680787296</v>
      </c>
    </row>
    <row r="2646" spans="1:13" x14ac:dyDescent="0.25">
      <c r="A2646">
        <v>2528</v>
      </c>
      <c r="B2646" t="str">
        <f>"PDCD2L"</f>
        <v>PDCD2L</v>
      </c>
      <c r="C2646" t="str">
        <f>""</f>
        <v/>
      </c>
      <c r="D2646">
        <v>39.415999999999997</v>
      </c>
      <c r="E2646">
        <v>2.8</v>
      </c>
      <c r="F2646">
        <v>1</v>
      </c>
      <c r="G2646">
        <v>0</v>
      </c>
      <c r="H2646">
        <v>2</v>
      </c>
      <c r="I2646" s="7">
        <v>0.56083181339430199</v>
      </c>
      <c r="J2646" s="6">
        <v>0</v>
      </c>
      <c r="K2646" s="6">
        <v>1.20696041574525</v>
      </c>
      <c r="L2646">
        <v>1.07604489164087</v>
      </c>
      <c r="M2646">
        <v>0.96818561680787296</v>
      </c>
    </row>
    <row r="2647" spans="1:13" x14ac:dyDescent="0.25">
      <c r="A2647">
        <v>2937</v>
      </c>
      <c r="B2647" t="str">
        <f>"PARP2"</f>
        <v>PARP2</v>
      </c>
      <c r="C2647" t="str">
        <f>""</f>
        <v/>
      </c>
      <c r="D2647">
        <v>64.804000000000002</v>
      </c>
      <c r="E2647">
        <v>2.6</v>
      </c>
      <c r="F2647">
        <v>1</v>
      </c>
      <c r="G2647">
        <v>0</v>
      </c>
      <c r="H2647">
        <v>2</v>
      </c>
      <c r="I2647" s="7">
        <v>0.56083181339430199</v>
      </c>
      <c r="J2647" s="6">
        <v>0</v>
      </c>
      <c r="K2647" s="6">
        <v>1.20696041574525</v>
      </c>
      <c r="L2647">
        <v>1.07604489164087</v>
      </c>
      <c r="M2647">
        <v>0.96818561680787296</v>
      </c>
    </row>
    <row r="2648" spans="1:13" x14ac:dyDescent="0.25">
      <c r="A2648">
        <v>3054</v>
      </c>
      <c r="B2648" t="str">
        <f>"PIKFYVE"</f>
        <v>PIKFYVE</v>
      </c>
      <c r="C2648" t="str">
        <f>""</f>
        <v/>
      </c>
      <c r="D2648">
        <v>237.13</v>
      </c>
      <c r="E2648">
        <v>1.6</v>
      </c>
      <c r="F2648">
        <v>1</v>
      </c>
      <c r="G2648">
        <v>0</v>
      </c>
      <c r="H2648">
        <v>2</v>
      </c>
      <c r="I2648" s="7">
        <v>0.56083181339430199</v>
      </c>
      <c r="J2648" s="6">
        <v>0</v>
      </c>
      <c r="K2648" s="6">
        <v>1.20696041574525</v>
      </c>
      <c r="L2648">
        <v>1.07604489164087</v>
      </c>
      <c r="M2648">
        <v>0.96818561680787296</v>
      </c>
    </row>
    <row r="2649" spans="1:13" x14ac:dyDescent="0.25">
      <c r="A2649">
        <v>1435</v>
      </c>
      <c r="B2649" t="str">
        <f>"DSG1"</f>
        <v>DSG1</v>
      </c>
      <c r="C2649" t="str">
        <f>""</f>
        <v/>
      </c>
      <c r="D2649">
        <v>113.75</v>
      </c>
      <c r="E2649">
        <v>4.8</v>
      </c>
      <c r="F2649">
        <v>1</v>
      </c>
      <c r="G2649">
        <v>2</v>
      </c>
      <c r="H2649">
        <v>0</v>
      </c>
      <c r="I2649" s="7">
        <v>0.56083181339430199</v>
      </c>
      <c r="J2649" s="6">
        <v>1.1624247910121901</v>
      </c>
      <c r="K2649" s="6">
        <v>0</v>
      </c>
      <c r="L2649">
        <v>1.0363399180022399</v>
      </c>
      <c r="M2649">
        <v>0.96818572850659601</v>
      </c>
    </row>
    <row r="2650" spans="1:13" x14ac:dyDescent="0.25">
      <c r="A2650">
        <v>1963</v>
      </c>
      <c r="B2650" t="str">
        <f>"SBSN"</f>
        <v>SBSN</v>
      </c>
      <c r="C2650" t="str">
        <f>""</f>
        <v/>
      </c>
      <c r="D2650">
        <v>60.54</v>
      </c>
      <c r="E2650">
        <v>8.5</v>
      </c>
      <c r="F2650">
        <v>1</v>
      </c>
      <c r="G2650">
        <v>2</v>
      </c>
      <c r="H2650">
        <v>0</v>
      </c>
      <c r="I2650" s="7">
        <v>0.56083181339430199</v>
      </c>
      <c r="J2650" s="6">
        <v>1.1624247910121901</v>
      </c>
      <c r="K2650" s="6">
        <v>0</v>
      </c>
      <c r="L2650">
        <v>1.0363399180022399</v>
      </c>
      <c r="M2650">
        <v>0.96818572850659601</v>
      </c>
    </row>
    <row r="2651" spans="1:13" x14ac:dyDescent="0.25">
      <c r="A2651">
        <v>431</v>
      </c>
      <c r="B2651" t="str">
        <f>"BCL10"</f>
        <v>BCL10</v>
      </c>
      <c r="C2651" t="str">
        <f>""</f>
        <v/>
      </c>
      <c r="D2651">
        <v>26.251000000000001</v>
      </c>
      <c r="E2651">
        <v>4.3</v>
      </c>
      <c r="F2651">
        <v>1</v>
      </c>
      <c r="G2651">
        <v>2</v>
      </c>
      <c r="H2651">
        <v>0</v>
      </c>
      <c r="I2651" s="7">
        <v>0.56083181339430199</v>
      </c>
      <c r="J2651" s="6">
        <v>1.1624247910121901</v>
      </c>
      <c r="K2651" s="6">
        <v>0</v>
      </c>
      <c r="L2651">
        <v>1.0363399180022399</v>
      </c>
      <c r="M2651">
        <v>0.96818572850659601</v>
      </c>
    </row>
    <row r="2652" spans="1:13" x14ac:dyDescent="0.25">
      <c r="A2652">
        <v>433</v>
      </c>
      <c r="B2652" t="str">
        <f>"TOMM40"</f>
        <v>TOMM40</v>
      </c>
      <c r="C2652" t="str">
        <f>""</f>
        <v/>
      </c>
      <c r="D2652">
        <v>37.893000000000001</v>
      </c>
      <c r="E2652">
        <v>4.2</v>
      </c>
      <c r="F2652">
        <v>1</v>
      </c>
      <c r="G2652">
        <v>2</v>
      </c>
      <c r="H2652">
        <v>0</v>
      </c>
      <c r="I2652" s="7">
        <v>0.56083181339430199</v>
      </c>
      <c r="J2652" s="6">
        <v>1.1624247910121901</v>
      </c>
      <c r="K2652" s="6">
        <v>0</v>
      </c>
      <c r="L2652">
        <v>1.0363399180022399</v>
      </c>
      <c r="M2652">
        <v>0.96818572850659601</v>
      </c>
    </row>
    <row r="2653" spans="1:13" x14ac:dyDescent="0.25">
      <c r="A2653">
        <v>668</v>
      </c>
      <c r="B2653" t="str">
        <f>"PEPD"</f>
        <v>PEPD</v>
      </c>
      <c r="C2653" t="str">
        <f>""</f>
        <v/>
      </c>
      <c r="D2653">
        <v>54.548000000000002</v>
      </c>
      <c r="E2653">
        <v>5.5</v>
      </c>
      <c r="F2653">
        <v>1</v>
      </c>
      <c r="G2653">
        <v>2</v>
      </c>
      <c r="H2653">
        <v>0</v>
      </c>
      <c r="I2653" s="7">
        <v>0.56083181339430199</v>
      </c>
      <c r="J2653" s="6">
        <v>1.1624247910121901</v>
      </c>
      <c r="K2653" s="6">
        <v>0</v>
      </c>
      <c r="L2653">
        <v>1.0363399180022399</v>
      </c>
      <c r="M2653">
        <v>0.96818572850659601</v>
      </c>
    </row>
    <row r="2654" spans="1:13" x14ac:dyDescent="0.25">
      <c r="A2654">
        <v>686</v>
      </c>
      <c r="B2654" t="str">
        <f>"ENO3"</f>
        <v>ENO3</v>
      </c>
      <c r="C2654" t="str">
        <f>""</f>
        <v/>
      </c>
      <c r="D2654">
        <v>42.247999999999998</v>
      </c>
      <c r="E2654">
        <v>8.1999999999999993</v>
      </c>
      <c r="F2654">
        <v>1</v>
      </c>
      <c r="G2654">
        <v>2</v>
      </c>
      <c r="H2654">
        <v>0</v>
      </c>
      <c r="I2654" s="7">
        <v>0.56083181339430199</v>
      </c>
      <c r="J2654" s="6">
        <v>1.1624247910121901</v>
      </c>
      <c r="K2654" s="6">
        <v>0</v>
      </c>
      <c r="L2654">
        <v>1.0363399180022399</v>
      </c>
      <c r="M2654">
        <v>0.96818572850659601</v>
      </c>
    </row>
    <row r="2655" spans="1:13" x14ac:dyDescent="0.25">
      <c r="A2655">
        <v>969</v>
      </c>
      <c r="B2655" t="str">
        <f>"NUDT1"</f>
        <v>NUDT1</v>
      </c>
      <c r="C2655" t="str">
        <f>""</f>
        <v/>
      </c>
      <c r="D2655">
        <v>17.951000000000001</v>
      </c>
      <c r="E2655">
        <v>7.7</v>
      </c>
      <c r="F2655">
        <v>1</v>
      </c>
      <c r="G2655">
        <v>2</v>
      </c>
      <c r="H2655">
        <v>0</v>
      </c>
      <c r="I2655" s="7">
        <v>0.56083181339430199</v>
      </c>
      <c r="J2655" s="6">
        <v>1.1624247910121901</v>
      </c>
      <c r="K2655" s="6">
        <v>0</v>
      </c>
      <c r="L2655">
        <v>1.0363399180022399</v>
      </c>
      <c r="M2655">
        <v>0.96818572850659601</v>
      </c>
    </row>
    <row r="2656" spans="1:13" x14ac:dyDescent="0.25">
      <c r="A2656">
        <v>1004</v>
      </c>
      <c r="B2656" t="str">
        <f>"RFC3"</f>
        <v>RFC3</v>
      </c>
      <c r="C2656" t="str">
        <f>""</f>
        <v/>
      </c>
      <c r="D2656">
        <v>34.756</v>
      </c>
      <c r="E2656">
        <v>10.199999999999999</v>
      </c>
      <c r="F2656">
        <v>1</v>
      </c>
      <c r="G2656">
        <v>2</v>
      </c>
      <c r="H2656">
        <v>0</v>
      </c>
      <c r="I2656" s="7">
        <v>0.56083181339430199</v>
      </c>
      <c r="J2656" s="6">
        <v>1.1624247910121901</v>
      </c>
      <c r="K2656" s="6">
        <v>0</v>
      </c>
      <c r="L2656">
        <v>1.0363399180022399</v>
      </c>
      <c r="M2656">
        <v>0.96818572850659601</v>
      </c>
    </row>
    <row r="2657" spans="1:13" x14ac:dyDescent="0.25">
      <c r="A2657">
        <v>1013</v>
      </c>
      <c r="B2657" t="str">
        <f>"PRKCI"</f>
        <v>PRKCI</v>
      </c>
      <c r="C2657" t="str">
        <f>"PRKCI"</f>
        <v>PRKCI</v>
      </c>
      <c r="D2657">
        <v>68.262</v>
      </c>
      <c r="E2657">
        <v>3.5</v>
      </c>
      <c r="F2657">
        <v>1</v>
      </c>
      <c r="G2657">
        <v>2</v>
      </c>
      <c r="H2657">
        <v>0</v>
      </c>
      <c r="I2657" s="7">
        <v>0.56083181339430199</v>
      </c>
      <c r="J2657" s="6">
        <v>1.1624247910121901</v>
      </c>
      <c r="K2657" s="6">
        <v>0</v>
      </c>
      <c r="L2657">
        <v>1.0363399180022399</v>
      </c>
      <c r="M2657">
        <v>0.96818572850659601</v>
      </c>
    </row>
    <row r="2658" spans="1:13" x14ac:dyDescent="0.25">
      <c r="A2658">
        <v>1431</v>
      </c>
      <c r="B2658" t="str">
        <f>"OCRL"</f>
        <v>OCRL</v>
      </c>
      <c r="C2658" t="str">
        <f>""</f>
        <v/>
      </c>
      <c r="D2658">
        <v>103.23</v>
      </c>
      <c r="E2658">
        <v>5.5</v>
      </c>
      <c r="F2658">
        <v>1</v>
      </c>
      <c r="G2658">
        <v>2</v>
      </c>
      <c r="H2658">
        <v>0</v>
      </c>
      <c r="I2658" s="7">
        <v>0.56083181339430199</v>
      </c>
      <c r="J2658" s="6">
        <v>1.1624247910121901</v>
      </c>
      <c r="K2658" s="6">
        <v>0</v>
      </c>
      <c r="L2658">
        <v>1.0363399180022399</v>
      </c>
      <c r="M2658">
        <v>0.96818572850659601</v>
      </c>
    </row>
    <row r="2659" spans="1:13" x14ac:dyDescent="0.25">
      <c r="A2659">
        <v>1562</v>
      </c>
      <c r="B2659" t="str">
        <f>"PPIL2"</f>
        <v>PPIL2</v>
      </c>
      <c r="C2659" t="str">
        <f>""</f>
        <v/>
      </c>
      <c r="D2659">
        <v>58.823</v>
      </c>
      <c r="E2659">
        <v>4.8</v>
      </c>
      <c r="F2659">
        <v>1</v>
      </c>
      <c r="G2659">
        <v>2</v>
      </c>
      <c r="H2659">
        <v>0</v>
      </c>
      <c r="I2659" s="7">
        <v>0.56083181339430199</v>
      </c>
      <c r="J2659" s="6">
        <v>1.1624247910121901</v>
      </c>
      <c r="K2659" s="6">
        <v>0</v>
      </c>
      <c r="L2659">
        <v>1.0363399180022399</v>
      </c>
      <c r="M2659">
        <v>0.96818572850659601</v>
      </c>
    </row>
    <row r="2660" spans="1:13" x14ac:dyDescent="0.25">
      <c r="A2660">
        <v>1791</v>
      </c>
      <c r="B2660" t="str">
        <f>"QSER1"</f>
        <v>QSER1</v>
      </c>
      <c r="C2660" t="str">
        <f>""</f>
        <v/>
      </c>
      <c r="D2660">
        <v>168</v>
      </c>
      <c r="E2660">
        <v>2.1</v>
      </c>
      <c r="F2660">
        <v>1</v>
      </c>
      <c r="G2660">
        <v>2</v>
      </c>
      <c r="H2660">
        <v>0</v>
      </c>
      <c r="I2660" s="7">
        <v>0.56083181339430199</v>
      </c>
      <c r="J2660" s="6">
        <v>1.1624247910121901</v>
      </c>
      <c r="K2660" s="6">
        <v>0</v>
      </c>
      <c r="L2660">
        <v>1.0363399180022399</v>
      </c>
      <c r="M2660">
        <v>0.96818572850659601</v>
      </c>
    </row>
    <row r="2661" spans="1:13" x14ac:dyDescent="0.25">
      <c r="A2661">
        <v>1901</v>
      </c>
      <c r="B2661" t="str">
        <f>"CWF19L1"</f>
        <v>CWF19L1</v>
      </c>
      <c r="C2661" t="str">
        <f>""</f>
        <v/>
      </c>
      <c r="D2661">
        <v>60.618000000000002</v>
      </c>
      <c r="E2661">
        <v>13.6</v>
      </c>
      <c r="F2661">
        <v>1</v>
      </c>
      <c r="G2661">
        <v>2</v>
      </c>
      <c r="H2661">
        <v>0</v>
      </c>
      <c r="I2661" s="7">
        <v>0.56083181339430199</v>
      </c>
      <c r="J2661" s="6">
        <v>1.1624247910121901</v>
      </c>
      <c r="K2661" s="6">
        <v>0</v>
      </c>
      <c r="L2661">
        <v>1.0363399180022399</v>
      </c>
      <c r="M2661">
        <v>0.96818572850659601</v>
      </c>
    </row>
    <row r="2662" spans="1:13" x14ac:dyDescent="0.25">
      <c r="A2662">
        <v>1943</v>
      </c>
      <c r="B2662" t="str">
        <f>"AAGAB"</f>
        <v>AAGAB</v>
      </c>
      <c r="C2662" t="str">
        <f>""</f>
        <v/>
      </c>
      <c r="D2662">
        <v>34.593000000000004</v>
      </c>
      <c r="E2662">
        <v>2.9</v>
      </c>
      <c r="F2662">
        <v>1</v>
      </c>
      <c r="G2662">
        <v>2</v>
      </c>
      <c r="H2662">
        <v>0</v>
      </c>
      <c r="I2662" s="7">
        <v>0.56083181339430199</v>
      </c>
      <c r="J2662" s="6">
        <v>1.1624247910121901</v>
      </c>
      <c r="K2662" s="6">
        <v>0</v>
      </c>
      <c r="L2662">
        <v>1.0363399180022399</v>
      </c>
      <c r="M2662">
        <v>0.96818572850659601</v>
      </c>
    </row>
    <row r="2663" spans="1:13" x14ac:dyDescent="0.25">
      <c r="A2663">
        <v>1980</v>
      </c>
      <c r="B2663" t="str">
        <f>"FAM65A"</f>
        <v>FAM65A</v>
      </c>
      <c r="C2663" t="str">
        <f>""</f>
        <v/>
      </c>
      <c r="D2663">
        <v>131.87</v>
      </c>
      <c r="E2663">
        <v>1.7</v>
      </c>
      <c r="F2663">
        <v>1</v>
      </c>
      <c r="G2663">
        <v>2</v>
      </c>
      <c r="H2663">
        <v>0</v>
      </c>
      <c r="I2663" s="7">
        <v>0.56083181339430199</v>
      </c>
      <c r="J2663" s="6">
        <v>1.1624247910121901</v>
      </c>
      <c r="K2663" s="6">
        <v>0</v>
      </c>
      <c r="L2663">
        <v>1.0363399180022399</v>
      </c>
      <c r="M2663">
        <v>0.96818572850659601</v>
      </c>
    </row>
    <row r="2664" spans="1:13" x14ac:dyDescent="0.25">
      <c r="A2664">
        <v>2266</v>
      </c>
      <c r="B2664" t="str">
        <f>"H1FX"</f>
        <v>H1FX</v>
      </c>
      <c r="C2664" t="str">
        <f>""</f>
        <v/>
      </c>
      <c r="D2664">
        <v>22.486999999999998</v>
      </c>
      <c r="E2664">
        <v>12.7</v>
      </c>
      <c r="F2664">
        <v>1</v>
      </c>
      <c r="G2664">
        <v>2</v>
      </c>
      <c r="H2664">
        <v>0</v>
      </c>
      <c r="I2664" s="7">
        <v>0.56083181339430199</v>
      </c>
      <c r="J2664" s="6">
        <v>1.1624247910121901</v>
      </c>
      <c r="K2664" s="6">
        <v>0</v>
      </c>
      <c r="L2664">
        <v>1.0363399180022399</v>
      </c>
      <c r="M2664">
        <v>0.96818572850659601</v>
      </c>
    </row>
    <row r="2665" spans="1:13" x14ac:dyDescent="0.25">
      <c r="A2665">
        <v>2638</v>
      </c>
      <c r="B2665" t="str">
        <f>"KLC2"</f>
        <v>KLC2</v>
      </c>
      <c r="C2665" t="str">
        <f>""</f>
        <v/>
      </c>
      <c r="D2665">
        <v>60.045999999999999</v>
      </c>
      <c r="E2665">
        <v>5.7</v>
      </c>
      <c r="F2665">
        <v>1</v>
      </c>
      <c r="G2665">
        <v>2</v>
      </c>
      <c r="H2665">
        <v>0</v>
      </c>
      <c r="I2665" s="7">
        <v>0.56083181339430199</v>
      </c>
      <c r="J2665" s="6">
        <v>1.1624247910121901</v>
      </c>
      <c r="K2665" s="6">
        <v>0</v>
      </c>
      <c r="L2665">
        <v>1.0363399180022399</v>
      </c>
      <c r="M2665">
        <v>0.96818572850659601</v>
      </c>
    </row>
    <row r="2666" spans="1:13" x14ac:dyDescent="0.25">
      <c r="A2666">
        <v>2663</v>
      </c>
      <c r="B2666" t="str">
        <f>"RAB3GAP2"</f>
        <v>RAB3GAP2</v>
      </c>
      <c r="C2666" t="str">
        <f>""</f>
        <v/>
      </c>
      <c r="D2666">
        <v>155.97999999999999</v>
      </c>
      <c r="E2666">
        <v>2.8</v>
      </c>
      <c r="F2666">
        <v>1</v>
      </c>
      <c r="G2666">
        <v>2</v>
      </c>
      <c r="H2666">
        <v>0</v>
      </c>
      <c r="I2666" s="7">
        <v>0.56083181339430199</v>
      </c>
      <c r="J2666" s="6">
        <v>1.1624247910121901</v>
      </c>
      <c r="K2666" s="6">
        <v>0</v>
      </c>
      <c r="L2666">
        <v>1.0363399180022399</v>
      </c>
      <c r="M2666">
        <v>0.96818572850659601</v>
      </c>
    </row>
    <row r="2667" spans="1:13" x14ac:dyDescent="0.25">
      <c r="A2667">
        <v>1301</v>
      </c>
      <c r="B2667" t="str">
        <f>"HNRNPK"</f>
        <v>HNRNPK</v>
      </c>
      <c r="C2667" t="str">
        <f>""</f>
        <v/>
      </c>
      <c r="D2667">
        <v>51.027999999999999</v>
      </c>
      <c r="E2667">
        <v>24.1</v>
      </c>
      <c r="F2667">
        <v>33</v>
      </c>
      <c r="G2667">
        <v>33</v>
      </c>
      <c r="H2667">
        <v>30</v>
      </c>
      <c r="I2667" s="7">
        <v>18.507449842012001</v>
      </c>
      <c r="J2667" s="6">
        <v>19.180009051701202</v>
      </c>
      <c r="K2667" s="6">
        <v>18.104406236178701</v>
      </c>
      <c r="L2667">
        <v>1.0072812733833301</v>
      </c>
      <c r="M2667">
        <v>0.97119442690400903</v>
      </c>
    </row>
    <row r="2668" spans="1:13" x14ac:dyDescent="0.25">
      <c r="A2668">
        <v>1261</v>
      </c>
      <c r="B2668" t="str">
        <f>"EIF3E"</f>
        <v>EIF3E</v>
      </c>
      <c r="C2668" t="str">
        <f>""</f>
        <v/>
      </c>
      <c r="D2668">
        <v>52.22</v>
      </c>
      <c r="E2668">
        <v>11.2</v>
      </c>
      <c r="F2668">
        <v>16</v>
      </c>
      <c r="G2668">
        <v>14</v>
      </c>
      <c r="H2668">
        <v>16</v>
      </c>
      <c r="I2668" s="7">
        <v>8.9733090143088301</v>
      </c>
      <c r="J2668" s="6">
        <v>8.1369735370853498</v>
      </c>
      <c r="K2668" s="6">
        <v>9.6556833259619594</v>
      </c>
      <c r="L2668">
        <v>-1.0086530733861401</v>
      </c>
      <c r="M2668">
        <v>0.97374305822291696</v>
      </c>
    </row>
    <row r="2669" spans="1:13" x14ac:dyDescent="0.25">
      <c r="A2669">
        <v>816</v>
      </c>
      <c r="B2669" t="str">
        <f>"ACAT1"</f>
        <v>ACAT1</v>
      </c>
      <c r="C2669" t="str">
        <f>""</f>
        <v/>
      </c>
      <c r="D2669">
        <v>45.198999999999998</v>
      </c>
      <c r="E2669">
        <v>14.5</v>
      </c>
      <c r="F2669">
        <v>8</v>
      </c>
      <c r="G2669">
        <v>10</v>
      </c>
      <c r="H2669">
        <v>5</v>
      </c>
      <c r="I2669" s="7">
        <v>4.4866545071544204</v>
      </c>
      <c r="J2669" s="6">
        <v>5.8121239550609696</v>
      </c>
      <c r="K2669" s="6">
        <v>3.0174010393631101</v>
      </c>
      <c r="L2669">
        <v>-1.0162844569753799</v>
      </c>
      <c r="M2669">
        <v>0.98043525923202002</v>
      </c>
    </row>
    <row r="2670" spans="1:13" x14ac:dyDescent="0.25">
      <c r="A2670">
        <v>1453</v>
      </c>
      <c r="B2670" t="str">
        <f>"YWHAH"</f>
        <v>YWHAH</v>
      </c>
      <c r="C2670" t="str">
        <f>""</f>
        <v/>
      </c>
      <c r="D2670">
        <v>28.218</v>
      </c>
      <c r="E2670">
        <v>14.2</v>
      </c>
      <c r="F2670">
        <v>8</v>
      </c>
      <c r="G2670">
        <v>9</v>
      </c>
      <c r="H2670">
        <v>6</v>
      </c>
      <c r="I2670" s="7">
        <v>4.4866545071544204</v>
      </c>
      <c r="J2670" s="6">
        <v>5.2309115595548699</v>
      </c>
      <c r="K2670" s="6">
        <v>3.6208812472357401</v>
      </c>
      <c r="L2670">
        <v>-1.01372786396729</v>
      </c>
      <c r="M2670">
        <v>0.98110422936326602</v>
      </c>
    </row>
    <row r="2671" spans="1:13" x14ac:dyDescent="0.25">
      <c r="A2671">
        <v>1416</v>
      </c>
      <c r="B2671" t="str">
        <f>"REEP5"</f>
        <v>REEP5</v>
      </c>
      <c r="C2671" t="str">
        <f>""</f>
        <v/>
      </c>
      <c r="D2671">
        <v>21.492999999999999</v>
      </c>
      <c r="E2671">
        <v>6.3</v>
      </c>
      <c r="F2671">
        <v>8</v>
      </c>
      <c r="G2671">
        <v>8</v>
      </c>
      <c r="H2671">
        <v>7</v>
      </c>
      <c r="I2671" s="7">
        <v>4.4866545071544204</v>
      </c>
      <c r="J2671" s="6">
        <v>4.6496991640487702</v>
      </c>
      <c r="K2671" s="6">
        <v>4.2243614551083599</v>
      </c>
      <c r="L2671">
        <v>-1.0111841015529499</v>
      </c>
      <c r="M2671">
        <v>0.98143847087027403</v>
      </c>
    </row>
    <row r="2672" spans="1:13" x14ac:dyDescent="0.25">
      <c r="A2672">
        <v>1176</v>
      </c>
      <c r="B2672" t="str">
        <f>"KPNA2"</f>
        <v>KPNA2</v>
      </c>
      <c r="C2672" t="str">
        <f>""</f>
        <v/>
      </c>
      <c r="D2672">
        <v>57.860999999999997</v>
      </c>
      <c r="E2672">
        <v>6.2</v>
      </c>
      <c r="F2672">
        <v>8</v>
      </c>
      <c r="G2672">
        <v>8</v>
      </c>
      <c r="H2672">
        <v>7</v>
      </c>
      <c r="I2672" s="7">
        <v>4.4866545071544204</v>
      </c>
      <c r="J2672" s="6">
        <v>4.6496991640487702</v>
      </c>
      <c r="K2672" s="6">
        <v>4.2243614551083599</v>
      </c>
      <c r="L2672">
        <v>-1.0111841015529499</v>
      </c>
      <c r="M2672">
        <v>0.98143847087027403</v>
      </c>
    </row>
    <row r="2673" spans="1:13" x14ac:dyDescent="0.25">
      <c r="A2673">
        <v>2130</v>
      </c>
      <c r="B2673" t="str">
        <f>"LRRC47"</f>
        <v>LRRC47</v>
      </c>
      <c r="C2673" t="str">
        <f>""</f>
        <v/>
      </c>
      <c r="D2673">
        <v>63.472000000000001</v>
      </c>
      <c r="E2673">
        <v>11</v>
      </c>
      <c r="F2673">
        <v>8</v>
      </c>
      <c r="G2673">
        <v>8</v>
      </c>
      <c r="H2673">
        <v>7</v>
      </c>
      <c r="I2673" s="7">
        <v>4.4866545071544204</v>
      </c>
      <c r="J2673" s="6">
        <v>4.6496991640487702</v>
      </c>
      <c r="K2673" s="6">
        <v>4.2243614551083599</v>
      </c>
      <c r="L2673">
        <v>-1.0111841015529499</v>
      </c>
      <c r="M2673">
        <v>0.98143847087027403</v>
      </c>
    </row>
    <row r="2674" spans="1:13" x14ac:dyDescent="0.25">
      <c r="A2674">
        <v>2676</v>
      </c>
      <c r="B2674" t="str">
        <f>"RNPEP"</f>
        <v>RNPEP</v>
      </c>
      <c r="C2674" t="str">
        <f>""</f>
        <v/>
      </c>
      <c r="D2674">
        <v>72.594999999999999</v>
      </c>
      <c r="E2674">
        <v>11.1</v>
      </c>
      <c r="F2674">
        <v>8</v>
      </c>
      <c r="G2674">
        <v>7</v>
      </c>
      <c r="H2674">
        <v>8</v>
      </c>
      <c r="I2674" s="7">
        <v>4.4866545071544204</v>
      </c>
      <c r="J2674" s="6">
        <v>4.0684867685426802</v>
      </c>
      <c r="K2674" s="6">
        <v>4.8278416629809797</v>
      </c>
      <c r="L2674">
        <v>-1.0086530733861401</v>
      </c>
      <c r="M2674">
        <v>0.98143847087027403</v>
      </c>
    </row>
    <row r="2675" spans="1:13" x14ac:dyDescent="0.25">
      <c r="A2675">
        <v>1769</v>
      </c>
      <c r="B2675" t="str">
        <f>"CPSF6"</f>
        <v>CPSF6</v>
      </c>
      <c r="C2675" t="str">
        <f>""</f>
        <v/>
      </c>
      <c r="D2675">
        <v>52.325000000000003</v>
      </c>
      <c r="E2675">
        <v>11.7</v>
      </c>
      <c r="F2675">
        <v>8</v>
      </c>
      <c r="G2675">
        <v>7</v>
      </c>
      <c r="H2675">
        <v>8</v>
      </c>
      <c r="I2675" s="7">
        <v>4.4866545071544204</v>
      </c>
      <c r="J2675" s="6">
        <v>4.0684867685426802</v>
      </c>
      <c r="K2675" s="6">
        <v>4.8278416629809797</v>
      </c>
      <c r="L2675">
        <v>-1.0086530733861401</v>
      </c>
      <c r="M2675">
        <v>0.98143847087027403</v>
      </c>
    </row>
    <row r="2676" spans="1:13" x14ac:dyDescent="0.25">
      <c r="A2676">
        <v>597</v>
      </c>
      <c r="B2676" t="str">
        <f>"VIM"</f>
        <v>VIM</v>
      </c>
      <c r="C2676" t="str">
        <f>""</f>
        <v/>
      </c>
      <c r="D2676">
        <v>53.651000000000003</v>
      </c>
      <c r="E2676">
        <v>18.5</v>
      </c>
      <c r="F2676">
        <v>26</v>
      </c>
      <c r="G2676">
        <v>28</v>
      </c>
      <c r="H2676">
        <v>21</v>
      </c>
      <c r="I2676" s="7">
        <v>14.581627148251901</v>
      </c>
      <c r="J2676" s="6">
        <v>16.2739470741707</v>
      </c>
      <c r="K2676" s="6">
        <v>12.673084365325099</v>
      </c>
      <c r="L2676">
        <v>-1.0074696038334701</v>
      </c>
      <c r="M2676">
        <v>0.982943850042866</v>
      </c>
    </row>
    <row r="2677" spans="1:13" x14ac:dyDescent="0.25">
      <c r="A2677">
        <v>2238</v>
      </c>
      <c r="B2677" t="str">
        <f>"NUP133"</f>
        <v>NUP133</v>
      </c>
      <c r="C2677" t="str">
        <f>""</f>
        <v/>
      </c>
      <c r="D2677">
        <v>128.97999999999999</v>
      </c>
      <c r="E2677">
        <v>4.3</v>
      </c>
      <c r="F2677">
        <v>11</v>
      </c>
      <c r="G2677">
        <v>10</v>
      </c>
      <c r="H2677">
        <v>11</v>
      </c>
      <c r="I2677" s="7">
        <v>6.1691499473373197</v>
      </c>
      <c r="J2677" s="6">
        <v>5.8121239550609696</v>
      </c>
      <c r="K2677" s="6">
        <v>6.6382822865988498</v>
      </c>
      <c r="L2677">
        <v>1.00908604491236</v>
      </c>
      <c r="M2677">
        <v>0.98338363227501802</v>
      </c>
    </row>
    <row r="2678" spans="1:13" x14ac:dyDescent="0.25">
      <c r="A2678">
        <v>143</v>
      </c>
      <c r="B2678" t="str">
        <f>"PRMT5"</f>
        <v>PRMT5</v>
      </c>
      <c r="C2678" t="str">
        <f>""</f>
        <v/>
      </c>
      <c r="D2678">
        <v>71.319000000000003</v>
      </c>
      <c r="E2678">
        <v>5.5</v>
      </c>
      <c r="F2678">
        <v>5</v>
      </c>
      <c r="G2678">
        <v>2</v>
      </c>
      <c r="H2678">
        <v>8</v>
      </c>
      <c r="I2678" s="7">
        <v>2.80415906697151</v>
      </c>
      <c r="J2678" s="6">
        <v>1.1624247910121901</v>
      </c>
      <c r="K2678" s="6">
        <v>4.8278416629809797</v>
      </c>
      <c r="L2678">
        <v>1.06810389691314</v>
      </c>
      <c r="M2678">
        <v>0.99066547227201696</v>
      </c>
    </row>
    <row r="2679" spans="1:13" x14ac:dyDescent="0.25">
      <c r="A2679">
        <v>968</v>
      </c>
      <c r="B2679" t="str">
        <f>"RPL4"</f>
        <v>RPL4</v>
      </c>
      <c r="C2679" t="str">
        <f>""</f>
        <v/>
      </c>
      <c r="D2679">
        <v>47.697000000000003</v>
      </c>
      <c r="E2679">
        <v>16.2</v>
      </c>
      <c r="F2679">
        <v>9</v>
      </c>
      <c r="G2679">
        <v>12</v>
      </c>
      <c r="H2679">
        <v>5</v>
      </c>
      <c r="I2679" s="7">
        <v>5.0474863205487202</v>
      </c>
      <c r="J2679" s="6">
        <v>6.9745487460731601</v>
      </c>
      <c r="K2679" s="6">
        <v>3.0174010393631101</v>
      </c>
      <c r="L2679">
        <v>-1.0103105858089201</v>
      </c>
      <c r="M2679">
        <v>0.99283240297150399</v>
      </c>
    </row>
    <row r="2680" spans="1:13" x14ac:dyDescent="0.25">
      <c r="A2680">
        <v>1067</v>
      </c>
      <c r="B2680" t="str">
        <f>"STT3A"</f>
        <v>STT3A</v>
      </c>
      <c r="C2680" t="str">
        <f>""</f>
        <v/>
      </c>
      <c r="D2680">
        <v>80.528999999999996</v>
      </c>
      <c r="E2680">
        <v>4.0999999999999996</v>
      </c>
      <c r="F2680">
        <v>10</v>
      </c>
      <c r="G2680">
        <v>9</v>
      </c>
      <c r="H2680">
        <v>10</v>
      </c>
      <c r="I2680" s="7">
        <v>5.6083181339430199</v>
      </c>
      <c r="J2680" s="6">
        <v>5.2309115595548699</v>
      </c>
      <c r="K2680" s="6">
        <v>6.03480207872623</v>
      </c>
      <c r="L2680">
        <v>1.0043754089214401</v>
      </c>
      <c r="M2680">
        <v>0.99387965817741497</v>
      </c>
    </row>
    <row r="2681" spans="1:13" x14ac:dyDescent="0.25">
      <c r="A2681">
        <v>3005</v>
      </c>
      <c r="B2681" t="str">
        <f>"G3BP2"</f>
        <v>G3BP2</v>
      </c>
      <c r="C2681" t="str">
        <f>""</f>
        <v/>
      </c>
      <c r="D2681">
        <v>50.817</v>
      </c>
      <c r="E2681">
        <v>13.4</v>
      </c>
      <c r="F2681">
        <v>10</v>
      </c>
      <c r="G2681">
        <v>8</v>
      </c>
      <c r="H2681">
        <v>11</v>
      </c>
      <c r="I2681" s="7">
        <v>5.6083181339430199</v>
      </c>
      <c r="J2681" s="6">
        <v>4.6496991640487702</v>
      </c>
      <c r="K2681" s="6">
        <v>6.6382822865988498</v>
      </c>
      <c r="L2681">
        <v>1.0063606576033699</v>
      </c>
      <c r="M2681">
        <v>0.99411512520732004</v>
      </c>
    </row>
    <row r="2682" spans="1:13" x14ac:dyDescent="0.25">
      <c r="A2682">
        <v>2730</v>
      </c>
      <c r="B2682" t="str">
        <f>"CACYBP"</f>
        <v>CACYBP</v>
      </c>
      <c r="C2682" t="str">
        <f>""</f>
        <v/>
      </c>
      <c r="D2682">
        <v>26.21</v>
      </c>
      <c r="E2682">
        <v>36.799999999999997</v>
      </c>
      <c r="F2682">
        <v>9</v>
      </c>
      <c r="G2682">
        <v>10</v>
      </c>
      <c r="H2682">
        <v>7</v>
      </c>
      <c r="I2682" s="7">
        <v>5.0474863205487202</v>
      </c>
      <c r="J2682" s="6">
        <v>5.8121239550609696</v>
      </c>
      <c r="K2682" s="6">
        <v>4.2243614551083599</v>
      </c>
      <c r="L2682">
        <v>-1.0058274613610101</v>
      </c>
      <c r="M2682">
        <v>0.99422023519637703</v>
      </c>
    </row>
    <row r="2683" spans="1:13" x14ac:dyDescent="0.25">
      <c r="A2683">
        <v>1212</v>
      </c>
      <c r="B2683" t="str">
        <f>"RARS"</f>
        <v>RARS</v>
      </c>
      <c r="C2683" t="str">
        <f>""</f>
        <v/>
      </c>
      <c r="D2683">
        <v>75.378</v>
      </c>
      <c r="E2683">
        <v>14.2</v>
      </c>
      <c r="F2683">
        <v>9</v>
      </c>
      <c r="G2683">
        <v>8</v>
      </c>
      <c r="H2683">
        <v>9</v>
      </c>
      <c r="I2683" s="7">
        <v>5.0474863205487202</v>
      </c>
      <c r="J2683" s="6">
        <v>4.6496991640487702</v>
      </c>
      <c r="K2683" s="6">
        <v>5.4313218708536004</v>
      </c>
      <c r="L2683">
        <v>-1.0013839477317601</v>
      </c>
      <c r="M2683">
        <v>0.99449727111032304</v>
      </c>
    </row>
    <row r="2684" spans="1:13" x14ac:dyDescent="0.25">
      <c r="A2684">
        <v>1149</v>
      </c>
      <c r="B2684" t="str">
        <f>"FXR1"</f>
        <v>FXR1</v>
      </c>
      <c r="C2684" t="str">
        <f>""</f>
        <v/>
      </c>
      <c r="D2684">
        <v>69.72</v>
      </c>
      <c r="E2684">
        <v>9.6999999999999993</v>
      </c>
      <c r="F2684">
        <v>9</v>
      </c>
      <c r="G2684">
        <v>8</v>
      </c>
      <c r="H2684">
        <v>9</v>
      </c>
      <c r="I2684" s="7">
        <v>5.0474863205487202</v>
      </c>
      <c r="J2684" s="6">
        <v>4.6496991640487702</v>
      </c>
      <c r="K2684" s="6">
        <v>5.4313218708536004</v>
      </c>
      <c r="L2684">
        <v>-1.0013839477317601</v>
      </c>
      <c r="M2684">
        <v>0.99449727111032304</v>
      </c>
    </row>
    <row r="2685" spans="1:13" x14ac:dyDescent="0.25">
      <c r="A2685">
        <v>1933</v>
      </c>
      <c r="B2685" t="str">
        <f>"EDC4"</f>
        <v>EDC4</v>
      </c>
      <c r="C2685" t="str">
        <f>""</f>
        <v/>
      </c>
      <c r="D2685">
        <v>151.66</v>
      </c>
      <c r="E2685">
        <v>6.2</v>
      </c>
      <c r="F2685">
        <v>9</v>
      </c>
      <c r="G2685">
        <v>8</v>
      </c>
      <c r="H2685">
        <v>9</v>
      </c>
      <c r="I2685" s="7">
        <v>5.0474863205487202</v>
      </c>
      <c r="J2685" s="6">
        <v>4.6496991640487702</v>
      </c>
      <c r="K2685" s="6">
        <v>5.4313218708536004</v>
      </c>
      <c r="L2685">
        <v>-1.0013839477317601</v>
      </c>
      <c r="M2685">
        <v>0.99449727111032304</v>
      </c>
    </row>
    <row r="2686" spans="1:13" x14ac:dyDescent="0.25">
      <c r="A2686">
        <v>995</v>
      </c>
      <c r="B2686" t="str">
        <f>"CD79B"</f>
        <v>CD79B</v>
      </c>
      <c r="C2686" t="str">
        <f>""</f>
        <v/>
      </c>
      <c r="D2686">
        <v>26.047999999999998</v>
      </c>
      <c r="E2686">
        <v>14.8</v>
      </c>
      <c r="F2686">
        <v>0</v>
      </c>
      <c r="G2686">
        <v>0</v>
      </c>
      <c r="H2686">
        <v>0</v>
      </c>
      <c r="I2686" s="7">
        <v>0</v>
      </c>
      <c r="J2686" s="6">
        <v>0</v>
      </c>
      <c r="K2686" s="6">
        <v>0</v>
      </c>
      <c r="L2686">
        <v>1</v>
      </c>
      <c r="M2686">
        <v>1</v>
      </c>
    </row>
    <row r="2687" spans="1:13" x14ac:dyDescent="0.25">
      <c r="A2687">
        <v>3022</v>
      </c>
      <c r="B2687" t="str">
        <f>"CEP131"</f>
        <v>CEP131</v>
      </c>
      <c r="C2687" t="str">
        <f>""</f>
        <v/>
      </c>
      <c r="D2687">
        <v>117.4</v>
      </c>
      <c r="E2687">
        <v>11.1</v>
      </c>
      <c r="F2687">
        <v>0</v>
      </c>
      <c r="G2687">
        <v>0</v>
      </c>
      <c r="H2687">
        <v>0</v>
      </c>
      <c r="I2687" s="7">
        <v>0</v>
      </c>
      <c r="J2687" s="6">
        <v>0</v>
      </c>
      <c r="K2687" s="6">
        <v>0</v>
      </c>
      <c r="L2687">
        <v>1</v>
      </c>
      <c r="M2687">
        <v>1</v>
      </c>
    </row>
    <row r="2688" spans="1:13" x14ac:dyDescent="0.25">
      <c r="A2688">
        <v>34</v>
      </c>
      <c r="B2688" t="str">
        <f>""</f>
        <v/>
      </c>
      <c r="C2688" t="str">
        <f>""</f>
        <v/>
      </c>
      <c r="D2688">
        <v>43.9</v>
      </c>
      <c r="E2688">
        <v>8.5</v>
      </c>
      <c r="F2688">
        <v>0</v>
      </c>
      <c r="G2688">
        <v>0</v>
      </c>
      <c r="H2688">
        <v>0</v>
      </c>
      <c r="I2688" s="7">
        <v>0</v>
      </c>
      <c r="J2688" s="6">
        <v>0</v>
      </c>
      <c r="K2688" s="6">
        <v>0</v>
      </c>
      <c r="L2688">
        <v>1</v>
      </c>
      <c r="M2688">
        <v>1</v>
      </c>
    </row>
    <row r="2689" spans="1:13" x14ac:dyDescent="0.25">
      <c r="A2689">
        <v>1182</v>
      </c>
      <c r="B2689" t="str">
        <f>"ARHGDIB"</f>
        <v>ARHGDIB</v>
      </c>
      <c r="C2689" t="str">
        <f>""</f>
        <v/>
      </c>
      <c r="D2689">
        <v>22.988</v>
      </c>
      <c r="E2689">
        <v>13.4</v>
      </c>
      <c r="F2689">
        <v>0</v>
      </c>
      <c r="G2689">
        <v>0</v>
      </c>
      <c r="H2689">
        <v>0</v>
      </c>
      <c r="I2689" s="7">
        <v>0</v>
      </c>
      <c r="J2689" s="6">
        <v>0</v>
      </c>
      <c r="K2689" s="6">
        <v>0</v>
      </c>
      <c r="L2689">
        <v>1</v>
      </c>
      <c r="M2689">
        <v>1</v>
      </c>
    </row>
    <row r="2690" spans="1:13" x14ac:dyDescent="0.25">
      <c r="A2690">
        <v>7</v>
      </c>
      <c r="B2690" t="str">
        <f>"IGKV1-12;IGKV1-6"</f>
        <v>IGKV1-12;IGKV1-6</v>
      </c>
      <c r="C2690" t="str">
        <f>""</f>
        <v/>
      </c>
      <c r="D2690">
        <v>12.645</v>
      </c>
      <c r="E2690">
        <v>16.2</v>
      </c>
      <c r="F2690">
        <v>0</v>
      </c>
      <c r="G2690">
        <v>0</v>
      </c>
      <c r="H2690">
        <v>0</v>
      </c>
      <c r="I2690" s="7">
        <v>0</v>
      </c>
      <c r="J2690" s="6">
        <v>0</v>
      </c>
      <c r="K2690" s="6">
        <v>0</v>
      </c>
      <c r="L2690">
        <v>1</v>
      </c>
      <c r="M2690">
        <v>1</v>
      </c>
    </row>
    <row r="2691" spans="1:13" x14ac:dyDescent="0.25">
      <c r="A2691">
        <v>475</v>
      </c>
      <c r="B2691" t="str">
        <f>"IGHA2"</f>
        <v>IGHA2</v>
      </c>
      <c r="C2691" t="str">
        <f>""</f>
        <v/>
      </c>
      <c r="D2691">
        <v>36.591000000000001</v>
      </c>
      <c r="E2691">
        <v>14.4</v>
      </c>
      <c r="F2691">
        <v>0</v>
      </c>
      <c r="G2691">
        <v>0</v>
      </c>
      <c r="H2691">
        <v>0</v>
      </c>
      <c r="I2691" s="7">
        <v>0</v>
      </c>
      <c r="J2691" s="6">
        <v>0</v>
      </c>
      <c r="K2691" s="6">
        <v>0</v>
      </c>
      <c r="L2691">
        <v>1</v>
      </c>
      <c r="M2691">
        <v>1</v>
      </c>
    </row>
    <row r="2692" spans="1:13" x14ac:dyDescent="0.25">
      <c r="A2692">
        <v>471</v>
      </c>
      <c r="B2692" t="str">
        <f>"IGHG1"</f>
        <v>IGHG1</v>
      </c>
      <c r="C2692" t="str">
        <f>""</f>
        <v/>
      </c>
      <c r="D2692">
        <v>36.104999999999997</v>
      </c>
      <c r="E2692">
        <v>10.3</v>
      </c>
      <c r="F2692">
        <v>0</v>
      </c>
      <c r="G2692">
        <v>0</v>
      </c>
      <c r="H2692">
        <v>0</v>
      </c>
      <c r="I2692" s="7">
        <v>0</v>
      </c>
      <c r="J2692" s="6">
        <v>0</v>
      </c>
      <c r="K2692" s="6">
        <v>0</v>
      </c>
      <c r="L2692">
        <v>1</v>
      </c>
      <c r="M2692">
        <v>1</v>
      </c>
    </row>
    <row r="2693" spans="1:13" x14ac:dyDescent="0.25">
      <c r="A2693">
        <v>529</v>
      </c>
      <c r="B2693" t="str">
        <f>"S100A8"</f>
        <v>S100A8</v>
      </c>
      <c r="C2693" t="str">
        <f>""</f>
        <v/>
      </c>
      <c r="D2693">
        <v>10.834</v>
      </c>
      <c r="E2693">
        <v>26.9</v>
      </c>
      <c r="F2693">
        <v>0</v>
      </c>
      <c r="G2693">
        <v>0</v>
      </c>
      <c r="H2693">
        <v>0</v>
      </c>
      <c r="I2693" s="7">
        <v>0</v>
      </c>
      <c r="J2693" s="6">
        <v>0</v>
      </c>
      <c r="K2693" s="6">
        <v>0</v>
      </c>
      <c r="L2693">
        <v>1</v>
      </c>
      <c r="M2693">
        <v>1</v>
      </c>
    </row>
    <row r="2694" spans="1:13" x14ac:dyDescent="0.25">
      <c r="A2694">
        <v>679</v>
      </c>
      <c r="B2694" t="str">
        <f>"LCP1"</f>
        <v>LCP1</v>
      </c>
      <c r="C2694" t="str">
        <f>""</f>
        <v/>
      </c>
      <c r="D2694">
        <v>70.287999999999997</v>
      </c>
      <c r="E2694">
        <v>5.7</v>
      </c>
      <c r="F2694">
        <v>0</v>
      </c>
      <c r="G2694">
        <v>0</v>
      </c>
      <c r="H2694">
        <v>0</v>
      </c>
      <c r="I2694" s="7">
        <v>0</v>
      </c>
      <c r="J2694" s="6">
        <v>0</v>
      </c>
      <c r="K2694" s="6">
        <v>0</v>
      </c>
      <c r="L2694">
        <v>1</v>
      </c>
      <c r="M2694">
        <v>1</v>
      </c>
    </row>
    <row r="2695" spans="1:13" x14ac:dyDescent="0.25">
      <c r="A2695">
        <v>879</v>
      </c>
      <c r="B2695" t="str">
        <f>"OAS2"</f>
        <v>OAS2</v>
      </c>
      <c r="C2695" t="str">
        <f>""</f>
        <v/>
      </c>
      <c r="D2695">
        <v>82.43</v>
      </c>
      <c r="E2695">
        <v>6.8</v>
      </c>
      <c r="F2695">
        <v>0</v>
      </c>
      <c r="G2695">
        <v>0</v>
      </c>
      <c r="H2695">
        <v>0</v>
      </c>
      <c r="I2695" s="7">
        <v>0</v>
      </c>
      <c r="J2695" s="6">
        <v>0</v>
      </c>
      <c r="K2695" s="6">
        <v>0</v>
      </c>
      <c r="L2695">
        <v>1</v>
      </c>
      <c r="M2695">
        <v>1</v>
      </c>
    </row>
    <row r="2696" spans="1:13" x14ac:dyDescent="0.25">
      <c r="A2696">
        <v>1</v>
      </c>
      <c r="B2696" t="str">
        <f>"IGHV3-15"</f>
        <v>IGHV3-15</v>
      </c>
      <c r="C2696" t="str">
        <f>""</f>
        <v/>
      </c>
      <c r="D2696">
        <v>12.926</v>
      </c>
      <c r="E2696">
        <v>9.1999999999999993</v>
      </c>
      <c r="F2696">
        <v>0</v>
      </c>
      <c r="G2696">
        <v>0</v>
      </c>
      <c r="H2696">
        <v>0</v>
      </c>
      <c r="I2696" s="7">
        <v>0</v>
      </c>
      <c r="J2696" s="6">
        <v>0</v>
      </c>
      <c r="K2696" s="6">
        <v>0</v>
      </c>
      <c r="L2696">
        <v>1</v>
      </c>
      <c r="M2696">
        <v>1</v>
      </c>
    </row>
    <row r="2697" spans="1:13" x14ac:dyDescent="0.25">
      <c r="A2697">
        <v>973</v>
      </c>
      <c r="B2697" t="str">
        <f>"SERPINB5"</f>
        <v>SERPINB5</v>
      </c>
      <c r="C2697" t="str">
        <f>""</f>
        <v/>
      </c>
      <c r="D2697">
        <v>42.1</v>
      </c>
      <c r="E2697">
        <v>5.0999999999999996</v>
      </c>
      <c r="F2697">
        <v>0</v>
      </c>
      <c r="G2697">
        <v>0</v>
      </c>
      <c r="H2697">
        <v>0</v>
      </c>
      <c r="I2697" s="7">
        <v>0</v>
      </c>
      <c r="J2697" s="6">
        <v>0</v>
      </c>
      <c r="K2697" s="6">
        <v>0</v>
      </c>
      <c r="L2697">
        <v>1</v>
      </c>
      <c r="M2697">
        <v>1</v>
      </c>
    </row>
    <row r="2698" spans="1:13" x14ac:dyDescent="0.25">
      <c r="A2698">
        <v>1587</v>
      </c>
      <c r="B2698" t="str">
        <f>"LAPTM5"</f>
        <v>LAPTM5</v>
      </c>
      <c r="C2698" t="str">
        <f>""</f>
        <v/>
      </c>
      <c r="D2698">
        <v>29.937000000000001</v>
      </c>
      <c r="E2698">
        <v>5.7</v>
      </c>
      <c r="F2698">
        <v>0</v>
      </c>
      <c r="G2698">
        <v>0</v>
      </c>
      <c r="H2698">
        <v>0</v>
      </c>
      <c r="I2698" s="7">
        <v>0</v>
      </c>
      <c r="J2698" s="6">
        <v>0</v>
      </c>
      <c r="K2698" s="6">
        <v>0</v>
      </c>
      <c r="L2698">
        <v>1</v>
      </c>
      <c r="M2698">
        <v>1</v>
      </c>
    </row>
    <row r="2699" spans="1:13" x14ac:dyDescent="0.25">
      <c r="A2699">
        <v>67</v>
      </c>
      <c r="B2699" t="str">
        <f>""</f>
        <v/>
      </c>
      <c r="C2699" t="str">
        <f>""</f>
        <v/>
      </c>
      <c r="D2699">
        <v>24.536000000000001</v>
      </c>
      <c r="E2699">
        <v>7.7</v>
      </c>
      <c r="F2699">
        <v>0</v>
      </c>
      <c r="G2699">
        <v>0</v>
      </c>
      <c r="H2699">
        <v>0</v>
      </c>
      <c r="I2699" s="7">
        <v>0</v>
      </c>
      <c r="J2699" s="6">
        <v>0</v>
      </c>
      <c r="K2699" s="6">
        <v>0</v>
      </c>
      <c r="L2699">
        <v>1</v>
      </c>
      <c r="M2699">
        <v>1</v>
      </c>
    </row>
    <row r="2700" spans="1:13" x14ac:dyDescent="0.25">
      <c r="A2700">
        <v>478</v>
      </c>
      <c r="B2700" t="str">
        <f>"HLA-DRA"</f>
        <v>HLA-DRA</v>
      </c>
      <c r="C2700" t="str">
        <f>""</f>
        <v/>
      </c>
      <c r="D2700">
        <v>28.606999999999999</v>
      </c>
      <c r="E2700">
        <v>15.7</v>
      </c>
      <c r="F2700">
        <v>0</v>
      </c>
      <c r="G2700">
        <v>0</v>
      </c>
      <c r="H2700">
        <v>0</v>
      </c>
      <c r="I2700" s="7">
        <v>0</v>
      </c>
      <c r="J2700" s="6">
        <v>0</v>
      </c>
      <c r="K2700" s="6">
        <v>0</v>
      </c>
      <c r="L2700">
        <v>1</v>
      </c>
      <c r="M2700">
        <v>1</v>
      </c>
    </row>
    <row r="2701" spans="1:13" x14ac:dyDescent="0.25">
      <c r="A2701">
        <v>2294</v>
      </c>
      <c r="B2701" t="str">
        <f>"EVPL"</f>
        <v>EVPL</v>
      </c>
      <c r="C2701" t="str">
        <f>""</f>
        <v/>
      </c>
      <c r="D2701">
        <v>231.6</v>
      </c>
      <c r="E2701">
        <v>4</v>
      </c>
      <c r="F2701">
        <v>0</v>
      </c>
      <c r="G2701">
        <v>0</v>
      </c>
      <c r="H2701">
        <v>0</v>
      </c>
      <c r="I2701" s="7">
        <v>0</v>
      </c>
      <c r="J2701" s="6">
        <v>0</v>
      </c>
      <c r="K2701" s="6">
        <v>0</v>
      </c>
      <c r="L2701">
        <v>1</v>
      </c>
      <c r="M2701">
        <v>1</v>
      </c>
    </row>
    <row r="2702" spans="1:13" x14ac:dyDescent="0.25">
      <c r="A2702">
        <v>2490</v>
      </c>
      <c r="B2702" t="str">
        <f>"BARD1"</f>
        <v>BARD1</v>
      </c>
      <c r="C2702" t="str">
        <f>""</f>
        <v/>
      </c>
      <c r="D2702">
        <v>75.472999999999999</v>
      </c>
      <c r="E2702">
        <v>6.3</v>
      </c>
      <c r="F2702">
        <v>0</v>
      </c>
      <c r="G2702">
        <v>0</v>
      </c>
      <c r="H2702">
        <v>0</v>
      </c>
      <c r="I2702" s="7">
        <v>0</v>
      </c>
      <c r="J2702" s="6">
        <v>0</v>
      </c>
      <c r="K2702" s="6">
        <v>0</v>
      </c>
      <c r="L2702">
        <v>1</v>
      </c>
      <c r="M2702">
        <v>1</v>
      </c>
    </row>
    <row r="2703" spans="1:13" x14ac:dyDescent="0.25">
      <c r="A2703">
        <v>2677</v>
      </c>
      <c r="B2703" t="str">
        <f>"SAV1"</f>
        <v>SAV1</v>
      </c>
      <c r="C2703" t="str">
        <f>""</f>
        <v/>
      </c>
      <c r="D2703">
        <v>44.633000000000003</v>
      </c>
      <c r="E2703">
        <v>8.4</v>
      </c>
      <c r="F2703">
        <v>0</v>
      </c>
      <c r="G2703">
        <v>0</v>
      </c>
      <c r="H2703">
        <v>0</v>
      </c>
      <c r="I2703" s="7">
        <v>0</v>
      </c>
      <c r="J2703" s="6">
        <v>0</v>
      </c>
      <c r="K2703" s="6">
        <v>0</v>
      </c>
      <c r="L2703">
        <v>1</v>
      </c>
      <c r="M2703">
        <v>1</v>
      </c>
    </row>
    <row r="2704" spans="1:13" x14ac:dyDescent="0.25">
      <c r="A2704">
        <v>470</v>
      </c>
      <c r="B2704" t="str">
        <f>"IGKC"</f>
        <v>IGKC</v>
      </c>
      <c r="C2704" t="str">
        <f>""</f>
        <v/>
      </c>
      <c r="D2704">
        <v>11.765000000000001</v>
      </c>
      <c r="E2704">
        <v>34.6</v>
      </c>
      <c r="F2704">
        <v>0</v>
      </c>
      <c r="G2704">
        <v>0</v>
      </c>
      <c r="H2704">
        <v>0</v>
      </c>
      <c r="I2704" s="7">
        <v>0</v>
      </c>
      <c r="J2704" s="6">
        <v>0</v>
      </c>
      <c r="K2704" s="6">
        <v>0</v>
      </c>
      <c r="L2704">
        <v>1</v>
      </c>
      <c r="M2704">
        <v>1</v>
      </c>
    </row>
    <row r="2705" spans="1:13" x14ac:dyDescent="0.25">
      <c r="A2705">
        <v>1707</v>
      </c>
      <c r="B2705" t="str">
        <f>"PCM1"</f>
        <v>PCM1</v>
      </c>
      <c r="C2705" t="str">
        <f>""</f>
        <v/>
      </c>
      <c r="D2705">
        <v>222.23</v>
      </c>
      <c r="E2705">
        <v>5</v>
      </c>
      <c r="F2705">
        <v>0</v>
      </c>
      <c r="G2705">
        <v>0</v>
      </c>
      <c r="H2705">
        <v>0</v>
      </c>
      <c r="I2705" s="7">
        <v>0</v>
      </c>
      <c r="J2705" s="6">
        <v>0</v>
      </c>
      <c r="K2705" s="6">
        <v>0</v>
      </c>
      <c r="L2705">
        <v>1</v>
      </c>
      <c r="M2705">
        <v>1</v>
      </c>
    </row>
    <row r="2706" spans="1:13" x14ac:dyDescent="0.25">
      <c r="A2706">
        <v>2164</v>
      </c>
      <c r="B2706" t="str">
        <f>"CEP120"</f>
        <v>CEP120</v>
      </c>
      <c r="C2706" t="str">
        <f>""</f>
        <v/>
      </c>
      <c r="D2706">
        <v>112.64</v>
      </c>
      <c r="E2706">
        <v>6.4</v>
      </c>
      <c r="F2706">
        <v>0</v>
      </c>
      <c r="G2706">
        <v>0</v>
      </c>
      <c r="H2706">
        <v>0</v>
      </c>
      <c r="I2706" s="7">
        <v>0</v>
      </c>
      <c r="J2706" s="6">
        <v>0</v>
      </c>
      <c r="K2706" s="6">
        <v>0</v>
      </c>
      <c r="L2706">
        <v>1</v>
      </c>
      <c r="M2706">
        <v>1</v>
      </c>
    </row>
    <row r="2707" spans="1:13" x14ac:dyDescent="0.25">
      <c r="A2707">
        <v>2678</v>
      </c>
      <c r="B2707" t="str">
        <f>"MTG2"</f>
        <v>MTG2</v>
      </c>
      <c r="C2707" t="str">
        <f>""</f>
        <v/>
      </c>
      <c r="D2707">
        <v>43.954999999999998</v>
      </c>
      <c r="E2707">
        <v>4.9000000000000004</v>
      </c>
      <c r="F2707">
        <v>0</v>
      </c>
      <c r="G2707">
        <v>0</v>
      </c>
      <c r="H2707">
        <v>0</v>
      </c>
      <c r="I2707" s="7">
        <v>0</v>
      </c>
      <c r="J2707" s="6">
        <v>0</v>
      </c>
      <c r="K2707" s="6">
        <v>0</v>
      </c>
      <c r="L2707">
        <v>1</v>
      </c>
      <c r="M2707">
        <v>1</v>
      </c>
    </row>
    <row r="2708" spans="1:13" x14ac:dyDescent="0.25">
      <c r="A2708">
        <v>2862</v>
      </c>
      <c r="B2708" t="str">
        <f>"ERAP1"</f>
        <v>ERAP1</v>
      </c>
      <c r="C2708" t="str">
        <f>""</f>
        <v/>
      </c>
      <c r="D2708">
        <v>107.23</v>
      </c>
      <c r="E2708">
        <v>9</v>
      </c>
      <c r="F2708">
        <v>0</v>
      </c>
      <c r="G2708">
        <v>0</v>
      </c>
      <c r="H2708">
        <v>0</v>
      </c>
      <c r="I2708" s="7">
        <v>0</v>
      </c>
      <c r="J2708" s="6">
        <v>0</v>
      </c>
      <c r="K2708" s="6">
        <v>0</v>
      </c>
      <c r="L2708">
        <v>1</v>
      </c>
      <c r="M2708">
        <v>1</v>
      </c>
    </row>
    <row r="2709" spans="1:13" x14ac:dyDescent="0.25">
      <c r="A2709">
        <v>74</v>
      </c>
      <c r="B2709" t="str">
        <f>"KRT78"</f>
        <v>KRT78</v>
      </c>
      <c r="C2709" t="str">
        <f>""</f>
        <v/>
      </c>
      <c r="D2709">
        <v>56.963999999999999</v>
      </c>
      <c r="E2709">
        <v>6.1</v>
      </c>
      <c r="F2709">
        <v>0</v>
      </c>
      <c r="G2709">
        <v>0</v>
      </c>
      <c r="H2709">
        <v>0</v>
      </c>
      <c r="I2709" s="7">
        <v>0</v>
      </c>
      <c r="J2709" s="6">
        <v>0</v>
      </c>
      <c r="K2709" s="6">
        <v>0</v>
      </c>
      <c r="L2709">
        <v>1</v>
      </c>
      <c r="M2709">
        <v>1</v>
      </c>
    </row>
    <row r="2710" spans="1:13" x14ac:dyDescent="0.25">
      <c r="A2710">
        <v>765</v>
      </c>
      <c r="B2710" t="str">
        <f>"MX1"</f>
        <v>MX1</v>
      </c>
      <c r="C2710" t="str">
        <f>""</f>
        <v/>
      </c>
      <c r="D2710">
        <v>55.661000000000001</v>
      </c>
      <c r="E2710">
        <v>4.3</v>
      </c>
      <c r="F2710">
        <v>0</v>
      </c>
      <c r="G2710">
        <v>0</v>
      </c>
      <c r="H2710">
        <v>0</v>
      </c>
      <c r="I2710" s="7">
        <v>0</v>
      </c>
      <c r="J2710" s="6">
        <v>0</v>
      </c>
      <c r="K2710" s="6">
        <v>0</v>
      </c>
      <c r="L2710">
        <v>1</v>
      </c>
      <c r="M2710">
        <v>1</v>
      </c>
    </row>
    <row r="2711" spans="1:13" x14ac:dyDescent="0.25">
      <c r="A2711">
        <v>868</v>
      </c>
      <c r="B2711" t="str">
        <f>"GRN"</f>
        <v>GRN</v>
      </c>
      <c r="C2711" t="str">
        <f>""</f>
        <v/>
      </c>
      <c r="D2711">
        <v>63.543999999999997</v>
      </c>
      <c r="E2711">
        <v>5.2</v>
      </c>
      <c r="F2711">
        <v>0</v>
      </c>
      <c r="G2711">
        <v>0</v>
      </c>
      <c r="H2711">
        <v>0</v>
      </c>
      <c r="I2711" s="7">
        <v>0</v>
      </c>
      <c r="J2711" s="6">
        <v>0</v>
      </c>
      <c r="K2711" s="6">
        <v>0</v>
      </c>
      <c r="L2711">
        <v>1</v>
      </c>
      <c r="M2711">
        <v>1</v>
      </c>
    </row>
    <row r="2712" spans="1:13" x14ac:dyDescent="0.25">
      <c r="A2712">
        <v>1422</v>
      </c>
      <c r="B2712" t="str">
        <f>"AMPD3"</f>
        <v>AMPD3</v>
      </c>
      <c r="C2712" t="str">
        <f>""</f>
        <v/>
      </c>
      <c r="D2712">
        <v>71.221000000000004</v>
      </c>
      <c r="E2712">
        <v>4.5999999999999996</v>
      </c>
      <c r="F2712">
        <v>0</v>
      </c>
      <c r="G2712">
        <v>0</v>
      </c>
      <c r="H2712">
        <v>0</v>
      </c>
      <c r="I2712" s="7">
        <v>0</v>
      </c>
      <c r="J2712" s="6">
        <v>0</v>
      </c>
      <c r="K2712" s="6">
        <v>0</v>
      </c>
      <c r="L2712">
        <v>1</v>
      </c>
      <c r="M2712">
        <v>1</v>
      </c>
    </row>
    <row r="2713" spans="1:13" x14ac:dyDescent="0.25">
      <c r="A2713">
        <v>3004</v>
      </c>
      <c r="B2713" t="str">
        <f>"PCDHB8"</f>
        <v>PCDHB8</v>
      </c>
      <c r="C2713" t="str">
        <f>""</f>
        <v/>
      </c>
      <c r="D2713">
        <v>87.59</v>
      </c>
      <c r="E2713">
        <v>1.4</v>
      </c>
      <c r="F2713">
        <v>0</v>
      </c>
      <c r="G2713">
        <v>0</v>
      </c>
      <c r="H2713">
        <v>0</v>
      </c>
      <c r="I2713" s="7">
        <v>0</v>
      </c>
      <c r="J2713" s="6">
        <v>0</v>
      </c>
      <c r="K2713" s="6">
        <v>0</v>
      </c>
      <c r="L2713">
        <v>1</v>
      </c>
      <c r="M2713">
        <v>1</v>
      </c>
    </row>
    <row r="2714" spans="1:13" x14ac:dyDescent="0.25">
      <c r="A2714">
        <v>605</v>
      </c>
      <c r="B2714" t="str">
        <f>"LGALS1"</f>
        <v>LGALS1</v>
      </c>
      <c r="C2714" t="str">
        <f>""</f>
        <v/>
      </c>
      <c r="D2714">
        <v>14.715999999999999</v>
      </c>
      <c r="E2714">
        <v>5.9</v>
      </c>
      <c r="F2714">
        <v>0</v>
      </c>
      <c r="G2714">
        <v>0</v>
      </c>
      <c r="H2714">
        <v>0</v>
      </c>
      <c r="I2714" s="7">
        <v>0</v>
      </c>
      <c r="J2714" s="6">
        <v>0</v>
      </c>
      <c r="K2714" s="6">
        <v>0</v>
      </c>
      <c r="L2714">
        <v>1</v>
      </c>
      <c r="M2714">
        <v>1</v>
      </c>
    </row>
    <row r="2715" spans="1:13" x14ac:dyDescent="0.25">
      <c r="A2715">
        <v>918</v>
      </c>
      <c r="B2715" t="str">
        <f>"SFN"</f>
        <v>SFN</v>
      </c>
      <c r="C2715" t="str">
        <f>""</f>
        <v/>
      </c>
      <c r="D2715">
        <v>24.335999999999999</v>
      </c>
      <c r="E2715">
        <v>19</v>
      </c>
      <c r="F2715">
        <v>0</v>
      </c>
      <c r="G2715">
        <v>0</v>
      </c>
      <c r="H2715">
        <v>0</v>
      </c>
      <c r="I2715" s="7">
        <v>0</v>
      </c>
      <c r="J2715" s="6">
        <v>0</v>
      </c>
      <c r="K2715" s="6">
        <v>0</v>
      </c>
      <c r="L2715">
        <v>1</v>
      </c>
      <c r="M2715">
        <v>1</v>
      </c>
    </row>
    <row r="2716" spans="1:13" x14ac:dyDescent="0.25">
      <c r="A2716">
        <v>62</v>
      </c>
      <c r="B2716" t="str">
        <f>"KRT17"</f>
        <v>KRT17</v>
      </c>
      <c r="C2716" t="str">
        <f>""</f>
        <v/>
      </c>
      <c r="D2716">
        <v>48.104999999999997</v>
      </c>
      <c r="E2716">
        <v>16</v>
      </c>
      <c r="F2716">
        <v>0</v>
      </c>
      <c r="G2716">
        <v>0</v>
      </c>
      <c r="H2716">
        <v>0</v>
      </c>
      <c r="I2716" s="7">
        <v>0</v>
      </c>
      <c r="J2716" s="6">
        <v>0</v>
      </c>
      <c r="K2716" s="6">
        <v>0</v>
      </c>
      <c r="L2716">
        <v>1</v>
      </c>
      <c r="M2716">
        <v>1</v>
      </c>
    </row>
    <row r="2717" spans="1:13" x14ac:dyDescent="0.25">
      <c r="A2717">
        <v>1866</v>
      </c>
      <c r="B2717" t="str">
        <f>"KPRP"</f>
        <v>KPRP</v>
      </c>
      <c r="C2717" t="str">
        <f>""</f>
        <v/>
      </c>
      <c r="D2717">
        <v>64.135000000000005</v>
      </c>
      <c r="E2717">
        <v>6.6</v>
      </c>
      <c r="F2717">
        <v>0</v>
      </c>
      <c r="G2717">
        <v>0</v>
      </c>
      <c r="H2717">
        <v>0</v>
      </c>
      <c r="I2717" s="7">
        <v>0</v>
      </c>
      <c r="J2717" s="6">
        <v>0</v>
      </c>
      <c r="K2717" s="6">
        <v>0</v>
      </c>
      <c r="L2717">
        <v>1</v>
      </c>
      <c r="M2717">
        <v>1</v>
      </c>
    </row>
    <row r="2718" spans="1:13" x14ac:dyDescent="0.25">
      <c r="A2718">
        <v>1981</v>
      </c>
      <c r="B2718" t="str">
        <f>"WDFY4"</f>
        <v>WDFY4</v>
      </c>
      <c r="C2718" t="str">
        <f>""</f>
        <v/>
      </c>
      <c r="D2718">
        <v>114.92</v>
      </c>
      <c r="E2718">
        <v>1.2</v>
      </c>
      <c r="F2718">
        <v>0</v>
      </c>
      <c r="G2718">
        <v>0</v>
      </c>
      <c r="H2718">
        <v>0</v>
      </c>
      <c r="I2718" s="7">
        <v>0</v>
      </c>
      <c r="J2718" s="6">
        <v>0</v>
      </c>
      <c r="K2718" s="6">
        <v>0</v>
      </c>
      <c r="L2718">
        <v>1</v>
      </c>
      <c r="M2718">
        <v>1</v>
      </c>
    </row>
    <row r="2719" spans="1:13" x14ac:dyDescent="0.25">
      <c r="A2719">
        <v>0</v>
      </c>
      <c r="B2719" t="str">
        <f>"IGHV3-49"</f>
        <v>IGHV3-49</v>
      </c>
      <c r="C2719" t="str">
        <f>""</f>
        <v/>
      </c>
      <c r="D2719">
        <v>13.055999999999999</v>
      </c>
      <c r="E2719">
        <v>10.9</v>
      </c>
      <c r="F2719">
        <v>0</v>
      </c>
      <c r="G2719">
        <v>0</v>
      </c>
      <c r="H2719">
        <v>0</v>
      </c>
      <c r="I2719" s="7">
        <v>0</v>
      </c>
      <c r="J2719" s="6">
        <v>0</v>
      </c>
      <c r="K2719" s="6">
        <v>0</v>
      </c>
      <c r="L2719">
        <v>1</v>
      </c>
      <c r="M2719">
        <v>1</v>
      </c>
    </row>
    <row r="2720" spans="1:13" x14ac:dyDescent="0.25">
      <c r="A2720">
        <v>797</v>
      </c>
      <c r="B2720" t="str">
        <f>"TGM1"</f>
        <v>TGM1</v>
      </c>
      <c r="C2720" t="str">
        <f>""</f>
        <v/>
      </c>
      <c r="D2720">
        <v>89.786000000000001</v>
      </c>
      <c r="E2720">
        <v>4</v>
      </c>
      <c r="F2720">
        <v>0</v>
      </c>
      <c r="G2720">
        <v>0</v>
      </c>
      <c r="H2720">
        <v>0</v>
      </c>
      <c r="I2720" s="7">
        <v>0</v>
      </c>
      <c r="J2720" s="6">
        <v>0</v>
      </c>
      <c r="K2720" s="6">
        <v>0</v>
      </c>
      <c r="L2720">
        <v>1</v>
      </c>
      <c r="M2720">
        <v>1</v>
      </c>
    </row>
    <row r="2721" spans="1:13" x14ac:dyDescent="0.25">
      <c r="A2721">
        <v>921</v>
      </c>
      <c r="B2721" t="str">
        <f>"CCR7"</f>
        <v>CCR7</v>
      </c>
      <c r="C2721" t="str">
        <f>""</f>
        <v/>
      </c>
      <c r="D2721">
        <v>42.874000000000002</v>
      </c>
      <c r="E2721">
        <v>2.9</v>
      </c>
      <c r="F2721">
        <v>0</v>
      </c>
      <c r="G2721">
        <v>0</v>
      </c>
      <c r="H2721">
        <v>0</v>
      </c>
      <c r="I2721" s="7">
        <v>0</v>
      </c>
      <c r="J2721" s="6">
        <v>0</v>
      </c>
      <c r="K2721" s="6">
        <v>0</v>
      </c>
      <c r="L2721">
        <v>1</v>
      </c>
      <c r="M2721">
        <v>1</v>
      </c>
    </row>
    <row r="2722" spans="1:13" x14ac:dyDescent="0.25">
      <c r="A2722">
        <v>1642</v>
      </c>
      <c r="B2722" t="str">
        <f>"PTK2B"</f>
        <v>PTK2B</v>
      </c>
      <c r="C2722" t="str">
        <f>"PTK2B"</f>
        <v>PTK2B</v>
      </c>
      <c r="D2722">
        <v>111.18</v>
      </c>
      <c r="E2722">
        <v>2</v>
      </c>
      <c r="F2722">
        <v>0</v>
      </c>
      <c r="G2722">
        <v>0</v>
      </c>
      <c r="H2722">
        <v>0</v>
      </c>
      <c r="I2722" s="7">
        <v>0</v>
      </c>
      <c r="J2722" s="6">
        <v>0</v>
      </c>
      <c r="K2722" s="6">
        <v>0</v>
      </c>
      <c r="L2722">
        <v>1</v>
      </c>
      <c r="M2722">
        <v>1</v>
      </c>
    </row>
    <row r="2723" spans="1:13" x14ac:dyDescent="0.25">
      <c r="A2723">
        <v>2051</v>
      </c>
      <c r="B2723" t="str">
        <f>"ABCA12"</f>
        <v>ABCA12</v>
      </c>
      <c r="C2723" t="str">
        <f>""</f>
        <v/>
      </c>
      <c r="D2723">
        <v>256.95999999999998</v>
      </c>
      <c r="E2723">
        <v>0.4</v>
      </c>
      <c r="F2723">
        <v>0</v>
      </c>
      <c r="G2723">
        <v>0</v>
      </c>
      <c r="H2723">
        <v>0</v>
      </c>
      <c r="I2723" s="7">
        <v>0</v>
      </c>
      <c r="J2723" s="6">
        <v>0</v>
      </c>
      <c r="K2723" s="6">
        <v>0</v>
      </c>
      <c r="L2723">
        <v>1</v>
      </c>
      <c r="M2723">
        <v>1</v>
      </c>
    </row>
    <row r="2724" spans="1:13" x14ac:dyDescent="0.25">
      <c r="A2724">
        <v>2152</v>
      </c>
      <c r="B2724" t="str">
        <f>"ZBTB2"</f>
        <v>ZBTB2</v>
      </c>
      <c r="C2724" t="str">
        <f>""</f>
        <v/>
      </c>
      <c r="D2724">
        <v>57.335999999999999</v>
      </c>
      <c r="E2724">
        <v>9.5</v>
      </c>
      <c r="F2724">
        <v>0</v>
      </c>
      <c r="G2724">
        <v>0</v>
      </c>
      <c r="H2724">
        <v>0</v>
      </c>
      <c r="I2724" s="7">
        <v>0</v>
      </c>
      <c r="J2724" s="6">
        <v>0</v>
      </c>
      <c r="K2724" s="6">
        <v>0</v>
      </c>
      <c r="L2724">
        <v>1</v>
      </c>
      <c r="M2724">
        <v>1</v>
      </c>
    </row>
    <row r="2725" spans="1:13" x14ac:dyDescent="0.25">
      <c r="A2725">
        <v>2279</v>
      </c>
      <c r="B2725" t="str">
        <f>"DOCK2"</f>
        <v>DOCK2</v>
      </c>
      <c r="C2725" t="str">
        <f>""</f>
        <v/>
      </c>
      <c r="D2725">
        <v>211.95</v>
      </c>
      <c r="E2725">
        <v>1.6</v>
      </c>
      <c r="F2725">
        <v>0</v>
      </c>
      <c r="G2725">
        <v>0</v>
      </c>
      <c r="H2725">
        <v>0</v>
      </c>
      <c r="I2725" s="7">
        <v>0</v>
      </c>
      <c r="J2725" s="6">
        <v>0</v>
      </c>
      <c r="K2725" s="6">
        <v>0</v>
      </c>
      <c r="L2725">
        <v>1</v>
      </c>
      <c r="M2725">
        <v>1</v>
      </c>
    </row>
    <row r="2726" spans="1:13" x14ac:dyDescent="0.25">
      <c r="A2726">
        <v>2434</v>
      </c>
      <c r="B2726" t="str">
        <f>"SERPINB12"</f>
        <v>SERPINB12</v>
      </c>
      <c r="C2726" t="str">
        <f>""</f>
        <v/>
      </c>
      <c r="D2726">
        <v>46.276000000000003</v>
      </c>
      <c r="E2726">
        <v>9.1</v>
      </c>
      <c r="F2726">
        <v>0</v>
      </c>
      <c r="G2726">
        <v>0</v>
      </c>
      <c r="H2726">
        <v>0</v>
      </c>
      <c r="I2726" s="7">
        <v>0</v>
      </c>
      <c r="J2726" s="6">
        <v>0</v>
      </c>
      <c r="K2726" s="6">
        <v>0</v>
      </c>
      <c r="L2726">
        <v>1</v>
      </c>
      <c r="M2726">
        <v>1</v>
      </c>
    </row>
    <row r="2727" spans="1:13" x14ac:dyDescent="0.25">
      <c r="A2727">
        <v>2453</v>
      </c>
      <c r="B2727" t="str">
        <f>"IL4I1"</f>
        <v>IL4I1</v>
      </c>
      <c r="C2727" t="str">
        <f>""</f>
        <v/>
      </c>
      <c r="D2727">
        <v>62.88</v>
      </c>
      <c r="E2727">
        <v>4.2</v>
      </c>
      <c r="F2727">
        <v>0</v>
      </c>
      <c r="G2727">
        <v>0</v>
      </c>
      <c r="H2727">
        <v>0</v>
      </c>
      <c r="I2727" s="7">
        <v>0</v>
      </c>
      <c r="J2727" s="6">
        <v>0</v>
      </c>
      <c r="K2727" s="6">
        <v>0</v>
      </c>
      <c r="L2727">
        <v>1</v>
      </c>
      <c r="M2727">
        <v>1</v>
      </c>
    </row>
    <row r="2728" spans="1:13" x14ac:dyDescent="0.25">
      <c r="A2728">
        <v>6</v>
      </c>
      <c r="B2728" t="str">
        <f>"IGKV1-8;IGKV1-9"</f>
        <v>IGKV1-8;IGKV1-9</v>
      </c>
      <c r="C2728" t="str">
        <f>""</f>
        <v/>
      </c>
      <c r="D2728">
        <v>12.537000000000001</v>
      </c>
      <c r="E2728">
        <v>28.7</v>
      </c>
      <c r="F2728">
        <v>0</v>
      </c>
      <c r="G2728">
        <v>0</v>
      </c>
      <c r="H2728">
        <v>0</v>
      </c>
      <c r="I2728" s="7">
        <v>0</v>
      </c>
      <c r="J2728" s="6">
        <v>0</v>
      </c>
      <c r="K2728" s="6">
        <v>0</v>
      </c>
      <c r="L2728">
        <v>1</v>
      </c>
      <c r="M2728">
        <v>1</v>
      </c>
    </row>
    <row r="2729" spans="1:13" x14ac:dyDescent="0.25">
      <c r="A2729">
        <v>24</v>
      </c>
      <c r="B2729" t="str">
        <f>"A2ML1"</f>
        <v>A2ML1</v>
      </c>
      <c r="C2729" t="str">
        <f>""</f>
        <v/>
      </c>
      <c r="D2729">
        <v>105.97</v>
      </c>
      <c r="E2729">
        <v>4.5999999999999996</v>
      </c>
      <c r="F2729">
        <v>0</v>
      </c>
      <c r="G2729">
        <v>0</v>
      </c>
      <c r="H2729">
        <v>0</v>
      </c>
      <c r="I2729" s="7">
        <v>0</v>
      </c>
      <c r="J2729" s="6">
        <v>0</v>
      </c>
      <c r="K2729" s="6">
        <v>0</v>
      </c>
      <c r="L2729">
        <v>1</v>
      </c>
      <c r="M2729">
        <v>1</v>
      </c>
    </row>
    <row r="2730" spans="1:13" x14ac:dyDescent="0.25">
      <c r="A2730">
        <v>1020</v>
      </c>
      <c r="B2730" t="str">
        <f>"HAL"</f>
        <v>HAL</v>
      </c>
      <c r="C2730" t="str">
        <f>""</f>
        <v/>
      </c>
      <c r="D2730">
        <v>49.122</v>
      </c>
      <c r="E2730">
        <v>2.4</v>
      </c>
      <c r="F2730">
        <v>0</v>
      </c>
      <c r="G2730">
        <v>0</v>
      </c>
      <c r="H2730">
        <v>0</v>
      </c>
      <c r="I2730" s="7">
        <v>0</v>
      </c>
      <c r="J2730" s="6">
        <v>0</v>
      </c>
      <c r="K2730" s="6">
        <v>0</v>
      </c>
      <c r="L2730">
        <v>1</v>
      </c>
      <c r="M2730">
        <v>1</v>
      </c>
    </row>
    <row r="2731" spans="1:13" x14ac:dyDescent="0.25">
      <c r="A2731">
        <v>1079</v>
      </c>
      <c r="B2731" t="str">
        <f>"SERPINB4"</f>
        <v>SERPINB4</v>
      </c>
      <c r="C2731" t="str">
        <f>""</f>
        <v/>
      </c>
      <c r="D2731">
        <v>44.853000000000002</v>
      </c>
      <c r="E2731">
        <v>6.9</v>
      </c>
      <c r="F2731">
        <v>0</v>
      </c>
      <c r="G2731">
        <v>0</v>
      </c>
      <c r="H2731">
        <v>0</v>
      </c>
      <c r="I2731" s="7">
        <v>0</v>
      </c>
      <c r="J2731" s="6">
        <v>0</v>
      </c>
      <c r="K2731" s="6">
        <v>0</v>
      </c>
      <c r="L2731">
        <v>1</v>
      </c>
      <c r="M2731">
        <v>1</v>
      </c>
    </row>
    <row r="2732" spans="1:13" x14ac:dyDescent="0.25">
      <c r="A2732">
        <v>1757</v>
      </c>
      <c r="B2732" t="str">
        <f>"PSMD5"</f>
        <v>PSMD5</v>
      </c>
      <c r="C2732" t="str">
        <f>""</f>
        <v/>
      </c>
      <c r="D2732">
        <v>51.311</v>
      </c>
      <c r="E2732">
        <v>4.0999999999999996</v>
      </c>
      <c r="F2732">
        <v>0</v>
      </c>
      <c r="G2732">
        <v>0</v>
      </c>
      <c r="H2732">
        <v>0</v>
      </c>
      <c r="I2732" s="7">
        <v>0</v>
      </c>
      <c r="J2732" s="6">
        <v>0</v>
      </c>
      <c r="K2732" s="6">
        <v>0</v>
      </c>
      <c r="L2732">
        <v>1</v>
      </c>
      <c r="M2732">
        <v>1</v>
      </c>
    </row>
    <row r="2733" spans="1:13" x14ac:dyDescent="0.25">
      <c r="A2733">
        <v>1975</v>
      </c>
      <c r="B2733" t="str">
        <f>"GBP6"</f>
        <v>GBP6</v>
      </c>
      <c r="C2733" t="str">
        <f>""</f>
        <v/>
      </c>
      <c r="D2733">
        <v>72.426000000000002</v>
      </c>
      <c r="E2733">
        <v>9.3000000000000007</v>
      </c>
      <c r="F2733">
        <v>0</v>
      </c>
      <c r="G2733">
        <v>0</v>
      </c>
      <c r="H2733">
        <v>0</v>
      </c>
      <c r="I2733" s="7">
        <v>0</v>
      </c>
      <c r="J2733" s="6">
        <v>0</v>
      </c>
      <c r="K2733" s="6">
        <v>0</v>
      </c>
      <c r="L2733">
        <v>1</v>
      </c>
      <c r="M2733">
        <v>1</v>
      </c>
    </row>
    <row r="2734" spans="1:13" x14ac:dyDescent="0.25">
      <c r="A2734">
        <v>20</v>
      </c>
      <c r="B2734" t="str">
        <f>"NCF1;NCF1C;NCF1B"</f>
        <v>NCF1;NCF1C;NCF1B</v>
      </c>
      <c r="C2734" t="str">
        <f>""</f>
        <v/>
      </c>
      <c r="D2734">
        <v>30.81</v>
      </c>
      <c r="E2734">
        <v>3.2</v>
      </c>
      <c r="F2734">
        <v>0</v>
      </c>
      <c r="G2734">
        <v>0</v>
      </c>
      <c r="H2734">
        <v>0</v>
      </c>
      <c r="I2734" s="7">
        <v>0</v>
      </c>
      <c r="J2734" s="6">
        <v>0</v>
      </c>
      <c r="K2734" s="6">
        <v>0</v>
      </c>
      <c r="L2734">
        <v>1</v>
      </c>
      <c r="M2734">
        <v>1</v>
      </c>
    </row>
    <row r="2735" spans="1:13" x14ac:dyDescent="0.25">
      <c r="A2735">
        <v>316</v>
      </c>
      <c r="B2735" t="str">
        <f>"ALOX12B"</f>
        <v>ALOX12B</v>
      </c>
      <c r="C2735" t="str">
        <f>""</f>
        <v/>
      </c>
      <c r="D2735">
        <v>80.355000000000004</v>
      </c>
      <c r="E2735">
        <v>6.6</v>
      </c>
      <c r="F2735">
        <v>0</v>
      </c>
      <c r="G2735">
        <v>0</v>
      </c>
      <c r="H2735">
        <v>0</v>
      </c>
      <c r="I2735" s="7">
        <v>0</v>
      </c>
      <c r="J2735" s="6">
        <v>0</v>
      </c>
      <c r="K2735" s="6">
        <v>0</v>
      </c>
      <c r="L2735">
        <v>1</v>
      </c>
      <c r="M2735">
        <v>1</v>
      </c>
    </row>
    <row r="2736" spans="1:13" x14ac:dyDescent="0.25">
      <c r="A2736">
        <v>479</v>
      </c>
      <c r="B2736" t="str">
        <f>"HLA-DRB1;HLA-DRB3;HLA-DRB5"</f>
        <v>HLA-DRB1;HLA-DRB3;HLA-DRB5</v>
      </c>
      <c r="C2736" t="str">
        <f>""</f>
        <v/>
      </c>
      <c r="D2736">
        <v>29.966000000000001</v>
      </c>
      <c r="E2736">
        <v>10.9</v>
      </c>
      <c r="F2736">
        <v>0</v>
      </c>
      <c r="G2736">
        <v>0</v>
      </c>
      <c r="H2736">
        <v>0</v>
      </c>
      <c r="I2736" s="7">
        <v>0</v>
      </c>
      <c r="J2736" s="6">
        <v>0</v>
      </c>
      <c r="K2736" s="6">
        <v>0</v>
      </c>
      <c r="L2736">
        <v>1</v>
      </c>
      <c r="M2736">
        <v>1</v>
      </c>
    </row>
    <row r="2737" spans="1:13" x14ac:dyDescent="0.25">
      <c r="A2737">
        <v>691</v>
      </c>
      <c r="B2737" t="str">
        <f>"HCLS1"</f>
        <v>HCLS1</v>
      </c>
      <c r="C2737" t="str">
        <f>""</f>
        <v/>
      </c>
      <c r="D2737">
        <v>54.012999999999998</v>
      </c>
      <c r="E2737">
        <v>4.5</v>
      </c>
      <c r="F2737">
        <v>0</v>
      </c>
      <c r="G2737">
        <v>0</v>
      </c>
      <c r="H2737">
        <v>0</v>
      </c>
      <c r="I2737" s="7">
        <v>0</v>
      </c>
      <c r="J2737" s="6">
        <v>0</v>
      </c>
      <c r="K2737" s="6">
        <v>0</v>
      </c>
      <c r="L2737">
        <v>1</v>
      </c>
      <c r="M2737">
        <v>1</v>
      </c>
    </row>
    <row r="2738" spans="1:13" x14ac:dyDescent="0.25">
      <c r="A2738">
        <v>1577</v>
      </c>
      <c r="B2738" t="str">
        <f>"MYO9B"</f>
        <v>MYO9B</v>
      </c>
      <c r="C2738" t="str">
        <f>""</f>
        <v/>
      </c>
      <c r="D2738">
        <v>229.14</v>
      </c>
      <c r="E2738">
        <v>2.1</v>
      </c>
      <c r="F2738">
        <v>0</v>
      </c>
      <c r="G2738">
        <v>0</v>
      </c>
      <c r="H2738">
        <v>0</v>
      </c>
      <c r="I2738" s="7">
        <v>0</v>
      </c>
      <c r="J2738" s="6">
        <v>0</v>
      </c>
      <c r="K2738" s="6">
        <v>0</v>
      </c>
      <c r="L2738">
        <v>1</v>
      </c>
      <c r="M2738">
        <v>1</v>
      </c>
    </row>
    <row r="2739" spans="1:13" x14ac:dyDescent="0.25">
      <c r="A2739">
        <v>2083</v>
      </c>
      <c r="B2739" t="str">
        <f>"RASAL3"</f>
        <v>RASAL3</v>
      </c>
      <c r="C2739" t="str">
        <f>""</f>
        <v/>
      </c>
      <c r="D2739">
        <v>111.9</v>
      </c>
      <c r="E2739">
        <v>2.7</v>
      </c>
      <c r="F2739">
        <v>0</v>
      </c>
      <c r="G2739">
        <v>0</v>
      </c>
      <c r="H2739">
        <v>0</v>
      </c>
      <c r="I2739" s="7">
        <v>0</v>
      </c>
      <c r="J2739" s="6">
        <v>0</v>
      </c>
      <c r="K2739" s="6">
        <v>0</v>
      </c>
      <c r="L2739">
        <v>1</v>
      </c>
      <c r="M2739">
        <v>1</v>
      </c>
    </row>
    <row r="2740" spans="1:13" x14ac:dyDescent="0.25">
      <c r="A2740">
        <v>2262</v>
      </c>
      <c r="B2740" t="str">
        <f>"TTN"</f>
        <v>TTN</v>
      </c>
      <c r="C2740" t="str">
        <f>"TTN"</f>
        <v>TTN</v>
      </c>
      <c r="D2740">
        <v>3653</v>
      </c>
      <c r="E2740">
        <v>0.1</v>
      </c>
      <c r="F2740">
        <v>0</v>
      </c>
      <c r="G2740">
        <v>0</v>
      </c>
      <c r="H2740">
        <v>0</v>
      </c>
      <c r="I2740" s="7">
        <v>0</v>
      </c>
      <c r="J2740" s="6">
        <v>0</v>
      </c>
      <c r="K2740" s="6">
        <v>0</v>
      </c>
      <c r="L2740">
        <v>1</v>
      </c>
      <c r="M2740">
        <v>1</v>
      </c>
    </row>
    <row r="2741" spans="1:13" x14ac:dyDescent="0.25">
      <c r="A2741">
        <v>2429</v>
      </c>
      <c r="B2741" t="str">
        <f>"PPM1M"</f>
        <v>PPM1M</v>
      </c>
      <c r="C2741" t="str">
        <f>""</f>
        <v/>
      </c>
      <c r="D2741">
        <v>18.837</v>
      </c>
      <c r="E2741">
        <v>5.3</v>
      </c>
      <c r="F2741">
        <v>0</v>
      </c>
      <c r="G2741">
        <v>0</v>
      </c>
      <c r="H2741">
        <v>0</v>
      </c>
      <c r="I2741" s="7">
        <v>0</v>
      </c>
      <c r="J2741" s="6">
        <v>0</v>
      </c>
      <c r="K2741" s="6">
        <v>0</v>
      </c>
      <c r="L2741">
        <v>1</v>
      </c>
      <c r="M2741">
        <v>1</v>
      </c>
    </row>
    <row r="2742" spans="1:13" x14ac:dyDescent="0.25">
      <c r="A2742">
        <v>2883</v>
      </c>
      <c r="B2742" t="str">
        <f>"KLK14"</f>
        <v>KLK14</v>
      </c>
      <c r="C2742" t="str">
        <f>""</f>
        <v/>
      </c>
      <c r="D2742">
        <v>29.120999999999999</v>
      </c>
      <c r="E2742">
        <v>21.7</v>
      </c>
      <c r="F2742">
        <v>0</v>
      </c>
      <c r="G2742">
        <v>0</v>
      </c>
      <c r="H2742">
        <v>0</v>
      </c>
      <c r="I2742" s="7">
        <v>0</v>
      </c>
      <c r="J2742" s="6">
        <v>0</v>
      </c>
      <c r="K2742" s="6">
        <v>0</v>
      </c>
      <c r="L2742">
        <v>1</v>
      </c>
      <c r="M2742">
        <v>1</v>
      </c>
    </row>
    <row r="2743" spans="1:13" x14ac:dyDescent="0.25">
      <c r="A2743">
        <v>127</v>
      </c>
      <c r="B2743" t="str">
        <f>"CES2"</f>
        <v>CES2</v>
      </c>
      <c r="C2743" t="str">
        <f>""</f>
        <v/>
      </c>
      <c r="D2743">
        <v>61.805999999999997</v>
      </c>
      <c r="E2743">
        <v>5.7</v>
      </c>
      <c r="F2743">
        <v>0</v>
      </c>
      <c r="G2743">
        <v>0</v>
      </c>
      <c r="H2743">
        <v>0</v>
      </c>
      <c r="I2743" s="7">
        <v>0</v>
      </c>
      <c r="J2743" s="6">
        <v>0</v>
      </c>
      <c r="K2743" s="6">
        <v>0</v>
      </c>
      <c r="L2743">
        <v>1</v>
      </c>
      <c r="M2743">
        <v>1</v>
      </c>
    </row>
    <row r="2744" spans="1:13" x14ac:dyDescent="0.25">
      <c r="A2744">
        <v>179</v>
      </c>
      <c r="B2744" t="str">
        <f>"ZNF185"</f>
        <v>ZNF185</v>
      </c>
      <c r="C2744" t="str">
        <f>""</f>
        <v/>
      </c>
      <c r="D2744">
        <v>73.525000000000006</v>
      </c>
      <c r="E2744">
        <v>10</v>
      </c>
      <c r="F2744">
        <v>0</v>
      </c>
      <c r="G2744">
        <v>0</v>
      </c>
      <c r="H2744">
        <v>0</v>
      </c>
      <c r="I2744" s="7">
        <v>0</v>
      </c>
      <c r="J2744" s="6">
        <v>0</v>
      </c>
      <c r="K2744" s="6">
        <v>0</v>
      </c>
      <c r="L2744">
        <v>1</v>
      </c>
      <c r="M2744">
        <v>1</v>
      </c>
    </row>
    <row r="2745" spans="1:13" x14ac:dyDescent="0.25">
      <c r="A2745">
        <v>387</v>
      </c>
      <c r="B2745" t="str">
        <f>"SCEL"</f>
        <v>SCEL</v>
      </c>
      <c r="C2745" t="str">
        <f>""</f>
        <v/>
      </c>
      <c r="D2745">
        <v>72.843000000000004</v>
      </c>
      <c r="E2745">
        <v>3.4</v>
      </c>
      <c r="F2745">
        <v>0</v>
      </c>
      <c r="G2745">
        <v>0</v>
      </c>
      <c r="H2745">
        <v>0</v>
      </c>
      <c r="I2745" s="7">
        <v>0</v>
      </c>
      <c r="J2745" s="6">
        <v>0</v>
      </c>
      <c r="K2745" s="6">
        <v>0</v>
      </c>
      <c r="L2745">
        <v>1</v>
      </c>
      <c r="M2745">
        <v>1</v>
      </c>
    </row>
    <row r="2746" spans="1:13" x14ac:dyDescent="0.25">
      <c r="A2746">
        <v>480</v>
      </c>
      <c r="B2746" t="str">
        <f>"HLA-DQB1"</f>
        <v>HLA-DQB1</v>
      </c>
      <c r="C2746" t="str">
        <f>""</f>
        <v/>
      </c>
      <c r="D2746">
        <v>29.991</v>
      </c>
      <c r="E2746">
        <v>9.6</v>
      </c>
      <c r="F2746">
        <v>0</v>
      </c>
      <c r="G2746">
        <v>0</v>
      </c>
      <c r="H2746">
        <v>0</v>
      </c>
      <c r="I2746" s="7">
        <v>0</v>
      </c>
      <c r="J2746" s="6">
        <v>0</v>
      </c>
      <c r="K2746" s="6">
        <v>0</v>
      </c>
      <c r="L2746">
        <v>1</v>
      </c>
      <c r="M2746">
        <v>1</v>
      </c>
    </row>
    <row r="2747" spans="1:13" x14ac:dyDescent="0.25">
      <c r="A2747">
        <v>517</v>
      </c>
      <c r="B2747" t="str">
        <f>"HLA-DPB1"</f>
        <v>HLA-DPB1</v>
      </c>
      <c r="C2747" t="str">
        <f>""</f>
        <v/>
      </c>
      <c r="D2747">
        <v>29.158999999999999</v>
      </c>
      <c r="E2747">
        <v>3.9</v>
      </c>
      <c r="F2747">
        <v>0</v>
      </c>
      <c r="G2747">
        <v>0</v>
      </c>
      <c r="H2747">
        <v>0</v>
      </c>
      <c r="I2747" s="7">
        <v>0</v>
      </c>
      <c r="J2747" s="6">
        <v>0</v>
      </c>
      <c r="K2747" s="6">
        <v>0</v>
      </c>
      <c r="L2747">
        <v>1</v>
      </c>
      <c r="M2747">
        <v>1</v>
      </c>
    </row>
    <row r="2748" spans="1:13" x14ac:dyDescent="0.25">
      <c r="A2748">
        <v>520</v>
      </c>
      <c r="B2748" t="str">
        <f>"HSPB1"</f>
        <v>HSPB1</v>
      </c>
      <c r="C2748" t="str">
        <f>""</f>
        <v/>
      </c>
      <c r="D2748">
        <v>22.782</v>
      </c>
      <c r="E2748">
        <v>7.3</v>
      </c>
      <c r="F2748">
        <v>0</v>
      </c>
      <c r="G2748">
        <v>0</v>
      </c>
      <c r="H2748">
        <v>0</v>
      </c>
      <c r="I2748" s="7">
        <v>0</v>
      </c>
      <c r="J2748" s="6">
        <v>0</v>
      </c>
      <c r="K2748" s="6">
        <v>0</v>
      </c>
      <c r="L2748">
        <v>1</v>
      </c>
      <c r="M2748">
        <v>1</v>
      </c>
    </row>
    <row r="2749" spans="1:13" x14ac:dyDescent="0.25">
      <c r="A2749">
        <v>692</v>
      </c>
      <c r="B2749" t="str">
        <f>"FDPS"</f>
        <v>FDPS</v>
      </c>
      <c r="C2749" t="str">
        <f>""</f>
        <v/>
      </c>
      <c r="D2749">
        <v>40.531999999999996</v>
      </c>
      <c r="E2749">
        <v>5.0999999999999996</v>
      </c>
      <c r="F2749">
        <v>0</v>
      </c>
      <c r="G2749">
        <v>0</v>
      </c>
      <c r="H2749">
        <v>0</v>
      </c>
      <c r="I2749" s="7">
        <v>0</v>
      </c>
      <c r="J2749" s="6">
        <v>0</v>
      </c>
      <c r="K2749" s="6">
        <v>0</v>
      </c>
      <c r="L2749">
        <v>1</v>
      </c>
      <c r="M2749">
        <v>1</v>
      </c>
    </row>
    <row r="2750" spans="1:13" x14ac:dyDescent="0.25">
      <c r="A2750">
        <v>719</v>
      </c>
      <c r="B2750" t="str">
        <f>"CD36"</f>
        <v>CD36</v>
      </c>
      <c r="C2750" t="str">
        <f>""</f>
        <v/>
      </c>
      <c r="D2750">
        <v>32.265000000000001</v>
      </c>
      <c r="E2750">
        <v>4.5</v>
      </c>
      <c r="F2750">
        <v>0</v>
      </c>
      <c r="G2750">
        <v>0</v>
      </c>
      <c r="H2750">
        <v>0</v>
      </c>
      <c r="I2750" s="7">
        <v>0</v>
      </c>
      <c r="J2750" s="6">
        <v>0</v>
      </c>
      <c r="K2750" s="6">
        <v>0</v>
      </c>
      <c r="L2750">
        <v>1</v>
      </c>
      <c r="M2750">
        <v>1</v>
      </c>
    </row>
    <row r="2751" spans="1:13" x14ac:dyDescent="0.25">
      <c r="A2751">
        <v>1232</v>
      </c>
      <c r="B2751" t="str">
        <f>"NCKAP1L"</f>
        <v>NCKAP1L</v>
      </c>
      <c r="C2751" t="str">
        <f>""</f>
        <v/>
      </c>
      <c r="D2751">
        <v>122.48</v>
      </c>
      <c r="E2751">
        <v>1.8</v>
      </c>
      <c r="F2751">
        <v>0</v>
      </c>
      <c r="G2751">
        <v>0</v>
      </c>
      <c r="H2751">
        <v>0</v>
      </c>
      <c r="I2751" s="7">
        <v>0</v>
      </c>
      <c r="J2751" s="6">
        <v>0</v>
      </c>
      <c r="K2751" s="6">
        <v>0</v>
      </c>
      <c r="L2751">
        <v>1</v>
      </c>
      <c r="M2751">
        <v>1</v>
      </c>
    </row>
    <row r="2752" spans="1:13" x14ac:dyDescent="0.25">
      <c r="A2752">
        <v>1970</v>
      </c>
      <c r="B2752" t="str">
        <f>"NAPRT"</f>
        <v>NAPRT</v>
      </c>
      <c r="C2752" t="str">
        <f>""</f>
        <v/>
      </c>
      <c r="D2752">
        <v>56.098999999999997</v>
      </c>
      <c r="E2752">
        <v>4.4000000000000004</v>
      </c>
      <c r="F2752">
        <v>0</v>
      </c>
      <c r="G2752">
        <v>0</v>
      </c>
      <c r="H2752">
        <v>0</v>
      </c>
      <c r="I2752" s="7">
        <v>0</v>
      </c>
      <c r="J2752" s="6">
        <v>0</v>
      </c>
      <c r="K2752" s="6">
        <v>0</v>
      </c>
      <c r="L2752">
        <v>1</v>
      </c>
      <c r="M2752">
        <v>1</v>
      </c>
    </row>
    <row r="2753" spans="1:13" x14ac:dyDescent="0.25">
      <c r="A2753">
        <v>1985</v>
      </c>
      <c r="B2753" t="str">
        <f>"UBN2"</f>
        <v>UBN2</v>
      </c>
      <c r="C2753" t="str">
        <f>""</f>
        <v/>
      </c>
      <c r="D2753">
        <v>108.07</v>
      </c>
      <c r="E2753">
        <v>1</v>
      </c>
      <c r="F2753">
        <v>0</v>
      </c>
      <c r="G2753">
        <v>0</v>
      </c>
      <c r="H2753">
        <v>0</v>
      </c>
      <c r="I2753" s="7">
        <v>0</v>
      </c>
      <c r="J2753" s="6">
        <v>0</v>
      </c>
      <c r="K2753" s="6">
        <v>0</v>
      </c>
      <c r="L2753">
        <v>1</v>
      </c>
      <c r="M2753">
        <v>1</v>
      </c>
    </row>
    <row r="2754" spans="1:13" x14ac:dyDescent="0.25">
      <c r="A2754">
        <v>2039</v>
      </c>
      <c r="B2754" t="str">
        <f>"SYT9"</f>
        <v>SYT9</v>
      </c>
      <c r="C2754" t="str">
        <f>""</f>
        <v/>
      </c>
      <c r="D2754">
        <v>56.186999999999998</v>
      </c>
      <c r="E2754">
        <v>1.4</v>
      </c>
      <c r="F2754">
        <v>0</v>
      </c>
      <c r="G2754">
        <v>0</v>
      </c>
      <c r="H2754">
        <v>0</v>
      </c>
      <c r="I2754" s="7">
        <v>0</v>
      </c>
      <c r="J2754" s="6">
        <v>0</v>
      </c>
      <c r="K2754" s="6">
        <v>0</v>
      </c>
      <c r="L2754">
        <v>1</v>
      </c>
      <c r="M2754">
        <v>1</v>
      </c>
    </row>
    <row r="2755" spans="1:13" x14ac:dyDescent="0.25">
      <c r="A2755">
        <v>2075</v>
      </c>
      <c r="B2755" t="str">
        <f>"PLA2G4D"</f>
        <v>PLA2G4D</v>
      </c>
      <c r="C2755" t="str">
        <f>""</f>
        <v/>
      </c>
      <c r="D2755">
        <v>91.950999999999993</v>
      </c>
      <c r="E2755">
        <v>5.5</v>
      </c>
      <c r="F2755">
        <v>0</v>
      </c>
      <c r="G2755">
        <v>0</v>
      </c>
      <c r="H2755">
        <v>0</v>
      </c>
      <c r="I2755" s="7">
        <v>0</v>
      </c>
      <c r="J2755" s="6">
        <v>0</v>
      </c>
      <c r="K2755" s="6">
        <v>0</v>
      </c>
      <c r="L2755">
        <v>1</v>
      </c>
      <c r="M2755">
        <v>1</v>
      </c>
    </row>
    <row r="2756" spans="1:13" x14ac:dyDescent="0.25">
      <c r="A2756">
        <v>2243</v>
      </c>
      <c r="B2756" t="str">
        <f>"POF1B"</f>
        <v>POF1B</v>
      </c>
      <c r="C2756" t="str">
        <f>""</f>
        <v/>
      </c>
      <c r="D2756">
        <v>68.694999999999993</v>
      </c>
      <c r="E2756">
        <v>3.5</v>
      </c>
      <c r="F2756">
        <v>0</v>
      </c>
      <c r="G2756">
        <v>0</v>
      </c>
      <c r="H2756">
        <v>0</v>
      </c>
      <c r="I2756" s="7">
        <v>0</v>
      </c>
      <c r="J2756" s="6">
        <v>0</v>
      </c>
      <c r="K2756" s="6">
        <v>0</v>
      </c>
      <c r="L2756">
        <v>1</v>
      </c>
      <c r="M2756">
        <v>1</v>
      </c>
    </row>
    <row r="2757" spans="1:13" x14ac:dyDescent="0.25">
      <c r="A2757">
        <v>2578</v>
      </c>
      <c r="B2757" t="str">
        <f>"CCDC106"</f>
        <v>CCDC106</v>
      </c>
      <c r="C2757" t="str">
        <f>""</f>
        <v/>
      </c>
      <c r="D2757">
        <v>32.031999999999996</v>
      </c>
      <c r="E2757">
        <v>8.6</v>
      </c>
      <c r="F2757">
        <v>0</v>
      </c>
      <c r="G2757">
        <v>0</v>
      </c>
      <c r="H2757">
        <v>0</v>
      </c>
      <c r="I2757" s="7">
        <v>0</v>
      </c>
      <c r="J2757" s="6">
        <v>0</v>
      </c>
      <c r="K2757" s="6">
        <v>0</v>
      </c>
      <c r="L2757">
        <v>1</v>
      </c>
      <c r="M2757">
        <v>1</v>
      </c>
    </row>
    <row r="2758" spans="1:13" x14ac:dyDescent="0.25">
      <c r="A2758">
        <v>2962</v>
      </c>
      <c r="B2758" t="str">
        <f>"SERPINB13"</f>
        <v>SERPINB13</v>
      </c>
      <c r="C2758" t="str">
        <f>""</f>
        <v/>
      </c>
      <c r="D2758">
        <v>38.412999999999997</v>
      </c>
      <c r="E2758">
        <v>14.5</v>
      </c>
      <c r="F2758">
        <v>0</v>
      </c>
      <c r="G2758">
        <v>0</v>
      </c>
      <c r="H2758">
        <v>0</v>
      </c>
      <c r="I2758" s="7">
        <v>0</v>
      </c>
      <c r="J2758" s="6">
        <v>0</v>
      </c>
      <c r="K2758" s="6">
        <v>0</v>
      </c>
      <c r="L2758">
        <v>1</v>
      </c>
      <c r="M2758">
        <v>1</v>
      </c>
    </row>
    <row r="2759" spans="1:13" x14ac:dyDescent="0.25">
      <c r="A2759">
        <v>95</v>
      </c>
      <c r="B2759" t="str">
        <f>"SULT2B1"</f>
        <v>SULT2B1</v>
      </c>
      <c r="C2759" t="str">
        <f>""</f>
        <v/>
      </c>
      <c r="D2759">
        <v>39.597999999999999</v>
      </c>
      <c r="E2759">
        <v>3.7</v>
      </c>
      <c r="F2759">
        <v>0</v>
      </c>
      <c r="G2759">
        <v>0</v>
      </c>
      <c r="H2759">
        <v>0</v>
      </c>
      <c r="I2759" s="7">
        <v>0</v>
      </c>
      <c r="J2759" s="6">
        <v>0</v>
      </c>
      <c r="K2759" s="6">
        <v>0</v>
      </c>
      <c r="L2759">
        <v>1</v>
      </c>
      <c r="M2759">
        <v>1</v>
      </c>
    </row>
    <row r="2760" spans="1:13" x14ac:dyDescent="0.25">
      <c r="A2760">
        <v>340</v>
      </c>
      <c r="B2760" t="str">
        <f>"SERPINB7"</f>
        <v>SERPINB7</v>
      </c>
      <c r="C2760" t="str">
        <f>""</f>
        <v/>
      </c>
      <c r="D2760">
        <v>41.173999999999999</v>
      </c>
      <c r="E2760">
        <v>5.5</v>
      </c>
      <c r="F2760">
        <v>0</v>
      </c>
      <c r="G2760">
        <v>0</v>
      </c>
      <c r="H2760">
        <v>0</v>
      </c>
      <c r="I2760" s="7">
        <v>0</v>
      </c>
      <c r="J2760" s="6">
        <v>0</v>
      </c>
      <c r="K2760" s="6">
        <v>0</v>
      </c>
      <c r="L2760">
        <v>1</v>
      </c>
      <c r="M2760">
        <v>1</v>
      </c>
    </row>
    <row r="2761" spans="1:13" x14ac:dyDescent="0.25">
      <c r="A2761">
        <v>516</v>
      </c>
      <c r="B2761" t="str">
        <f>"HLA-A"</f>
        <v>HLA-A</v>
      </c>
      <c r="C2761" t="str">
        <f>""</f>
        <v/>
      </c>
      <c r="D2761">
        <v>40.840000000000003</v>
      </c>
      <c r="E2761">
        <v>8.5</v>
      </c>
      <c r="F2761">
        <v>0</v>
      </c>
      <c r="G2761">
        <v>0</v>
      </c>
      <c r="H2761">
        <v>0</v>
      </c>
      <c r="I2761" s="7">
        <v>0</v>
      </c>
      <c r="J2761" s="6">
        <v>0</v>
      </c>
      <c r="K2761" s="6">
        <v>0</v>
      </c>
      <c r="L2761">
        <v>1</v>
      </c>
      <c r="M2761">
        <v>1</v>
      </c>
    </row>
    <row r="2762" spans="1:13" x14ac:dyDescent="0.25">
      <c r="A2762">
        <v>787</v>
      </c>
      <c r="B2762" t="str">
        <f>"RPS4Y1"</f>
        <v>RPS4Y1</v>
      </c>
      <c r="C2762" t="str">
        <f>""</f>
        <v/>
      </c>
      <c r="D2762">
        <v>29.454999999999998</v>
      </c>
      <c r="E2762">
        <v>13.7</v>
      </c>
      <c r="F2762">
        <v>0</v>
      </c>
      <c r="G2762">
        <v>0</v>
      </c>
      <c r="H2762">
        <v>0</v>
      </c>
      <c r="I2762" s="7">
        <v>0</v>
      </c>
      <c r="J2762" s="6">
        <v>0</v>
      </c>
      <c r="K2762" s="6">
        <v>0</v>
      </c>
      <c r="L2762">
        <v>1</v>
      </c>
      <c r="M2762">
        <v>1</v>
      </c>
    </row>
    <row r="2763" spans="1:13" x14ac:dyDescent="0.25">
      <c r="A2763">
        <v>872</v>
      </c>
      <c r="B2763" t="str">
        <f>"PTPN6"</f>
        <v>PTPN6</v>
      </c>
      <c r="C2763" t="str">
        <f>""</f>
        <v/>
      </c>
      <c r="D2763">
        <v>63.124000000000002</v>
      </c>
      <c r="E2763">
        <v>1.8</v>
      </c>
      <c r="F2763">
        <v>0</v>
      </c>
      <c r="G2763">
        <v>0</v>
      </c>
      <c r="H2763">
        <v>0</v>
      </c>
      <c r="I2763" s="7">
        <v>0</v>
      </c>
      <c r="J2763" s="6">
        <v>0</v>
      </c>
      <c r="K2763" s="6">
        <v>0</v>
      </c>
      <c r="L2763">
        <v>1</v>
      </c>
      <c r="M2763">
        <v>1</v>
      </c>
    </row>
    <row r="2764" spans="1:13" x14ac:dyDescent="0.25">
      <c r="A2764">
        <v>1134</v>
      </c>
      <c r="B2764" t="str">
        <f>"SERPINB8"</f>
        <v>SERPINB8</v>
      </c>
      <c r="C2764" t="str">
        <f>""</f>
        <v/>
      </c>
      <c r="D2764">
        <v>27.672000000000001</v>
      </c>
      <c r="E2764">
        <v>10.3</v>
      </c>
      <c r="F2764">
        <v>0</v>
      </c>
      <c r="G2764">
        <v>0</v>
      </c>
      <c r="H2764">
        <v>0</v>
      </c>
      <c r="I2764" s="7">
        <v>0</v>
      </c>
      <c r="J2764" s="6">
        <v>0</v>
      </c>
      <c r="K2764" s="6">
        <v>0</v>
      </c>
      <c r="L2764">
        <v>1</v>
      </c>
      <c r="M2764">
        <v>1</v>
      </c>
    </row>
    <row r="2765" spans="1:13" x14ac:dyDescent="0.25">
      <c r="A2765">
        <v>1154</v>
      </c>
      <c r="B2765" t="str">
        <f>"RAB27A"</f>
        <v>RAB27A</v>
      </c>
      <c r="C2765" t="str">
        <f>""</f>
        <v/>
      </c>
      <c r="D2765">
        <v>24.041</v>
      </c>
      <c r="E2765">
        <v>4.2</v>
      </c>
      <c r="F2765">
        <v>0</v>
      </c>
      <c r="G2765">
        <v>0</v>
      </c>
      <c r="H2765">
        <v>0</v>
      </c>
      <c r="I2765" s="7">
        <v>0</v>
      </c>
      <c r="J2765" s="6">
        <v>0</v>
      </c>
      <c r="K2765" s="6">
        <v>0</v>
      </c>
      <c r="L2765">
        <v>1</v>
      </c>
      <c r="M2765">
        <v>1</v>
      </c>
    </row>
    <row r="2766" spans="1:13" x14ac:dyDescent="0.25">
      <c r="A2766">
        <v>1193</v>
      </c>
      <c r="B2766" t="str">
        <f>"AKR1C2;AKR1C1"</f>
        <v>AKR1C2;AKR1C1</v>
      </c>
      <c r="C2766" t="str">
        <f>""</f>
        <v/>
      </c>
      <c r="D2766">
        <v>15.747999999999999</v>
      </c>
      <c r="E2766">
        <v>15.8</v>
      </c>
      <c r="F2766">
        <v>0</v>
      </c>
      <c r="G2766">
        <v>0</v>
      </c>
      <c r="H2766">
        <v>0</v>
      </c>
      <c r="I2766" s="7">
        <v>0</v>
      </c>
      <c r="J2766" s="6">
        <v>0</v>
      </c>
      <c r="K2766" s="6">
        <v>0</v>
      </c>
      <c r="L2766">
        <v>1</v>
      </c>
      <c r="M2766">
        <v>1</v>
      </c>
    </row>
    <row r="2767" spans="1:13" x14ac:dyDescent="0.25">
      <c r="A2767">
        <v>1252</v>
      </c>
      <c r="B2767" t="str">
        <f>"CARD18"</f>
        <v>CARD18</v>
      </c>
      <c r="C2767" t="str">
        <f>""</f>
        <v/>
      </c>
      <c r="D2767">
        <v>10.138</v>
      </c>
      <c r="E2767">
        <v>10</v>
      </c>
      <c r="F2767">
        <v>0</v>
      </c>
      <c r="G2767">
        <v>0</v>
      </c>
      <c r="H2767">
        <v>0</v>
      </c>
      <c r="I2767" s="7">
        <v>0</v>
      </c>
      <c r="J2767" s="6">
        <v>0</v>
      </c>
      <c r="K2767" s="6">
        <v>0</v>
      </c>
      <c r="L2767">
        <v>1</v>
      </c>
      <c r="M2767">
        <v>1</v>
      </c>
    </row>
    <row r="2768" spans="1:13" x14ac:dyDescent="0.25">
      <c r="A2768">
        <v>1295</v>
      </c>
      <c r="B2768" t="str">
        <f>"LYZ"</f>
        <v>LYZ</v>
      </c>
      <c r="C2768" t="str">
        <f>""</f>
        <v/>
      </c>
      <c r="D2768">
        <v>16.536999999999999</v>
      </c>
      <c r="E2768">
        <v>27.7</v>
      </c>
      <c r="F2768">
        <v>0</v>
      </c>
      <c r="G2768">
        <v>0</v>
      </c>
      <c r="H2768">
        <v>0</v>
      </c>
      <c r="I2768" s="7">
        <v>0</v>
      </c>
      <c r="J2768" s="6">
        <v>0</v>
      </c>
      <c r="K2768" s="6">
        <v>0</v>
      </c>
      <c r="L2768">
        <v>1</v>
      </c>
      <c r="M2768">
        <v>1</v>
      </c>
    </row>
    <row r="2769" spans="1:13" x14ac:dyDescent="0.25">
      <c r="A2769">
        <v>1408</v>
      </c>
      <c r="B2769" t="str">
        <f>"CDK3"</f>
        <v>CDK3</v>
      </c>
      <c r="C2769" t="str">
        <f>"CDK3"</f>
        <v>CDK3</v>
      </c>
      <c r="D2769">
        <v>35.045000000000002</v>
      </c>
      <c r="E2769">
        <v>6.6</v>
      </c>
      <c r="F2769">
        <v>0</v>
      </c>
      <c r="G2769">
        <v>0</v>
      </c>
      <c r="H2769">
        <v>0</v>
      </c>
      <c r="I2769" s="7">
        <v>0</v>
      </c>
      <c r="J2769" s="6">
        <v>0</v>
      </c>
      <c r="K2769" s="6">
        <v>0</v>
      </c>
      <c r="L2769">
        <v>1</v>
      </c>
      <c r="M2769">
        <v>1</v>
      </c>
    </row>
    <row r="2770" spans="1:13" x14ac:dyDescent="0.25">
      <c r="A2770">
        <v>1426</v>
      </c>
      <c r="B2770" t="str">
        <f>"KRT76"</f>
        <v>KRT76</v>
      </c>
      <c r="C2770" t="str">
        <f>""</f>
        <v/>
      </c>
      <c r="D2770">
        <v>65.84</v>
      </c>
      <c r="E2770">
        <v>9.4</v>
      </c>
      <c r="F2770">
        <v>0</v>
      </c>
      <c r="G2770">
        <v>0</v>
      </c>
      <c r="H2770">
        <v>0</v>
      </c>
      <c r="I2770" s="7">
        <v>0</v>
      </c>
      <c r="J2770" s="6">
        <v>0</v>
      </c>
      <c r="K2770" s="6">
        <v>0</v>
      </c>
      <c r="L2770">
        <v>1</v>
      </c>
      <c r="M2770">
        <v>1</v>
      </c>
    </row>
    <row r="2771" spans="1:13" x14ac:dyDescent="0.25">
      <c r="A2771">
        <v>1634</v>
      </c>
      <c r="B2771" t="str">
        <f>"ZMYM3"</f>
        <v>ZMYM3</v>
      </c>
      <c r="C2771" t="str">
        <f>""</f>
        <v/>
      </c>
      <c r="D2771">
        <v>151.08000000000001</v>
      </c>
      <c r="E2771">
        <v>0.7</v>
      </c>
      <c r="F2771">
        <v>0</v>
      </c>
      <c r="G2771">
        <v>0</v>
      </c>
      <c r="H2771">
        <v>0</v>
      </c>
      <c r="I2771" s="7">
        <v>0</v>
      </c>
      <c r="J2771" s="6">
        <v>0</v>
      </c>
      <c r="K2771" s="6">
        <v>0</v>
      </c>
      <c r="L2771">
        <v>1</v>
      </c>
      <c r="M2771">
        <v>1</v>
      </c>
    </row>
    <row r="2772" spans="1:13" x14ac:dyDescent="0.25">
      <c r="A2772">
        <v>1666</v>
      </c>
      <c r="B2772" t="str">
        <f>"MVP"</f>
        <v>MVP</v>
      </c>
      <c r="C2772" t="str">
        <f>""</f>
        <v/>
      </c>
      <c r="D2772">
        <v>99.325999999999993</v>
      </c>
      <c r="E2772">
        <v>2.6</v>
      </c>
      <c r="F2772">
        <v>0</v>
      </c>
      <c r="G2772">
        <v>0</v>
      </c>
      <c r="H2772">
        <v>0</v>
      </c>
      <c r="I2772" s="7">
        <v>0</v>
      </c>
      <c r="J2772" s="6">
        <v>0</v>
      </c>
      <c r="K2772" s="6">
        <v>0</v>
      </c>
      <c r="L2772">
        <v>1</v>
      </c>
      <c r="M2772">
        <v>1</v>
      </c>
    </row>
    <row r="2773" spans="1:13" x14ac:dyDescent="0.25">
      <c r="A2773">
        <v>1948</v>
      </c>
      <c r="B2773" t="str">
        <f>"TXNDC11"</f>
        <v>TXNDC11</v>
      </c>
      <c r="C2773" t="str">
        <f>""</f>
        <v/>
      </c>
      <c r="D2773">
        <v>107.51</v>
      </c>
      <c r="E2773">
        <v>0.9</v>
      </c>
      <c r="F2773">
        <v>0</v>
      </c>
      <c r="G2773">
        <v>0</v>
      </c>
      <c r="H2773">
        <v>0</v>
      </c>
      <c r="I2773" s="7">
        <v>0</v>
      </c>
      <c r="J2773" s="6">
        <v>0</v>
      </c>
      <c r="K2773" s="6">
        <v>0</v>
      </c>
      <c r="L2773">
        <v>1</v>
      </c>
      <c r="M2773">
        <v>1</v>
      </c>
    </row>
    <row r="2774" spans="1:13" x14ac:dyDescent="0.25">
      <c r="A2774">
        <v>2005</v>
      </c>
      <c r="B2774" t="str">
        <f>"FCRLA"</f>
        <v>FCRLA</v>
      </c>
      <c r="C2774" t="str">
        <f>""</f>
        <v/>
      </c>
      <c r="D2774">
        <v>23.638000000000002</v>
      </c>
      <c r="E2774">
        <v>8.6999999999999993</v>
      </c>
      <c r="F2774">
        <v>0</v>
      </c>
      <c r="G2774">
        <v>0</v>
      </c>
      <c r="H2774">
        <v>0</v>
      </c>
      <c r="I2774" s="7">
        <v>0</v>
      </c>
      <c r="J2774" s="6">
        <v>0</v>
      </c>
      <c r="K2774" s="6">
        <v>0</v>
      </c>
      <c r="L2774">
        <v>1</v>
      </c>
      <c r="M2774">
        <v>1</v>
      </c>
    </row>
    <row r="2775" spans="1:13" x14ac:dyDescent="0.25">
      <c r="A2775">
        <v>2032</v>
      </c>
      <c r="B2775" t="str">
        <f>"KCTD20"</f>
        <v>KCTD20</v>
      </c>
      <c r="C2775" t="str">
        <f>""</f>
        <v/>
      </c>
      <c r="D2775">
        <v>47.48</v>
      </c>
      <c r="E2775">
        <v>4.3</v>
      </c>
      <c r="F2775">
        <v>0</v>
      </c>
      <c r="G2775">
        <v>0</v>
      </c>
      <c r="H2775">
        <v>0</v>
      </c>
      <c r="I2775" s="7">
        <v>0</v>
      </c>
      <c r="J2775" s="6">
        <v>0</v>
      </c>
      <c r="K2775" s="6">
        <v>0</v>
      </c>
      <c r="L2775">
        <v>1</v>
      </c>
      <c r="M2775">
        <v>1</v>
      </c>
    </row>
    <row r="2776" spans="1:13" x14ac:dyDescent="0.25">
      <c r="A2776">
        <v>2087</v>
      </c>
      <c r="B2776" t="str">
        <f>"TBC1D10C"</f>
        <v>TBC1D10C</v>
      </c>
      <c r="C2776" t="str">
        <f>""</f>
        <v/>
      </c>
      <c r="D2776">
        <v>49.712000000000003</v>
      </c>
      <c r="E2776">
        <v>2</v>
      </c>
      <c r="F2776">
        <v>0</v>
      </c>
      <c r="G2776">
        <v>0</v>
      </c>
      <c r="H2776">
        <v>0</v>
      </c>
      <c r="I2776" s="7">
        <v>0</v>
      </c>
      <c r="J2776" s="6">
        <v>0</v>
      </c>
      <c r="K2776" s="6">
        <v>0</v>
      </c>
      <c r="L2776">
        <v>1</v>
      </c>
      <c r="M2776">
        <v>1</v>
      </c>
    </row>
    <row r="2777" spans="1:13" x14ac:dyDescent="0.25">
      <c r="A2777">
        <v>2111</v>
      </c>
      <c r="B2777" t="str">
        <f>"CCDC105"</f>
        <v>CCDC105</v>
      </c>
      <c r="C2777" t="str">
        <f>""</f>
        <v/>
      </c>
      <c r="D2777">
        <v>56.908000000000001</v>
      </c>
      <c r="E2777">
        <v>2.6</v>
      </c>
      <c r="F2777">
        <v>0</v>
      </c>
      <c r="G2777">
        <v>0</v>
      </c>
      <c r="H2777">
        <v>0</v>
      </c>
      <c r="I2777" s="7">
        <v>0</v>
      </c>
      <c r="J2777" s="6">
        <v>0</v>
      </c>
      <c r="K2777" s="6">
        <v>0</v>
      </c>
      <c r="L2777">
        <v>1</v>
      </c>
      <c r="M2777">
        <v>1</v>
      </c>
    </row>
    <row r="2778" spans="1:13" x14ac:dyDescent="0.25">
      <c r="A2778">
        <v>2321</v>
      </c>
      <c r="B2778" t="str">
        <f>"PPP2R3C"</f>
        <v>PPP2R3C</v>
      </c>
      <c r="C2778" t="str">
        <f>""</f>
        <v/>
      </c>
      <c r="D2778">
        <v>39.805999999999997</v>
      </c>
      <c r="E2778">
        <v>7.3</v>
      </c>
      <c r="F2778">
        <v>0</v>
      </c>
      <c r="G2778">
        <v>0</v>
      </c>
      <c r="H2778">
        <v>0</v>
      </c>
      <c r="I2778" s="7">
        <v>0</v>
      </c>
      <c r="J2778" s="6">
        <v>0</v>
      </c>
      <c r="K2778" s="6">
        <v>0</v>
      </c>
      <c r="L2778">
        <v>1</v>
      </c>
      <c r="M2778">
        <v>1</v>
      </c>
    </row>
    <row r="2779" spans="1:13" x14ac:dyDescent="0.25">
      <c r="A2779">
        <v>2757</v>
      </c>
      <c r="B2779" t="str">
        <f>"UBN1"</f>
        <v>UBN1</v>
      </c>
      <c r="C2779" t="str">
        <f>""</f>
        <v/>
      </c>
      <c r="D2779">
        <v>118.55</v>
      </c>
      <c r="E2779">
        <v>2.2000000000000002</v>
      </c>
      <c r="F2779">
        <v>0</v>
      </c>
      <c r="G2779">
        <v>0</v>
      </c>
      <c r="H2779">
        <v>0</v>
      </c>
      <c r="I2779" s="7">
        <v>0</v>
      </c>
      <c r="J2779" s="6">
        <v>0</v>
      </c>
      <c r="K2779" s="6">
        <v>0</v>
      </c>
      <c r="L2779">
        <v>1</v>
      </c>
      <c r="M2779">
        <v>1</v>
      </c>
    </row>
    <row r="2780" spans="1:13" x14ac:dyDescent="0.25">
      <c r="A2780">
        <v>2781</v>
      </c>
      <c r="B2780" t="str">
        <f>"FBXO6"</f>
        <v>FBXO6</v>
      </c>
      <c r="C2780" t="str">
        <f>""</f>
        <v/>
      </c>
      <c r="D2780">
        <v>33.932000000000002</v>
      </c>
      <c r="E2780">
        <v>9.1999999999999993</v>
      </c>
      <c r="F2780">
        <v>0</v>
      </c>
      <c r="G2780">
        <v>0</v>
      </c>
      <c r="H2780">
        <v>0</v>
      </c>
      <c r="I2780" s="7">
        <v>0</v>
      </c>
      <c r="J2780" s="6">
        <v>0</v>
      </c>
      <c r="K2780" s="6">
        <v>0</v>
      </c>
      <c r="L2780">
        <v>1</v>
      </c>
      <c r="M2780">
        <v>1</v>
      </c>
    </row>
    <row r="2781" spans="1:13" x14ac:dyDescent="0.25">
      <c r="A2781">
        <v>2980</v>
      </c>
      <c r="B2781" t="str">
        <f>"IKZF3"</f>
        <v>IKZF3</v>
      </c>
      <c r="C2781" t="str">
        <f>""</f>
        <v/>
      </c>
      <c r="D2781">
        <v>30.029</v>
      </c>
      <c r="E2781">
        <v>8.4</v>
      </c>
      <c r="F2781">
        <v>0</v>
      </c>
      <c r="G2781">
        <v>0</v>
      </c>
      <c r="H2781">
        <v>0</v>
      </c>
      <c r="I2781" s="7">
        <v>0</v>
      </c>
      <c r="J2781" s="6">
        <v>0</v>
      </c>
      <c r="K2781" s="6">
        <v>0</v>
      </c>
      <c r="L2781">
        <v>1</v>
      </c>
      <c r="M2781">
        <v>1</v>
      </c>
    </row>
    <row r="2782" spans="1:13" x14ac:dyDescent="0.25">
      <c r="A2782">
        <v>65</v>
      </c>
      <c r="B2782" t="str">
        <f>"KRT33B"</f>
        <v>KRT33B</v>
      </c>
      <c r="C2782" t="str">
        <f>""</f>
        <v/>
      </c>
      <c r="D2782">
        <v>46.213000000000001</v>
      </c>
      <c r="E2782">
        <v>4</v>
      </c>
      <c r="F2782">
        <v>0</v>
      </c>
      <c r="G2782">
        <v>0</v>
      </c>
      <c r="H2782">
        <v>0</v>
      </c>
      <c r="I2782" s="7">
        <v>0</v>
      </c>
      <c r="J2782" s="6">
        <v>0</v>
      </c>
      <c r="K2782" s="6">
        <v>0</v>
      </c>
      <c r="L2782">
        <v>1</v>
      </c>
      <c r="M2782">
        <v>1</v>
      </c>
    </row>
    <row r="2783" spans="1:13" x14ac:dyDescent="0.25">
      <c r="A2783">
        <v>79</v>
      </c>
      <c r="B2783" t="str">
        <f>"KRTAP2-2;KRTAP2-1;KRTAP2-4;KRTAP2-3"</f>
        <v>KRTAP2-2;KRTAP2-1;KRTAP2-4;KRTAP2-3</v>
      </c>
      <c r="C2783" t="str">
        <f>""</f>
        <v/>
      </c>
      <c r="D2783">
        <v>13.48</v>
      </c>
      <c r="E2783">
        <v>13.3</v>
      </c>
      <c r="F2783">
        <v>0</v>
      </c>
      <c r="G2783">
        <v>0</v>
      </c>
      <c r="H2783">
        <v>0</v>
      </c>
      <c r="I2783" s="7">
        <v>0</v>
      </c>
      <c r="J2783" s="6">
        <v>0</v>
      </c>
      <c r="K2783" s="6">
        <v>0</v>
      </c>
      <c r="L2783">
        <v>1</v>
      </c>
      <c r="M2783">
        <v>1</v>
      </c>
    </row>
    <row r="2784" spans="1:13" x14ac:dyDescent="0.25">
      <c r="A2784">
        <v>109</v>
      </c>
      <c r="B2784" t="str">
        <f>"QSOX1"</f>
        <v>QSOX1</v>
      </c>
      <c r="C2784" t="str">
        <f>""</f>
        <v/>
      </c>
      <c r="D2784">
        <v>66.86</v>
      </c>
      <c r="E2784">
        <v>5.5</v>
      </c>
      <c r="F2784">
        <v>0</v>
      </c>
      <c r="G2784">
        <v>0</v>
      </c>
      <c r="H2784">
        <v>0</v>
      </c>
      <c r="I2784" s="7">
        <v>0</v>
      </c>
      <c r="J2784" s="6">
        <v>0</v>
      </c>
      <c r="K2784" s="6">
        <v>0</v>
      </c>
      <c r="L2784">
        <v>1</v>
      </c>
      <c r="M2784">
        <v>1</v>
      </c>
    </row>
    <row r="2785" spans="1:13" x14ac:dyDescent="0.25">
      <c r="A2785">
        <v>237</v>
      </c>
      <c r="B2785" t="str">
        <f>"TRAF3IP2"</f>
        <v>TRAF3IP2</v>
      </c>
      <c r="C2785" t="str">
        <f>""</f>
        <v/>
      </c>
      <c r="D2785">
        <v>64.665000000000006</v>
      </c>
      <c r="E2785">
        <v>2.1</v>
      </c>
      <c r="F2785">
        <v>0</v>
      </c>
      <c r="G2785">
        <v>0</v>
      </c>
      <c r="H2785">
        <v>0</v>
      </c>
      <c r="I2785" s="7">
        <v>0</v>
      </c>
      <c r="J2785" s="6">
        <v>0</v>
      </c>
      <c r="K2785" s="6">
        <v>0</v>
      </c>
      <c r="L2785">
        <v>1</v>
      </c>
      <c r="M2785">
        <v>1</v>
      </c>
    </row>
    <row r="2786" spans="1:13" x14ac:dyDescent="0.25">
      <c r="A2786">
        <v>417</v>
      </c>
      <c r="B2786" t="str">
        <f>"FGFR1OP"</f>
        <v>FGFR1OP</v>
      </c>
      <c r="C2786" t="str">
        <f>""</f>
        <v/>
      </c>
      <c r="D2786">
        <v>43.064</v>
      </c>
      <c r="E2786">
        <v>8.8000000000000007</v>
      </c>
      <c r="F2786">
        <v>0</v>
      </c>
      <c r="G2786">
        <v>0</v>
      </c>
      <c r="H2786">
        <v>0</v>
      </c>
      <c r="I2786" s="7">
        <v>0</v>
      </c>
      <c r="J2786" s="6">
        <v>0</v>
      </c>
      <c r="K2786" s="6">
        <v>0</v>
      </c>
      <c r="L2786">
        <v>1</v>
      </c>
      <c r="M2786">
        <v>1</v>
      </c>
    </row>
    <row r="2787" spans="1:13" x14ac:dyDescent="0.25">
      <c r="A2787">
        <v>438</v>
      </c>
      <c r="B2787" t="str">
        <f>"ALDH1A1"</f>
        <v>ALDH1A1</v>
      </c>
      <c r="C2787" t="str">
        <f>""</f>
        <v/>
      </c>
      <c r="D2787">
        <v>54.860999999999997</v>
      </c>
      <c r="E2787">
        <v>7.4</v>
      </c>
      <c r="F2787">
        <v>0</v>
      </c>
      <c r="G2787">
        <v>0</v>
      </c>
      <c r="H2787">
        <v>0</v>
      </c>
      <c r="I2787" s="7">
        <v>0</v>
      </c>
      <c r="J2787" s="6">
        <v>0</v>
      </c>
      <c r="K2787" s="6">
        <v>0</v>
      </c>
      <c r="L2787">
        <v>1</v>
      </c>
      <c r="M2787">
        <v>1</v>
      </c>
    </row>
    <row r="2788" spans="1:13" x14ac:dyDescent="0.25">
      <c r="A2788">
        <v>469</v>
      </c>
      <c r="B2788" t="str">
        <f>""</f>
        <v/>
      </c>
      <c r="C2788" t="str">
        <f>""</f>
        <v/>
      </c>
      <c r="D2788">
        <v>12.945</v>
      </c>
      <c r="E2788">
        <v>22</v>
      </c>
      <c r="F2788">
        <v>0</v>
      </c>
      <c r="G2788">
        <v>0</v>
      </c>
      <c r="H2788">
        <v>0</v>
      </c>
      <c r="I2788" s="7">
        <v>0</v>
      </c>
      <c r="J2788" s="6">
        <v>0</v>
      </c>
      <c r="K2788" s="6">
        <v>0</v>
      </c>
      <c r="L2788">
        <v>1</v>
      </c>
      <c r="M2788">
        <v>1</v>
      </c>
    </row>
    <row r="2789" spans="1:13" x14ac:dyDescent="0.25">
      <c r="A2789">
        <v>477</v>
      </c>
      <c r="B2789" t="str">
        <f>"HLA-B"</f>
        <v>HLA-B</v>
      </c>
      <c r="C2789" t="str">
        <f>""</f>
        <v/>
      </c>
      <c r="D2789">
        <v>40.46</v>
      </c>
      <c r="E2789">
        <v>3.9</v>
      </c>
      <c r="F2789">
        <v>0</v>
      </c>
      <c r="G2789">
        <v>0</v>
      </c>
      <c r="H2789">
        <v>0</v>
      </c>
      <c r="I2789" s="7">
        <v>0</v>
      </c>
      <c r="J2789" s="6">
        <v>0</v>
      </c>
      <c r="K2789" s="6">
        <v>0</v>
      </c>
      <c r="L2789">
        <v>1</v>
      </c>
      <c r="M2789">
        <v>1</v>
      </c>
    </row>
    <row r="2790" spans="1:13" x14ac:dyDescent="0.25">
      <c r="A2790">
        <v>530</v>
      </c>
      <c r="B2790" t="str">
        <f>"SERPINB2"</f>
        <v>SERPINB2</v>
      </c>
      <c r="C2790" t="str">
        <f>""</f>
        <v/>
      </c>
      <c r="D2790">
        <v>46.595999999999997</v>
      </c>
      <c r="E2790">
        <v>6</v>
      </c>
      <c r="F2790">
        <v>0</v>
      </c>
      <c r="G2790">
        <v>0</v>
      </c>
      <c r="H2790">
        <v>0</v>
      </c>
      <c r="I2790" s="7">
        <v>0</v>
      </c>
      <c r="J2790" s="6">
        <v>0</v>
      </c>
      <c r="K2790" s="6">
        <v>0</v>
      </c>
      <c r="L2790">
        <v>1</v>
      </c>
      <c r="M2790">
        <v>1</v>
      </c>
    </row>
    <row r="2791" spans="1:13" x14ac:dyDescent="0.25">
      <c r="A2791">
        <v>593</v>
      </c>
      <c r="B2791" t="str">
        <f>"PLEK"</f>
        <v>PLEK</v>
      </c>
      <c r="C2791" t="str">
        <f>""</f>
        <v/>
      </c>
      <c r="D2791">
        <v>40.124000000000002</v>
      </c>
      <c r="E2791">
        <v>4</v>
      </c>
      <c r="F2791">
        <v>0</v>
      </c>
      <c r="G2791">
        <v>0</v>
      </c>
      <c r="H2791">
        <v>0</v>
      </c>
      <c r="I2791" s="7">
        <v>0</v>
      </c>
      <c r="J2791" s="6">
        <v>0</v>
      </c>
      <c r="K2791" s="6">
        <v>0</v>
      </c>
      <c r="L2791">
        <v>1</v>
      </c>
      <c r="M2791">
        <v>1</v>
      </c>
    </row>
    <row r="2792" spans="1:13" x14ac:dyDescent="0.25">
      <c r="A2792">
        <v>732</v>
      </c>
      <c r="B2792" t="str">
        <f>"PFKL"</f>
        <v>PFKL</v>
      </c>
      <c r="C2792" t="str">
        <f>""</f>
        <v/>
      </c>
      <c r="D2792">
        <v>85.018000000000001</v>
      </c>
      <c r="E2792">
        <v>5.9</v>
      </c>
      <c r="F2792">
        <v>0</v>
      </c>
      <c r="G2792">
        <v>0</v>
      </c>
      <c r="H2792">
        <v>0</v>
      </c>
      <c r="I2792" s="7">
        <v>0</v>
      </c>
      <c r="J2792" s="6">
        <v>0</v>
      </c>
      <c r="K2792" s="6">
        <v>0</v>
      </c>
      <c r="L2792">
        <v>1</v>
      </c>
      <c r="M2792">
        <v>1</v>
      </c>
    </row>
    <row r="2793" spans="1:13" x14ac:dyDescent="0.25">
      <c r="A2793">
        <v>750</v>
      </c>
      <c r="B2793" t="str">
        <f>"TRIM21"</f>
        <v>TRIM21</v>
      </c>
      <c r="C2793" t="str">
        <f>""</f>
        <v/>
      </c>
      <c r="D2793">
        <v>45.057000000000002</v>
      </c>
      <c r="E2793">
        <v>4.3</v>
      </c>
      <c r="F2793">
        <v>0</v>
      </c>
      <c r="G2793">
        <v>0</v>
      </c>
      <c r="H2793">
        <v>0</v>
      </c>
      <c r="I2793" s="7">
        <v>0</v>
      </c>
      <c r="J2793" s="6">
        <v>0</v>
      </c>
      <c r="K2793" s="6">
        <v>0</v>
      </c>
      <c r="L2793">
        <v>1</v>
      </c>
      <c r="M2793">
        <v>1</v>
      </c>
    </row>
    <row r="2794" spans="1:13" x14ac:dyDescent="0.25">
      <c r="A2794">
        <v>757</v>
      </c>
      <c r="B2794" t="str">
        <f>"HLA-DPA1"</f>
        <v>HLA-DPA1</v>
      </c>
      <c r="C2794" t="str">
        <f>""</f>
        <v/>
      </c>
      <c r="D2794">
        <v>29.38</v>
      </c>
      <c r="E2794">
        <v>4.5999999999999996</v>
      </c>
      <c r="F2794">
        <v>0</v>
      </c>
      <c r="G2794">
        <v>0</v>
      </c>
      <c r="H2794">
        <v>0</v>
      </c>
      <c r="I2794" s="7">
        <v>0</v>
      </c>
      <c r="J2794" s="6">
        <v>0</v>
      </c>
      <c r="K2794" s="6">
        <v>0</v>
      </c>
      <c r="L2794">
        <v>1</v>
      </c>
      <c r="M2794">
        <v>1</v>
      </c>
    </row>
    <row r="2795" spans="1:13" x14ac:dyDescent="0.25">
      <c r="A2795">
        <v>849</v>
      </c>
      <c r="B2795" t="str">
        <f>"CALML3"</f>
        <v>CALML3</v>
      </c>
      <c r="C2795" t="str">
        <f>""</f>
        <v/>
      </c>
      <c r="D2795">
        <v>16.890999999999998</v>
      </c>
      <c r="E2795">
        <v>8.6999999999999993</v>
      </c>
      <c r="F2795">
        <v>0</v>
      </c>
      <c r="G2795">
        <v>0</v>
      </c>
      <c r="H2795">
        <v>0</v>
      </c>
      <c r="I2795" s="7">
        <v>0</v>
      </c>
      <c r="J2795" s="6">
        <v>0</v>
      </c>
      <c r="K2795" s="6">
        <v>0</v>
      </c>
      <c r="L2795">
        <v>1</v>
      </c>
      <c r="M2795">
        <v>1</v>
      </c>
    </row>
    <row r="2796" spans="1:13" x14ac:dyDescent="0.25">
      <c r="A2796">
        <v>996</v>
      </c>
      <c r="B2796" t="str">
        <f>"PSMB10"</f>
        <v>PSMB10</v>
      </c>
      <c r="C2796" t="str">
        <f>""</f>
        <v/>
      </c>
      <c r="D2796">
        <v>28.936</v>
      </c>
      <c r="E2796">
        <v>11.4</v>
      </c>
      <c r="F2796">
        <v>0</v>
      </c>
      <c r="G2796">
        <v>0</v>
      </c>
      <c r="H2796">
        <v>0</v>
      </c>
      <c r="I2796" s="7">
        <v>0</v>
      </c>
      <c r="J2796" s="6">
        <v>0</v>
      </c>
      <c r="K2796" s="6">
        <v>0</v>
      </c>
      <c r="L2796">
        <v>1</v>
      </c>
      <c r="M2796">
        <v>1</v>
      </c>
    </row>
    <row r="2797" spans="1:13" x14ac:dyDescent="0.25">
      <c r="A2797">
        <v>1370</v>
      </c>
      <c r="B2797" t="str">
        <f>"NOMO2;NOMO1;NOMO3"</f>
        <v>NOMO2;NOMO1;NOMO3</v>
      </c>
      <c r="C2797" t="str">
        <f>""</f>
        <v/>
      </c>
      <c r="D2797">
        <v>122.06</v>
      </c>
      <c r="E2797">
        <v>3.5</v>
      </c>
      <c r="F2797">
        <v>0</v>
      </c>
      <c r="G2797">
        <v>0</v>
      </c>
      <c r="H2797">
        <v>0</v>
      </c>
      <c r="I2797" s="7">
        <v>0</v>
      </c>
      <c r="J2797" s="6">
        <v>0</v>
      </c>
      <c r="K2797" s="6">
        <v>0</v>
      </c>
      <c r="L2797">
        <v>1</v>
      </c>
      <c r="M2797">
        <v>1</v>
      </c>
    </row>
    <row r="2798" spans="1:13" x14ac:dyDescent="0.25">
      <c r="A2798">
        <v>1436</v>
      </c>
      <c r="B2798" t="str">
        <f>"DSC2"</f>
        <v>DSC2</v>
      </c>
      <c r="C2798" t="str">
        <f>""</f>
        <v/>
      </c>
      <c r="D2798">
        <v>93.768000000000001</v>
      </c>
      <c r="E2798">
        <v>1.8</v>
      </c>
      <c r="F2798">
        <v>0</v>
      </c>
      <c r="G2798">
        <v>0</v>
      </c>
      <c r="H2798">
        <v>0</v>
      </c>
      <c r="I2798" s="7">
        <v>0</v>
      </c>
      <c r="J2798" s="6">
        <v>0</v>
      </c>
      <c r="K2798" s="6">
        <v>0</v>
      </c>
      <c r="L2798">
        <v>1</v>
      </c>
      <c r="M2798">
        <v>1</v>
      </c>
    </row>
    <row r="2799" spans="1:13" x14ac:dyDescent="0.25">
      <c r="A2799">
        <v>1845</v>
      </c>
      <c r="B2799" t="str">
        <f>"FAM26D"</f>
        <v>FAM26D</v>
      </c>
      <c r="C2799" t="str">
        <f>""</f>
        <v/>
      </c>
      <c r="D2799">
        <v>14.63</v>
      </c>
      <c r="E2799">
        <v>7</v>
      </c>
      <c r="F2799">
        <v>0</v>
      </c>
      <c r="G2799">
        <v>0</v>
      </c>
      <c r="H2799">
        <v>0</v>
      </c>
      <c r="I2799" s="7">
        <v>0</v>
      </c>
      <c r="J2799" s="6">
        <v>0</v>
      </c>
      <c r="K2799" s="6">
        <v>0</v>
      </c>
      <c r="L2799">
        <v>1</v>
      </c>
      <c r="M2799">
        <v>1</v>
      </c>
    </row>
    <row r="2800" spans="1:13" x14ac:dyDescent="0.25">
      <c r="A2800">
        <v>1867</v>
      </c>
      <c r="B2800" t="str">
        <f>"XP32"</f>
        <v>XP32</v>
      </c>
      <c r="C2800" t="str">
        <f>""</f>
        <v/>
      </c>
      <c r="D2800">
        <v>26.238</v>
      </c>
      <c r="E2800">
        <v>3.6</v>
      </c>
      <c r="F2800">
        <v>0</v>
      </c>
      <c r="G2800">
        <v>0</v>
      </c>
      <c r="H2800">
        <v>0</v>
      </c>
      <c r="I2800" s="7">
        <v>0</v>
      </c>
      <c r="J2800" s="6">
        <v>0</v>
      </c>
      <c r="K2800" s="6">
        <v>0</v>
      </c>
      <c r="L2800">
        <v>1</v>
      </c>
      <c r="M2800">
        <v>1</v>
      </c>
    </row>
    <row r="2801" spans="1:13" x14ac:dyDescent="0.25">
      <c r="A2801">
        <v>1895</v>
      </c>
      <c r="B2801" t="str">
        <f>"ATG16L1"</f>
        <v>ATG16L1</v>
      </c>
      <c r="C2801" t="str">
        <f>""</f>
        <v/>
      </c>
      <c r="D2801">
        <v>47.685000000000002</v>
      </c>
      <c r="E2801">
        <v>7.7</v>
      </c>
      <c r="F2801">
        <v>0</v>
      </c>
      <c r="G2801">
        <v>0</v>
      </c>
      <c r="H2801">
        <v>0</v>
      </c>
      <c r="I2801" s="7">
        <v>0</v>
      </c>
      <c r="J2801" s="6">
        <v>0</v>
      </c>
      <c r="K2801" s="6">
        <v>0</v>
      </c>
      <c r="L2801">
        <v>1</v>
      </c>
      <c r="M2801">
        <v>1</v>
      </c>
    </row>
    <row r="2802" spans="1:13" x14ac:dyDescent="0.25">
      <c r="A2802">
        <v>1964</v>
      </c>
      <c r="B2802" t="str">
        <f>"LYPD2"</f>
        <v>LYPD2</v>
      </c>
      <c r="C2802" t="str">
        <f>""</f>
        <v/>
      </c>
      <c r="D2802">
        <v>13.115</v>
      </c>
      <c r="E2802">
        <v>11.2</v>
      </c>
      <c r="F2802">
        <v>0</v>
      </c>
      <c r="G2802">
        <v>0</v>
      </c>
      <c r="H2802">
        <v>0</v>
      </c>
      <c r="I2802" s="7">
        <v>0</v>
      </c>
      <c r="J2802" s="6">
        <v>0</v>
      </c>
      <c r="K2802" s="6">
        <v>0</v>
      </c>
      <c r="L2802">
        <v>1</v>
      </c>
      <c r="M2802">
        <v>1</v>
      </c>
    </row>
    <row r="2803" spans="1:13" x14ac:dyDescent="0.25">
      <c r="A2803">
        <v>1979</v>
      </c>
      <c r="B2803" t="str">
        <f>"FAM83H"</f>
        <v>FAM83H</v>
      </c>
      <c r="C2803" t="str">
        <f>""</f>
        <v/>
      </c>
      <c r="D2803">
        <v>127.12</v>
      </c>
      <c r="E2803">
        <v>1</v>
      </c>
      <c r="F2803">
        <v>0</v>
      </c>
      <c r="G2803">
        <v>0</v>
      </c>
      <c r="H2803">
        <v>0</v>
      </c>
      <c r="I2803" s="7">
        <v>0</v>
      </c>
      <c r="J2803" s="6">
        <v>0</v>
      </c>
      <c r="K2803" s="6">
        <v>0</v>
      </c>
      <c r="L2803">
        <v>1</v>
      </c>
      <c r="M2803">
        <v>1</v>
      </c>
    </row>
    <row r="2804" spans="1:13" x14ac:dyDescent="0.25">
      <c r="A2804">
        <v>2160</v>
      </c>
      <c r="B2804" t="str">
        <f>"ANKRD44"</f>
        <v>ANKRD44</v>
      </c>
      <c r="C2804" t="str">
        <f>""</f>
        <v/>
      </c>
      <c r="D2804">
        <v>99.787000000000006</v>
      </c>
      <c r="E2804">
        <v>2.6</v>
      </c>
      <c r="F2804">
        <v>0</v>
      </c>
      <c r="G2804">
        <v>0</v>
      </c>
      <c r="H2804">
        <v>0</v>
      </c>
      <c r="I2804" s="7">
        <v>0</v>
      </c>
      <c r="J2804" s="6">
        <v>0</v>
      </c>
      <c r="K2804" s="6">
        <v>0</v>
      </c>
      <c r="L2804">
        <v>1</v>
      </c>
      <c r="M2804">
        <v>1</v>
      </c>
    </row>
    <row r="2805" spans="1:13" x14ac:dyDescent="0.25">
      <c r="A2805">
        <v>2267</v>
      </c>
      <c r="B2805" t="str">
        <f>""</f>
        <v/>
      </c>
      <c r="C2805" t="str">
        <f>""</f>
        <v/>
      </c>
      <c r="D2805">
        <v>51.939</v>
      </c>
      <c r="E2805">
        <v>1.5</v>
      </c>
      <c r="F2805">
        <v>0</v>
      </c>
      <c r="G2805">
        <v>0</v>
      </c>
      <c r="H2805">
        <v>0</v>
      </c>
      <c r="I2805" s="7">
        <v>0</v>
      </c>
      <c r="J2805" s="6">
        <v>0</v>
      </c>
      <c r="K2805" s="6">
        <v>0</v>
      </c>
      <c r="L2805">
        <v>1</v>
      </c>
      <c r="M2805">
        <v>1</v>
      </c>
    </row>
    <row r="2806" spans="1:13" x14ac:dyDescent="0.25">
      <c r="A2806">
        <v>2423</v>
      </c>
      <c r="B2806" t="str">
        <f>"CAPNS2"</f>
        <v>CAPNS2</v>
      </c>
      <c r="C2806" t="str">
        <f>""</f>
        <v/>
      </c>
      <c r="D2806">
        <v>27.66</v>
      </c>
      <c r="E2806">
        <v>5.2</v>
      </c>
      <c r="F2806">
        <v>0</v>
      </c>
      <c r="G2806">
        <v>0</v>
      </c>
      <c r="H2806">
        <v>0</v>
      </c>
      <c r="I2806" s="7">
        <v>0</v>
      </c>
      <c r="J2806" s="6">
        <v>0</v>
      </c>
      <c r="K2806" s="6">
        <v>0</v>
      </c>
      <c r="L2806">
        <v>1</v>
      </c>
      <c r="M2806">
        <v>1</v>
      </c>
    </row>
    <row r="2807" spans="1:13" x14ac:dyDescent="0.25">
      <c r="A2807">
        <v>2455</v>
      </c>
      <c r="B2807" t="str">
        <f>"FNBP1"</f>
        <v>FNBP1</v>
      </c>
      <c r="C2807" t="str">
        <f>""</f>
        <v/>
      </c>
      <c r="D2807">
        <v>64.055999999999997</v>
      </c>
      <c r="E2807">
        <v>3.8</v>
      </c>
      <c r="F2807">
        <v>0</v>
      </c>
      <c r="G2807">
        <v>0</v>
      </c>
      <c r="H2807">
        <v>0</v>
      </c>
      <c r="I2807" s="7">
        <v>0</v>
      </c>
      <c r="J2807" s="6">
        <v>0</v>
      </c>
      <c r="K2807" s="6">
        <v>0</v>
      </c>
      <c r="L2807">
        <v>1</v>
      </c>
      <c r="M2807">
        <v>1</v>
      </c>
    </row>
    <row r="2808" spans="1:13" x14ac:dyDescent="0.25">
      <c r="A2808">
        <v>2929</v>
      </c>
      <c r="B2808" t="str">
        <f>"CLIP2"</f>
        <v>CLIP2</v>
      </c>
      <c r="C2808" t="str">
        <f>""</f>
        <v/>
      </c>
      <c r="D2808">
        <v>111.78</v>
      </c>
      <c r="E2808">
        <v>2</v>
      </c>
      <c r="F2808">
        <v>0</v>
      </c>
      <c r="G2808">
        <v>0</v>
      </c>
      <c r="H2808">
        <v>0</v>
      </c>
      <c r="I2808" s="7">
        <v>0</v>
      </c>
      <c r="J2808" s="6">
        <v>0</v>
      </c>
      <c r="K2808" s="6">
        <v>0</v>
      </c>
      <c r="L2808">
        <v>1</v>
      </c>
      <c r="M2808">
        <v>1</v>
      </c>
    </row>
    <row r="2809" spans="1:13" x14ac:dyDescent="0.25">
      <c r="A2809">
        <v>3104</v>
      </c>
      <c r="B2809" t="str">
        <f>"PKP3"</f>
        <v>PKP3</v>
      </c>
      <c r="C2809" t="str">
        <f>""</f>
        <v/>
      </c>
      <c r="D2809">
        <v>87.081000000000003</v>
      </c>
      <c r="E2809">
        <v>3.8</v>
      </c>
      <c r="F2809">
        <v>0</v>
      </c>
      <c r="G2809">
        <v>0</v>
      </c>
      <c r="H2809">
        <v>0</v>
      </c>
      <c r="I2809" s="7">
        <v>0</v>
      </c>
      <c r="J2809" s="6">
        <v>0</v>
      </c>
      <c r="K2809" s="6">
        <v>0</v>
      </c>
      <c r="L2809">
        <v>1</v>
      </c>
      <c r="M2809">
        <v>1</v>
      </c>
    </row>
    <row r="2810" spans="1:13" x14ac:dyDescent="0.25">
      <c r="A2810">
        <v>3111</v>
      </c>
      <c r="B2810" t="str">
        <f>"KIAA0430"</f>
        <v>KIAA0430</v>
      </c>
      <c r="C2810" t="str">
        <f>""</f>
        <v/>
      </c>
      <c r="D2810">
        <v>186.44</v>
      </c>
      <c r="E2810">
        <v>1</v>
      </c>
      <c r="F2810">
        <v>0</v>
      </c>
      <c r="G2810">
        <v>0</v>
      </c>
      <c r="H2810">
        <v>0</v>
      </c>
      <c r="I2810" s="7">
        <v>0</v>
      </c>
      <c r="J2810" s="6">
        <v>0</v>
      </c>
      <c r="K2810" s="6">
        <v>0</v>
      </c>
      <c r="L2810">
        <v>1</v>
      </c>
      <c r="M2810">
        <v>1</v>
      </c>
    </row>
    <row r="2811" spans="1:13" x14ac:dyDescent="0.25">
      <c r="A2811">
        <v>3112</v>
      </c>
      <c r="B2811" t="str">
        <f>"FAM179B"</f>
        <v>FAM179B</v>
      </c>
      <c r="C2811" t="str">
        <f>""</f>
        <v/>
      </c>
      <c r="D2811">
        <v>189.36</v>
      </c>
      <c r="E2811">
        <v>0.7</v>
      </c>
      <c r="F2811">
        <v>0</v>
      </c>
      <c r="G2811">
        <v>0</v>
      </c>
      <c r="H2811">
        <v>0</v>
      </c>
      <c r="I2811" s="7">
        <v>0</v>
      </c>
      <c r="J2811" s="6">
        <v>0</v>
      </c>
      <c r="K2811" s="6">
        <v>0</v>
      </c>
      <c r="L2811">
        <v>1</v>
      </c>
      <c r="M2811">
        <v>1</v>
      </c>
    </row>
    <row r="2812" spans="1:13" x14ac:dyDescent="0.25">
      <c r="A2812">
        <v>3131</v>
      </c>
      <c r="B2812" t="str">
        <f>"GMPPB"</f>
        <v>GMPPB</v>
      </c>
      <c r="C2812" t="str">
        <f>""</f>
        <v/>
      </c>
      <c r="D2812">
        <v>39.834000000000003</v>
      </c>
      <c r="E2812">
        <v>3.3</v>
      </c>
      <c r="F2812">
        <v>0</v>
      </c>
      <c r="G2812">
        <v>0</v>
      </c>
      <c r="H2812">
        <v>0</v>
      </c>
      <c r="I2812" s="7">
        <v>0</v>
      </c>
      <c r="J2812" s="6">
        <v>0</v>
      </c>
      <c r="K2812" s="6">
        <v>0</v>
      </c>
      <c r="L2812">
        <v>1</v>
      </c>
      <c r="M2812">
        <v>1</v>
      </c>
    </row>
    <row r="2813" spans="1:13" x14ac:dyDescent="0.25">
      <c r="A2813">
        <v>28</v>
      </c>
      <c r="B2813" t="str">
        <f>"MYO1G"</f>
        <v>MYO1G</v>
      </c>
      <c r="C2813" t="str">
        <f>""</f>
        <v/>
      </c>
      <c r="D2813">
        <v>116.44</v>
      </c>
      <c r="E2813">
        <v>1.1000000000000001</v>
      </c>
      <c r="F2813">
        <v>0</v>
      </c>
      <c r="G2813">
        <v>0</v>
      </c>
      <c r="H2813">
        <v>0</v>
      </c>
      <c r="I2813" s="7">
        <v>0</v>
      </c>
      <c r="J2813" s="6">
        <v>0</v>
      </c>
      <c r="K2813" s="6">
        <v>0</v>
      </c>
      <c r="L2813">
        <v>1</v>
      </c>
      <c r="M2813">
        <v>1</v>
      </c>
    </row>
    <row r="2814" spans="1:13" x14ac:dyDescent="0.25">
      <c r="A2814">
        <v>44</v>
      </c>
      <c r="B2814" t="str">
        <f>""</f>
        <v/>
      </c>
      <c r="C2814" t="str">
        <f>""</f>
        <v/>
      </c>
      <c r="D2814">
        <v>18.974</v>
      </c>
      <c r="E2814">
        <v>20.7</v>
      </c>
      <c r="F2814">
        <v>0</v>
      </c>
      <c r="G2814">
        <v>0</v>
      </c>
      <c r="H2814">
        <v>0</v>
      </c>
      <c r="I2814" s="7">
        <v>0</v>
      </c>
      <c r="J2814" s="6">
        <v>0</v>
      </c>
      <c r="K2814" s="6">
        <v>0</v>
      </c>
      <c r="L2814">
        <v>1</v>
      </c>
      <c r="M2814">
        <v>1</v>
      </c>
    </row>
    <row r="2815" spans="1:13" x14ac:dyDescent="0.25">
      <c r="A2815">
        <v>73</v>
      </c>
      <c r="B2815" t="str">
        <f>"KRT80"</f>
        <v>KRT80</v>
      </c>
      <c r="C2815" t="str">
        <f>""</f>
        <v/>
      </c>
      <c r="D2815">
        <v>50.524999999999999</v>
      </c>
      <c r="E2815">
        <v>2.2000000000000002</v>
      </c>
      <c r="F2815">
        <v>0</v>
      </c>
      <c r="G2815">
        <v>0</v>
      </c>
      <c r="H2815">
        <v>0</v>
      </c>
      <c r="I2815" s="7">
        <v>0</v>
      </c>
      <c r="J2815" s="6">
        <v>0</v>
      </c>
      <c r="K2815" s="6">
        <v>0</v>
      </c>
      <c r="L2815">
        <v>1</v>
      </c>
      <c r="M2815">
        <v>1</v>
      </c>
    </row>
    <row r="2816" spans="1:13" x14ac:dyDescent="0.25">
      <c r="A2816">
        <v>167</v>
      </c>
      <c r="B2816" t="str">
        <f>"CEP290"</f>
        <v>CEP290</v>
      </c>
      <c r="C2816" t="str">
        <f>""</f>
        <v/>
      </c>
      <c r="D2816">
        <v>180.06</v>
      </c>
      <c r="E2816">
        <v>0.6</v>
      </c>
      <c r="F2816">
        <v>0</v>
      </c>
      <c r="G2816">
        <v>0</v>
      </c>
      <c r="H2816">
        <v>0</v>
      </c>
      <c r="I2816" s="7">
        <v>0</v>
      </c>
      <c r="J2816" s="6">
        <v>0</v>
      </c>
      <c r="K2816" s="6">
        <v>0</v>
      </c>
      <c r="L2816">
        <v>1</v>
      </c>
      <c r="M2816">
        <v>1</v>
      </c>
    </row>
    <row r="2817" spans="1:13" x14ac:dyDescent="0.25">
      <c r="A2817">
        <v>206</v>
      </c>
      <c r="B2817" t="str">
        <f>"KLK10"</f>
        <v>KLK10</v>
      </c>
      <c r="C2817" t="str">
        <f>""</f>
        <v/>
      </c>
      <c r="D2817">
        <v>30.17</v>
      </c>
      <c r="E2817">
        <v>5.4</v>
      </c>
      <c r="F2817">
        <v>0</v>
      </c>
      <c r="G2817">
        <v>0</v>
      </c>
      <c r="H2817">
        <v>0</v>
      </c>
      <c r="I2817" s="7">
        <v>0</v>
      </c>
      <c r="J2817" s="6">
        <v>0</v>
      </c>
      <c r="K2817" s="6">
        <v>0</v>
      </c>
      <c r="L2817">
        <v>1</v>
      </c>
      <c r="M2817">
        <v>1</v>
      </c>
    </row>
    <row r="2818" spans="1:13" x14ac:dyDescent="0.25">
      <c r="A2818">
        <v>338</v>
      </c>
      <c r="B2818" t="str">
        <f>"MYCBP2"</f>
        <v>MYCBP2</v>
      </c>
      <c r="C2818" t="str">
        <f>""</f>
        <v/>
      </c>
      <c r="D2818">
        <v>513.25</v>
      </c>
      <c r="E2818">
        <v>0.5</v>
      </c>
      <c r="F2818">
        <v>0</v>
      </c>
      <c r="G2818">
        <v>0</v>
      </c>
      <c r="H2818">
        <v>0</v>
      </c>
      <c r="I2818" s="7">
        <v>0</v>
      </c>
      <c r="J2818" s="6">
        <v>0</v>
      </c>
      <c r="K2818" s="6">
        <v>0</v>
      </c>
      <c r="L2818">
        <v>1</v>
      </c>
      <c r="M2818">
        <v>1</v>
      </c>
    </row>
    <row r="2819" spans="1:13" x14ac:dyDescent="0.25">
      <c r="A2819">
        <v>392</v>
      </c>
      <c r="B2819" t="str">
        <f>"APOL3"</f>
        <v>APOL3</v>
      </c>
      <c r="C2819" t="str">
        <f>""</f>
        <v/>
      </c>
      <c r="D2819">
        <v>36.545000000000002</v>
      </c>
      <c r="E2819">
        <v>3.9</v>
      </c>
      <c r="F2819">
        <v>0</v>
      </c>
      <c r="G2819">
        <v>0</v>
      </c>
      <c r="H2819">
        <v>0</v>
      </c>
      <c r="I2819" s="7">
        <v>0</v>
      </c>
      <c r="J2819" s="6">
        <v>0</v>
      </c>
      <c r="K2819" s="6">
        <v>0</v>
      </c>
      <c r="L2819">
        <v>1</v>
      </c>
      <c r="M2819">
        <v>1</v>
      </c>
    </row>
    <row r="2820" spans="1:13" x14ac:dyDescent="0.25">
      <c r="A2820">
        <v>424</v>
      </c>
      <c r="B2820" t="str">
        <f>"DDX58"</f>
        <v>DDX58</v>
      </c>
      <c r="C2820" t="str">
        <f>""</f>
        <v/>
      </c>
      <c r="D2820">
        <v>101.38</v>
      </c>
      <c r="E2820">
        <v>1.6</v>
      </c>
      <c r="F2820">
        <v>0</v>
      </c>
      <c r="G2820">
        <v>0</v>
      </c>
      <c r="H2820">
        <v>0</v>
      </c>
      <c r="I2820" s="7">
        <v>0</v>
      </c>
      <c r="J2820" s="6">
        <v>0</v>
      </c>
      <c r="K2820" s="6">
        <v>0</v>
      </c>
      <c r="L2820">
        <v>1</v>
      </c>
      <c r="M2820">
        <v>1</v>
      </c>
    </row>
    <row r="2821" spans="1:13" x14ac:dyDescent="0.25">
      <c r="A2821">
        <v>552</v>
      </c>
      <c r="B2821" t="str">
        <f>"S100A9"</f>
        <v>S100A9</v>
      </c>
      <c r="C2821" t="str">
        <f>""</f>
        <v/>
      </c>
      <c r="D2821">
        <v>13.242000000000001</v>
      </c>
      <c r="E2821">
        <v>13.2</v>
      </c>
      <c r="F2821">
        <v>0</v>
      </c>
      <c r="G2821">
        <v>0</v>
      </c>
      <c r="H2821">
        <v>0</v>
      </c>
      <c r="I2821" s="7">
        <v>0</v>
      </c>
      <c r="J2821" s="6">
        <v>0</v>
      </c>
      <c r="K2821" s="6">
        <v>0</v>
      </c>
      <c r="L2821">
        <v>1</v>
      </c>
      <c r="M2821">
        <v>1</v>
      </c>
    </row>
    <row r="2822" spans="1:13" x14ac:dyDescent="0.25">
      <c r="A2822">
        <v>620</v>
      </c>
      <c r="B2822" t="str">
        <f>"PLA2G4B"</f>
        <v>PLA2G4B</v>
      </c>
      <c r="C2822" t="str">
        <f>""</f>
        <v/>
      </c>
      <c r="D2822">
        <v>54.677999999999997</v>
      </c>
      <c r="E2822">
        <v>2.2999999999999998</v>
      </c>
      <c r="F2822">
        <v>0</v>
      </c>
      <c r="G2822">
        <v>0</v>
      </c>
      <c r="H2822">
        <v>0</v>
      </c>
      <c r="I2822" s="7">
        <v>0</v>
      </c>
      <c r="J2822" s="6">
        <v>0</v>
      </c>
      <c r="K2822" s="6">
        <v>0</v>
      </c>
      <c r="L2822">
        <v>1</v>
      </c>
      <c r="M2822">
        <v>1</v>
      </c>
    </row>
    <row r="2823" spans="1:13" x14ac:dyDescent="0.25">
      <c r="A2823">
        <v>720</v>
      </c>
      <c r="B2823" t="str">
        <f>"PLCG2"</f>
        <v>PLCG2</v>
      </c>
      <c r="C2823" t="str">
        <f>""</f>
        <v/>
      </c>
      <c r="D2823">
        <v>147.87</v>
      </c>
      <c r="E2823">
        <v>1.7</v>
      </c>
      <c r="F2823">
        <v>0</v>
      </c>
      <c r="G2823">
        <v>0</v>
      </c>
      <c r="H2823">
        <v>0</v>
      </c>
      <c r="I2823" s="7">
        <v>0</v>
      </c>
      <c r="J2823" s="6">
        <v>0</v>
      </c>
      <c r="K2823" s="6">
        <v>0</v>
      </c>
      <c r="L2823">
        <v>1</v>
      </c>
      <c r="M2823">
        <v>1</v>
      </c>
    </row>
    <row r="2824" spans="1:13" x14ac:dyDescent="0.25">
      <c r="A2824">
        <v>733</v>
      </c>
      <c r="B2824" t="str">
        <f>"LGALS3"</f>
        <v>LGALS3</v>
      </c>
      <c r="C2824" t="str">
        <f>""</f>
        <v/>
      </c>
      <c r="D2824">
        <v>26.152000000000001</v>
      </c>
      <c r="E2824">
        <v>5.6</v>
      </c>
      <c r="F2824">
        <v>0</v>
      </c>
      <c r="G2824">
        <v>0</v>
      </c>
      <c r="H2824">
        <v>0</v>
      </c>
      <c r="I2824" s="7">
        <v>0</v>
      </c>
      <c r="J2824" s="6">
        <v>0</v>
      </c>
      <c r="K2824" s="6">
        <v>0</v>
      </c>
      <c r="L2824">
        <v>1</v>
      </c>
      <c r="M2824">
        <v>1</v>
      </c>
    </row>
    <row r="2825" spans="1:13" x14ac:dyDescent="0.25">
      <c r="A2825">
        <v>755</v>
      </c>
      <c r="B2825" t="str">
        <f>"NCF2"</f>
        <v>NCF2</v>
      </c>
      <c r="C2825" t="str">
        <f>""</f>
        <v/>
      </c>
      <c r="D2825">
        <v>59.761000000000003</v>
      </c>
      <c r="E2825">
        <v>2.5</v>
      </c>
      <c r="F2825">
        <v>0</v>
      </c>
      <c r="G2825">
        <v>0</v>
      </c>
      <c r="H2825">
        <v>0</v>
      </c>
      <c r="I2825" s="7">
        <v>0</v>
      </c>
      <c r="J2825" s="6">
        <v>0</v>
      </c>
      <c r="K2825" s="6">
        <v>0</v>
      </c>
      <c r="L2825">
        <v>1</v>
      </c>
      <c r="M2825">
        <v>1</v>
      </c>
    </row>
    <row r="2826" spans="1:13" x14ac:dyDescent="0.25">
      <c r="A2826">
        <v>773</v>
      </c>
      <c r="B2826" t="str">
        <f>"ENDOU"</f>
        <v>ENDOU</v>
      </c>
      <c r="C2826" t="str">
        <f>""</f>
        <v/>
      </c>
      <c r="D2826">
        <v>39.628999999999998</v>
      </c>
      <c r="E2826">
        <v>8.1</v>
      </c>
      <c r="F2826">
        <v>0</v>
      </c>
      <c r="G2826">
        <v>0</v>
      </c>
      <c r="H2826">
        <v>0</v>
      </c>
      <c r="I2826" s="7">
        <v>0</v>
      </c>
      <c r="J2826" s="6">
        <v>0</v>
      </c>
      <c r="K2826" s="6">
        <v>0</v>
      </c>
      <c r="L2826">
        <v>1</v>
      </c>
      <c r="M2826">
        <v>1</v>
      </c>
    </row>
    <row r="2827" spans="1:13" x14ac:dyDescent="0.25">
      <c r="A2827">
        <v>794</v>
      </c>
      <c r="B2827" t="str">
        <f>"SPRR1B"</f>
        <v>SPRR1B</v>
      </c>
      <c r="C2827" t="str">
        <f>""</f>
        <v/>
      </c>
      <c r="D2827">
        <v>9.8874999999999993</v>
      </c>
      <c r="E2827">
        <v>19.100000000000001</v>
      </c>
      <c r="F2827">
        <v>0</v>
      </c>
      <c r="G2827">
        <v>0</v>
      </c>
      <c r="H2827">
        <v>0</v>
      </c>
      <c r="I2827" s="7">
        <v>0</v>
      </c>
      <c r="J2827" s="6">
        <v>0</v>
      </c>
      <c r="K2827" s="6">
        <v>0</v>
      </c>
      <c r="L2827">
        <v>1</v>
      </c>
      <c r="M2827">
        <v>1</v>
      </c>
    </row>
    <row r="2828" spans="1:13" x14ac:dyDescent="0.25">
      <c r="A2828">
        <v>916</v>
      </c>
      <c r="B2828" t="str">
        <f>"CASP14"</f>
        <v>CASP14</v>
      </c>
      <c r="C2828" t="str">
        <f>""</f>
        <v/>
      </c>
      <c r="D2828">
        <v>27.678999999999998</v>
      </c>
      <c r="E2828">
        <v>4.5</v>
      </c>
      <c r="F2828">
        <v>0</v>
      </c>
      <c r="G2828">
        <v>0</v>
      </c>
      <c r="H2828">
        <v>0</v>
      </c>
      <c r="I2828" s="7">
        <v>0</v>
      </c>
      <c r="J2828" s="6">
        <v>0</v>
      </c>
      <c r="K2828" s="6">
        <v>0</v>
      </c>
      <c r="L2828">
        <v>1</v>
      </c>
      <c r="M2828">
        <v>1</v>
      </c>
    </row>
    <row r="2829" spans="1:13" x14ac:dyDescent="0.25">
      <c r="A2829">
        <v>924</v>
      </c>
      <c r="B2829" t="str">
        <f>"DSG3"</f>
        <v>DSG3</v>
      </c>
      <c r="C2829" t="str">
        <f>""</f>
        <v/>
      </c>
      <c r="D2829">
        <v>107.53</v>
      </c>
      <c r="E2829">
        <v>2.2000000000000002</v>
      </c>
      <c r="F2829">
        <v>0</v>
      </c>
      <c r="G2829">
        <v>0</v>
      </c>
      <c r="H2829">
        <v>0</v>
      </c>
      <c r="I2829" s="7">
        <v>0</v>
      </c>
      <c r="J2829" s="6">
        <v>0</v>
      </c>
      <c r="K2829" s="6">
        <v>0</v>
      </c>
      <c r="L2829">
        <v>1</v>
      </c>
      <c r="M2829">
        <v>1</v>
      </c>
    </row>
    <row r="2830" spans="1:13" x14ac:dyDescent="0.25">
      <c r="A2830">
        <v>942</v>
      </c>
      <c r="B2830" t="str">
        <f>"PHB"</f>
        <v>PHB</v>
      </c>
      <c r="C2830" t="str">
        <f>""</f>
        <v/>
      </c>
      <c r="D2830">
        <v>29.803999999999998</v>
      </c>
      <c r="E2830">
        <v>11.4</v>
      </c>
      <c r="F2830">
        <v>0</v>
      </c>
      <c r="G2830">
        <v>0</v>
      </c>
      <c r="H2830">
        <v>0</v>
      </c>
      <c r="I2830" s="7">
        <v>0</v>
      </c>
      <c r="J2830" s="6">
        <v>0</v>
      </c>
      <c r="K2830" s="6">
        <v>0</v>
      </c>
      <c r="L2830">
        <v>1</v>
      </c>
      <c r="M2830">
        <v>1</v>
      </c>
    </row>
    <row r="2831" spans="1:13" x14ac:dyDescent="0.25">
      <c r="A2831">
        <v>992</v>
      </c>
      <c r="B2831" t="str">
        <f>"CAPG"</f>
        <v>CAPG</v>
      </c>
      <c r="C2831" t="str">
        <f>""</f>
        <v/>
      </c>
      <c r="D2831">
        <v>36.856000000000002</v>
      </c>
      <c r="E2831">
        <v>3.6</v>
      </c>
      <c r="F2831">
        <v>0</v>
      </c>
      <c r="G2831">
        <v>0</v>
      </c>
      <c r="H2831">
        <v>0</v>
      </c>
      <c r="I2831" s="7">
        <v>0</v>
      </c>
      <c r="J2831" s="6">
        <v>0</v>
      </c>
      <c r="K2831" s="6">
        <v>0</v>
      </c>
      <c r="L2831">
        <v>1</v>
      </c>
      <c r="M2831">
        <v>1</v>
      </c>
    </row>
    <row r="2832" spans="1:13" x14ac:dyDescent="0.25">
      <c r="A2832">
        <v>1183</v>
      </c>
      <c r="B2832" t="str">
        <f>"AGFG1"</f>
        <v>AGFG1</v>
      </c>
      <c r="C2832" t="str">
        <f>""</f>
        <v/>
      </c>
      <c r="D2832">
        <v>54.180999999999997</v>
      </c>
      <c r="E2832">
        <v>2.7</v>
      </c>
      <c r="F2832">
        <v>0</v>
      </c>
      <c r="G2832">
        <v>0</v>
      </c>
      <c r="H2832">
        <v>0</v>
      </c>
      <c r="I2832" s="7">
        <v>0</v>
      </c>
      <c r="J2832" s="6">
        <v>0</v>
      </c>
      <c r="K2832" s="6">
        <v>0</v>
      </c>
      <c r="L2832">
        <v>1</v>
      </c>
      <c r="M2832">
        <v>1</v>
      </c>
    </row>
    <row r="2833" spans="1:13" x14ac:dyDescent="0.25">
      <c r="A2833">
        <v>1213</v>
      </c>
      <c r="B2833" t="str">
        <f>"HIRA"</f>
        <v>HIRA</v>
      </c>
      <c r="C2833" t="str">
        <f>""</f>
        <v/>
      </c>
      <c r="D2833">
        <v>111.83</v>
      </c>
      <c r="E2833">
        <v>1</v>
      </c>
      <c r="F2833">
        <v>0</v>
      </c>
      <c r="G2833">
        <v>0</v>
      </c>
      <c r="H2833">
        <v>0</v>
      </c>
      <c r="I2833" s="7">
        <v>0</v>
      </c>
      <c r="J2833" s="6">
        <v>0</v>
      </c>
      <c r="K2833" s="6">
        <v>0</v>
      </c>
      <c r="L2833">
        <v>1</v>
      </c>
      <c r="M2833">
        <v>1</v>
      </c>
    </row>
    <row r="2834" spans="1:13" x14ac:dyDescent="0.25">
      <c r="A2834">
        <v>1253</v>
      </c>
      <c r="B2834" t="str">
        <f>"RAB25"</f>
        <v>RAB25</v>
      </c>
      <c r="C2834" t="str">
        <f>""</f>
        <v/>
      </c>
      <c r="D2834">
        <v>23.495000000000001</v>
      </c>
      <c r="E2834">
        <v>4.2</v>
      </c>
      <c r="F2834">
        <v>0</v>
      </c>
      <c r="G2834">
        <v>0</v>
      </c>
      <c r="H2834">
        <v>0</v>
      </c>
      <c r="I2834" s="7">
        <v>0</v>
      </c>
      <c r="J2834" s="6">
        <v>0</v>
      </c>
      <c r="K2834" s="6">
        <v>0</v>
      </c>
      <c r="L2834">
        <v>1</v>
      </c>
      <c r="M2834">
        <v>1</v>
      </c>
    </row>
    <row r="2835" spans="1:13" x14ac:dyDescent="0.25">
      <c r="A2835">
        <v>1340</v>
      </c>
      <c r="B2835" t="str">
        <f>"GNB2;GNB4"</f>
        <v>GNB2;GNB4</v>
      </c>
      <c r="C2835" t="str">
        <f>""</f>
        <v/>
      </c>
      <c r="D2835">
        <v>25.931000000000001</v>
      </c>
      <c r="E2835">
        <v>5.4</v>
      </c>
      <c r="F2835">
        <v>0</v>
      </c>
      <c r="G2835">
        <v>0</v>
      </c>
      <c r="H2835">
        <v>0</v>
      </c>
      <c r="I2835" s="7">
        <v>0</v>
      </c>
      <c r="J2835" s="6">
        <v>0</v>
      </c>
      <c r="K2835" s="6">
        <v>0</v>
      </c>
      <c r="L2835">
        <v>1</v>
      </c>
      <c r="M2835">
        <v>1</v>
      </c>
    </row>
    <row r="2836" spans="1:13" x14ac:dyDescent="0.25">
      <c r="A2836">
        <v>1433</v>
      </c>
      <c r="B2836" t="str">
        <f>"OGDH"</f>
        <v>OGDH</v>
      </c>
      <c r="C2836" t="str">
        <f>""</f>
        <v/>
      </c>
      <c r="D2836">
        <v>48.18</v>
      </c>
      <c r="E2836">
        <v>1.6</v>
      </c>
      <c r="F2836">
        <v>0</v>
      </c>
      <c r="G2836">
        <v>0</v>
      </c>
      <c r="H2836">
        <v>0</v>
      </c>
      <c r="I2836" s="7">
        <v>0</v>
      </c>
      <c r="J2836" s="6">
        <v>0</v>
      </c>
      <c r="K2836" s="6">
        <v>0</v>
      </c>
      <c r="L2836">
        <v>1</v>
      </c>
      <c r="M2836">
        <v>1</v>
      </c>
    </row>
    <row r="2837" spans="1:13" x14ac:dyDescent="0.25">
      <c r="A2837">
        <v>1524</v>
      </c>
      <c r="B2837" t="str">
        <f>"MYO1E"</f>
        <v>MYO1E</v>
      </c>
      <c r="C2837" t="str">
        <f>""</f>
        <v/>
      </c>
      <c r="D2837">
        <v>127.06</v>
      </c>
      <c r="E2837">
        <v>1.7</v>
      </c>
      <c r="F2837">
        <v>0</v>
      </c>
      <c r="G2837">
        <v>0</v>
      </c>
      <c r="H2837">
        <v>0</v>
      </c>
      <c r="I2837" s="7">
        <v>0</v>
      </c>
      <c r="J2837" s="6">
        <v>0</v>
      </c>
      <c r="K2837" s="6">
        <v>0</v>
      </c>
      <c r="L2837">
        <v>1</v>
      </c>
      <c r="M2837">
        <v>1</v>
      </c>
    </row>
    <row r="2838" spans="1:13" x14ac:dyDescent="0.25">
      <c r="A2838">
        <v>1573</v>
      </c>
      <c r="B2838" t="str">
        <f>"OS9"</f>
        <v>OS9</v>
      </c>
      <c r="C2838" t="str">
        <f>""</f>
        <v/>
      </c>
      <c r="D2838">
        <v>63.154000000000003</v>
      </c>
      <c r="E2838">
        <v>1.8</v>
      </c>
      <c r="F2838">
        <v>0</v>
      </c>
      <c r="G2838">
        <v>0</v>
      </c>
      <c r="H2838">
        <v>0</v>
      </c>
      <c r="I2838" s="7">
        <v>0</v>
      </c>
      <c r="J2838" s="6">
        <v>0</v>
      </c>
      <c r="K2838" s="6">
        <v>0</v>
      </c>
      <c r="L2838">
        <v>1</v>
      </c>
      <c r="M2838">
        <v>1</v>
      </c>
    </row>
    <row r="2839" spans="1:13" x14ac:dyDescent="0.25">
      <c r="A2839">
        <v>1672</v>
      </c>
      <c r="B2839" t="str">
        <f>"KIR2DS3"</f>
        <v>KIR2DS3</v>
      </c>
      <c r="C2839" t="str">
        <f>""</f>
        <v/>
      </c>
      <c r="D2839">
        <v>33.716999999999999</v>
      </c>
      <c r="E2839">
        <v>5.9</v>
      </c>
      <c r="F2839">
        <v>0</v>
      </c>
      <c r="G2839">
        <v>0</v>
      </c>
      <c r="H2839">
        <v>0</v>
      </c>
      <c r="I2839" s="7">
        <v>0</v>
      </c>
      <c r="J2839" s="6">
        <v>0</v>
      </c>
      <c r="K2839" s="6">
        <v>0</v>
      </c>
      <c r="L2839">
        <v>1</v>
      </c>
      <c r="M2839">
        <v>1</v>
      </c>
    </row>
    <row r="2840" spans="1:13" x14ac:dyDescent="0.25">
      <c r="A2840">
        <v>1679</v>
      </c>
      <c r="B2840" t="str">
        <f>"CUL7"</f>
        <v>CUL7</v>
      </c>
      <c r="C2840" t="str">
        <f>""</f>
        <v/>
      </c>
      <c r="D2840">
        <v>191.16</v>
      </c>
      <c r="E2840">
        <v>1.5</v>
      </c>
      <c r="F2840">
        <v>0</v>
      </c>
      <c r="G2840">
        <v>0</v>
      </c>
      <c r="H2840">
        <v>0</v>
      </c>
      <c r="I2840" s="7">
        <v>0</v>
      </c>
      <c r="J2840" s="6">
        <v>0</v>
      </c>
      <c r="K2840" s="6">
        <v>0</v>
      </c>
      <c r="L2840">
        <v>1</v>
      </c>
      <c r="M2840">
        <v>1</v>
      </c>
    </row>
    <row r="2841" spans="1:13" x14ac:dyDescent="0.25">
      <c r="A2841">
        <v>1765</v>
      </c>
      <c r="B2841" t="str">
        <f>"DPYSL2"</f>
        <v>DPYSL2</v>
      </c>
      <c r="C2841" t="str">
        <f>""</f>
        <v/>
      </c>
      <c r="D2841">
        <v>58.161999999999999</v>
      </c>
      <c r="E2841">
        <v>4.0999999999999996</v>
      </c>
      <c r="F2841">
        <v>0</v>
      </c>
      <c r="G2841">
        <v>0</v>
      </c>
      <c r="H2841">
        <v>0</v>
      </c>
      <c r="I2841" s="7">
        <v>0</v>
      </c>
      <c r="J2841" s="6">
        <v>0</v>
      </c>
      <c r="K2841" s="6">
        <v>0</v>
      </c>
      <c r="L2841">
        <v>1</v>
      </c>
      <c r="M2841">
        <v>1</v>
      </c>
    </row>
    <row r="2842" spans="1:13" x14ac:dyDescent="0.25">
      <c r="A2842">
        <v>1781</v>
      </c>
      <c r="B2842" t="str">
        <f>"UPP1"</f>
        <v>UPP1</v>
      </c>
      <c r="C2842" t="str">
        <f>""</f>
        <v/>
      </c>
      <c r="D2842">
        <v>33.933999999999997</v>
      </c>
      <c r="E2842">
        <v>3.2</v>
      </c>
      <c r="F2842">
        <v>0</v>
      </c>
      <c r="G2842">
        <v>0</v>
      </c>
      <c r="H2842">
        <v>0</v>
      </c>
      <c r="I2842" s="7">
        <v>0</v>
      </c>
      <c r="J2842" s="6">
        <v>0</v>
      </c>
      <c r="K2842" s="6">
        <v>0</v>
      </c>
      <c r="L2842">
        <v>1</v>
      </c>
      <c r="M2842">
        <v>1</v>
      </c>
    </row>
    <row r="2843" spans="1:13" x14ac:dyDescent="0.25">
      <c r="A2843">
        <v>1811</v>
      </c>
      <c r="B2843" t="str">
        <f>"LGALSL"</f>
        <v>LGALSL</v>
      </c>
      <c r="C2843" t="str">
        <f>""</f>
        <v/>
      </c>
      <c r="D2843">
        <v>18.986000000000001</v>
      </c>
      <c r="E2843">
        <v>6.4</v>
      </c>
      <c r="F2843">
        <v>0</v>
      </c>
      <c r="G2843">
        <v>0</v>
      </c>
      <c r="H2843">
        <v>0</v>
      </c>
      <c r="I2843" s="7">
        <v>0</v>
      </c>
      <c r="J2843" s="6">
        <v>0</v>
      </c>
      <c r="K2843" s="6">
        <v>0</v>
      </c>
      <c r="L2843">
        <v>1</v>
      </c>
      <c r="M2843">
        <v>1</v>
      </c>
    </row>
    <row r="2844" spans="1:13" x14ac:dyDescent="0.25">
      <c r="A2844">
        <v>1857</v>
      </c>
      <c r="B2844" t="str">
        <f>"HIVEP3"</f>
        <v>HIVEP3</v>
      </c>
      <c r="C2844" t="str">
        <f>""</f>
        <v/>
      </c>
      <c r="D2844">
        <v>259.33</v>
      </c>
      <c r="E2844">
        <v>0.5</v>
      </c>
      <c r="F2844">
        <v>0</v>
      </c>
      <c r="G2844">
        <v>0</v>
      </c>
      <c r="H2844">
        <v>0</v>
      </c>
      <c r="I2844" s="7">
        <v>0</v>
      </c>
      <c r="J2844" s="6">
        <v>0</v>
      </c>
      <c r="K2844" s="6">
        <v>0</v>
      </c>
      <c r="L2844">
        <v>1</v>
      </c>
      <c r="M2844">
        <v>1</v>
      </c>
    </row>
    <row r="2845" spans="1:13" x14ac:dyDescent="0.25">
      <c r="A2845">
        <v>1874</v>
      </c>
      <c r="B2845" t="str">
        <f>"FAXC"</f>
        <v>FAXC</v>
      </c>
      <c r="C2845" t="str">
        <f>""</f>
        <v/>
      </c>
      <c r="D2845">
        <v>46.843000000000004</v>
      </c>
      <c r="E2845">
        <v>2</v>
      </c>
      <c r="F2845">
        <v>0</v>
      </c>
      <c r="G2845">
        <v>0</v>
      </c>
      <c r="H2845">
        <v>0</v>
      </c>
      <c r="I2845" s="7">
        <v>0</v>
      </c>
      <c r="J2845" s="6">
        <v>0</v>
      </c>
      <c r="K2845" s="6">
        <v>0</v>
      </c>
      <c r="L2845">
        <v>1</v>
      </c>
      <c r="M2845">
        <v>1</v>
      </c>
    </row>
    <row r="2846" spans="1:13" x14ac:dyDescent="0.25">
      <c r="A2846">
        <v>1900</v>
      </c>
      <c r="B2846" t="str">
        <f>"CDCA2"</f>
        <v>CDCA2</v>
      </c>
      <c r="C2846" t="str">
        <f>""</f>
        <v/>
      </c>
      <c r="D2846">
        <v>112.68</v>
      </c>
      <c r="E2846">
        <v>2.8</v>
      </c>
      <c r="F2846">
        <v>0</v>
      </c>
      <c r="G2846">
        <v>0</v>
      </c>
      <c r="H2846">
        <v>0</v>
      </c>
      <c r="I2846" s="7">
        <v>0</v>
      </c>
      <c r="J2846" s="6">
        <v>0</v>
      </c>
      <c r="K2846" s="6">
        <v>0</v>
      </c>
      <c r="L2846">
        <v>1</v>
      </c>
      <c r="M2846">
        <v>1</v>
      </c>
    </row>
    <row r="2847" spans="1:13" x14ac:dyDescent="0.25">
      <c r="A2847">
        <v>1920</v>
      </c>
      <c r="B2847" t="str">
        <f>"CYP4F22"</f>
        <v>CYP4F22</v>
      </c>
      <c r="C2847" t="str">
        <f>""</f>
        <v/>
      </c>
      <c r="D2847">
        <v>61.957999999999998</v>
      </c>
      <c r="E2847">
        <v>2.4</v>
      </c>
      <c r="F2847">
        <v>0</v>
      </c>
      <c r="G2847">
        <v>0</v>
      </c>
      <c r="H2847">
        <v>0</v>
      </c>
      <c r="I2847" s="7">
        <v>0</v>
      </c>
      <c r="J2847" s="6">
        <v>0</v>
      </c>
      <c r="K2847" s="6">
        <v>0</v>
      </c>
      <c r="L2847">
        <v>1</v>
      </c>
      <c r="M2847">
        <v>1</v>
      </c>
    </row>
    <row r="2848" spans="1:13" x14ac:dyDescent="0.25">
      <c r="A2848">
        <v>1957</v>
      </c>
      <c r="B2848" t="str">
        <f>"ANKRD12"</f>
        <v>ANKRD12</v>
      </c>
      <c r="C2848" t="str">
        <f>""</f>
        <v/>
      </c>
      <c r="D2848">
        <v>233.01</v>
      </c>
      <c r="E2848">
        <v>1.8</v>
      </c>
      <c r="F2848">
        <v>0</v>
      </c>
      <c r="G2848">
        <v>0</v>
      </c>
      <c r="H2848">
        <v>0</v>
      </c>
      <c r="I2848" s="7">
        <v>0</v>
      </c>
      <c r="J2848" s="6">
        <v>0</v>
      </c>
      <c r="K2848" s="6">
        <v>0</v>
      </c>
      <c r="L2848">
        <v>1</v>
      </c>
      <c r="M2848">
        <v>1</v>
      </c>
    </row>
    <row r="2849" spans="1:13" x14ac:dyDescent="0.25">
      <c r="A2849">
        <v>1977</v>
      </c>
      <c r="B2849" t="str">
        <f>"NBEAL2"</f>
        <v>NBEAL2</v>
      </c>
      <c r="C2849" t="str">
        <f>""</f>
        <v/>
      </c>
      <c r="D2849">
        <v>282.86</v>
      </c>
      <c r="E2849">
        <v>0.4</v>
      </c>
      <c r="F2849">
        <v>0</v>
      </c>
      <c r="G2849">
        <v>0</v>
      </c>
      <c r="H2849">
        <v>0</v>
      </c>
      <c r="I2849" s="7">
        <v>0</v>
      </c>
      <c r="J2849" s="6">
        <v>0</v>
      </c>
      <c r="K2849" s="6">
        <v>0</v>
      </c>
      <c r="L2849">
        <v>1</v>
      </c>
      <c r="M2849">
        <v>1</v>
      </c>
    </row>
    <row r="2850" spans="1:13" x14ac:dyDescent="0.25">
      <c r="A2850">
        <v>1987</v>
      </c>
      <c r="B2850" t="str">
        <f>"NCCRP1"</f>
        <v>NCCRP1</v>
      </c>
      <c r="C2850" t="str">
        <f>""</f>
        <v/>
      </c>
      <c r="D2850">
        <v>30.847000000000001</v>
      </c>
      <c r="E2850">
        <v>15.3</v>
      </c>
      <c r="F2850">
        <v>0</v>
      </c>
      <c r="G2850">
        <v>0</v>
      </c>
      <c r="H2850">
        <v>0</v>
      </c>
      <c r="I2850" s="7">
        <v>0</v>
      </c>
      <c r="J2850" s="6">
        <v>0</v>
      </c>
      <c r="K2850" s="6">
        <v>0</v>
      </c>
      <c r="L2850">
        <v>1</v>
      </c>
      <c r="M2850">
        <v>1</v>
      </c>
    </row>
    <row r="2851" spans="1:13" x14ac:dyDescent="0.25">
      <c r="A2851">
        <v>2056</v>
      </c>
      <c r="B2851" t="str">
        <f>"NLRX1"</f>
        <v>NLRX1</v>
      </c>
      <c r="C2851" t="str">
        <f>""</f>
        <v/>
      </c>
      <c r="D2851">
        <v>101.87</v>
      </c>
      <c r="E2851">
        <v>2.4</v>
      </c>
      <c r="F2851">
        <v>0</v>
      </c>
      <c r="G2851">
        <v>0</v>
      </c>
      <c r="H2851">
        <v>0</v>
      </c>
      <c r="I2851" s="7">
        <v>0</v>
      </c>
      <c r="J2851" s="6">
        <v>0</v>
      </c>
      <c r="K2851" s="6">
        <v>0</v>
      </c>
      <c r="L2851">
        <v>1</v>
      </c>
      <c r="M2851">
        <v>1</v>
      </c>
    </row>
    <row r="2852" spans="1:13" x14ac:dyDescent="0.25">
      <c r="A2852">
        <v>2132</v>
      </c>
      <c r="B2852" t="str">
        <f>"UNC80"</f>
        <v>UNC80</v>
      </c>
      <c r="C2852" t="str">
        <f>""</f>
        <v/>
      </c>
      <c r="D2852">
        <v>291.64</v>
      </c>
      <c r="E2852">
        <v>0.6</v>
      </c>
      <c r="F2852">
        <v>0</v>
      </c>
      <c r="G2852">
        <v>0</v>
      </c>
      <c r="H2852">
        <v>0</v>
      </c>
      <c r="I2852" s="7">
        <v>0</v>
      </c>
      <c r="J2852" s="6">
        <v>0</v>
      </c>
      <c r="K2852" s="6">
        <v>0</v>
      </c>
      <c r="L2852">
        <v>1</v>
      </c>
      <c r="M2852">
        <v>1</v>
      </c>
    </row>
    <row r="2853" spans="1:13" x14ac:dyDescent="0.25">
      <c r="A2853">
        <v>2163</v>
      </c>
      <c r="B2853" t="str">
        <f>"GBP7"</f>
        <v>GBP7</v>
      </c>
      <c r="C2853" t="str">
        <f>""</f>
        <v/>
      </c>
      <c r="D2853">
        <v>72.512</v>
      </c>
      <c r="E2853">
        <v>2.7</v>
      </c>
      <c r="F2853">
        <v>0</v>
      </c>
      <c r="G2853">
        <v>0</v>
      </c>
      <c r="H2853">
        <v>0</v>
      </c>
      <c r="I2853" s="7">
        <v>0</v>
      </c>
      <c r="J2853" s="6">
        <v>0</v>
      </c>
      <c r="K2853" s="6">
        <v>0</v>
      </c>
      <c r="L2853">
        <v>1</v>
      </c>
      <c r="M2853">
        <v>1</v>
      </c>
    </row>
    <row r="2854" spans="1:13" x14ac:dyDescent="0.25">
      <c r="A2854">
        <v>2220</v>
      </c>
      <c r="B2854" t="str">
        <f>"BPIFB1"</f>
        <v>BPIFB1</v>
      </c>
      <c r="C2854" t="str">
        <f>""</f>
        <v/>
      </c>
      <c r="D2854">
        <v>17.693999999999999</v>
      </c>
      <c r="E2854">
        <v>6.9</v>
      </c>
      <c r="F2854">
        <v>0</v>
      </c>
      <c r="G2854">
        <v>0</v>
      </c>
      <c r="H2854">
        <v>0</v>
      </c>
      <c r="I2854" s="7">
        <v>0</v>
      </c>
      <c r="J2854" s="6">
        <v>0</v>
      </c>
      <c r="K2854" s="6">
        <v>0</v>
      </c>
      <c r="L2854">
        <v>1</v>
      </c>
      <c r="M2854">
        <v>1</v>
      </c>
    </row>
    <row r="2855" spans="1:13" x14ac:dyDescent="0.25">
      <c r="A2855">
        <v>2337</v>
      </c>
      <c r="B2855" t="str">
        <f>"ISG20"</f>
        <v>ISG20</v>
      </c>
      <c r="C2855" t="str">
        <f>""</f>
        <v/>
      </c>
      <c r="D2855">
        <v>20.363</v>
      </c>
      <c r="E2855">
        <v>6.1</v>
      </c>
      <c r="F2855">
        <v>0</v>
      </c>
      <c r="G2855">
        <v>0</v>
      </c>
      <c r="H2855">
        <v>0</v>
      </c>
      <c r="I2855" s="7">
        <v>0</v>
      </c>
      <c r="J2855" s="6">
        <v>0</v>
      </c>
      <c r="K2855" s="6">
        <v>0</v>
      </c>
      <c r="L2855">
        <v>1</v>
      </c>
      <c r="M2855">
        <v>1</v>
      </c>
    </row>
    <row r="2856" spans="1:13" x14ac:dyDescent="0.25">
      <c r="A2856">
        <v>2358</v>
      </c>
      <c r="B2856" t="str">
        <f>"HVCN1"</f>
        <v>HVCN1</v>
      </c>
      <c r="C2856" t="str">
        <f>""</f>
        <v/>
      </c>
      <c r="D2856">
        <v>27.712</v>
      </c>
      <c r="E2856">
        <v>3.8</v>
      </c>
      <c r="F2856">
        <v>0</v>
      </c>
      <c r="G2856">
        <v>0</v>
      </c>
      <c r="H2856">
        <v>0</v>
      </c>
      <c r="I2856" s="7">
        <v>0</v>
      </c>
      <c r="J2856" s="6">
        <v>0</v>
      </c>
      <c r="K2856" s="6">
        <v>0</v>
      </c>
      <c r="L2856">
        <v>1</v>
      </c>
      <c r="M2856">
        <v>1</v>
      </c>
    </row>
    <row r="2857" spans="1:13" x14ac:dyDescent="0.25">
      <c r="A2857">
        <v>2541</v>
      </c>
      <c r="B2857" t="str">
        <f>"BTBD10"</f>
        <v>BTBD10</v>
      </c>
      <c r="C2857" t="str">
        <f>""</f>
        <v/>
      </c>
      <c r="D2857">
        <v>53.779000000000003</v>
      </c>
      <c r="E2857">
        <v>2.1</v>
      </c>
      <c r="F2857">
        <v>0</v>
      </c>
      <c r="G2857">
        <v>0</v>
      </c>
      <c r="H2857">
        <v>0</v>
      </c>
      <c r="I2857" s="7">
        <v>0</v>
      </c>
      <c r="J2857" s="6">
        <v>0</v>
      </c>
      <c r="K2857" s="6">
        <v>0</v>
      </c>
      <c r="L2857">
        <v>1</v>
      </c>
      <c r="M2857">
        <v>1</v>
      </c>
    </row>
    <row r="2858" spans="1:13" x14ac:dyDescent="0.25">
      <c r="A2858">
        <v>2657</v>
      </c>
      <c r="B2858" t="str">
        <f>"VPS33B"</f>
        <v>VPS33B</v>
      </c>
      <c r="C2858" t="str">
        <f>""</f>
        <v/>
      </c>
      <c r="D2858">
        <v>60.030999999999999</v>
      </c>
      <c r="E2858">
        <v>5.5</v>
      </c>
      <c r="F2858">
        <v>0</v>
      </c>
      <c r="G2858">
        <v>0</v>
      </c>
      <c r="H2858">
        <v>0</v>
      </c>
      <c r="I2858" s="7">
        <v>0</v>
      </c>
      <c r="J2858" s="6">
        <v>0</v>
      </c>
      <c r="K2858" s="6">
        <v>0</v>
      </c>
      <c r="L2858">
        <v>1</v>
      </c>
      <c r="M2858">
        <v>1</v>
      </c>
    </row>
    <row r="2859" spans="1:13" x14ac:dyDescent="0.25">
      <c r="A2859">
        <v>2741</v>
      </c>
      <c r="B2859" t="str">
        <f>"EPB41L5"</f>
        <v>EPB41L5</v>
      </c>
      <c r="C2859" t="str">
        <f>""</f>
        <v/>
      </c>
      <c r="D2859">
        <v>57.884999999999998</v>
      </c>
      <c r="E2859">
        <v>3</v>
      </c>
      <c r="F2859">
        <v>0</v>
      </c>
      <c r="G2859">
        <v>0</v>
      </c>
      <c r="H2859">
        <v>0</v>
      </c>
      <c r="I2859" s="7">
        <v>0</v>
      </c>
      <c r="J2859" s="6">
        <v>0</v>
      </c>
      <c r="K2859" s="6">
        <v>0</v>
      </c>
      <c r="L2859">
        <v>1</v>
      </c>
      <c r="M2859">
        <v>1</v>
      </c>
    </row>
    <row r="2860" spans="1:13" x14ac:dyDescent="0.25">
      <c r="A2860">
        <v>2779</v>
      </c>
      <c r="B2860" t="str">
        <f>"SH3GLB2"</f>
        <v>SH3GLB2</v>
      </c>
      <c r="C2860" t="str">
        <f>""</f>
        <v/>
      </c>
      <c r="D2860">
        <v>43.972999999999999</v>
      </c>
      <c r="E2860">
        <v>6.3</v>
      </c>
      <c r="F2860">
        <v>0</v>
      </c>
      <c r="G2860">
        <v>0</v>
      </c>
      <c r="H2860">
        <v>0</v>
      </c>
      <c r="I2860" s="7">
        <v>0</v>
      </c>
      <c r="J2860" s="6">
        <v>0</v>
      </c>
      <c r="K2860" s="6">
        <v>0</v>
      </c>
      <c r="L2860">
        <v>1</v>
      </c>
      <c r="M2860">
        <v>1</v>
      </c>
    </row>
    <row r="2861" spans="1:13" x14ac:dyDescent="0.25">
      <c r="A2861">
        <v>2817</v>
      </c>
      <c r="B2861" t="str">
        <f>"IMP3"</f>
        <v>IMP3</v>
      </c>
      <c r="C2861" t="str">
        <f>""</f>
        <v/>
      </c>
      <c r="D2861">
        <v>21.85</v>
      </c>
      <c r="E2861">
        <v>13.6</v>
      </c>
      <c r="F2861">
        <v>0</v>
      </c>
      <c r="G2861">
        <v>0</v>
      </c>
      <c r="H2861">
        <v>0</v>
      </c>
      <c r="I2861" s="7">
        <v>0</v>
      </c>
      <c r="J2861" s="6">
        <v>0</v>
      </c>
      <c r="K2861" s="6">
        <v>0</v>
      </c>
      <c r="L2861">
        <v>1</v>
      </c>
      <c r="M2861">
        <v>1</v>
      </c>
    </row>
    <row r="2862" spans="1:13" x14ac:dyDescent="0.25">
      <c r="A2862">
        <v>2839</v>
      </c>
      <c r="B2862" t="str">
        <f>"MRPL22"</f>
        <v>MRPL22</v>
      </c>
      <c r="C2862" t="str">
        <f>""</f>
        <v/>
      </c>
      <c r="D2862">
        <v>23.64</v>
      </c>
      <c r="E2862">
        <v>10.7</v>
      </c>
      <c r="F2862">
        <v>0</v>
      </c>
      <c r="G2862">
        <v>0</v>
      </c>
      <c r="H2862">
        <v>0</v>
      </c>
      <c r="I2862" s="7">
        <v>0</v>
      </c>
      <c r="J2862" s="6">
        <v>0</v>
      </c>
      <c r="K2862" s="6">
        <v>0</v>
      </c>
      <c r="L2862">
        <v>1</v>
      </c>
      <c r="M2862">
        <v>1</v>
      </c>
    </row>
    <row r="2863" spans="1:13" x14ac:dyDescent="0.25">
      <c r="A2863">
        <v>2947</v>
      </c>
      <c r="B2863" t="str">
        <f>"SEPT9"</f>
        <v>SEPT9</v>
      </c>
      <c r="C2863" t="str">
        <f>""</f>
        <v/>
      </c>
      <c r="D2863">
        <v>63.502000000000002</v>
      </c>
      <c r="E2863">
        <v>4.8</v>
      </c>
      <c r="F2863">
        <v>0</v>
      </c>
      <c r="G2863">
        <v>0</v>
      </c>
      <c r="H2863">
        <v>0</v>
      </c>
      <c r="I2863" s="7">
        <v>0</v>
      </c>
      <c r="J2863" s="6">
        <v>0</v>
      </c>
      <c r="K2863" s="6">
        <v>0</v>
      </c>
      <c r="L2863">
        <v>1</v>
      </c>
      <c r="M2863">
        <v>1</v>
      </c>
    </row>
    <row r="2864" spans="1:13" x14ac:dyDescent="0.25">
      <c r="A2864">
        <v>2951</v>
      </c>
      <c r="B2864" t="str">
        <f>"USP25"</f>
        <v>USP25</v>
      </c>
      <c r="C2864" t="str">
        <f>""</f>
        <v/>
      </c>
      <c r="D2864">
        <v>122.22</v>
      </c>
      <c r="E2864">
        <v>2.1</v>
      </c>
      <c r="F2864">
        <v>0</v>
      </c>
      <c r="G2864">
        <v>0</v>
      </c>
      <c r="H2864">
        <v>0</v>
      </c>
      <c r="I2864" s="7">
        <v>0</v>
      </c>
      <c r="J2864" s="6">
        <v>0</v>
      </c>
      <c r="K2864" s="6">
        <v>0</v>
      </c>
      <c r="L2864">
        <v>1</v>
      </c>
      <c r="M2864">
        <v>1</v>
      </c>
    </row>
    <row r="2865" spans="1:13" x14ac:dyDescent="0.25">
      <c r="A2865">
        <v>2960</v>
      </c>
      <c r="B2865" t="str">
        <f>"ZNF639"</f>
        <v>ZNF639</v>
      </c>
      <c r="C2865" t="str">
        <f>""</f>
        <v/>
      </c>
      <c r="D2865">
        <v>56.054000000000002</v>
      </c>
      <c r="E2865">
        <v>2.1</v>
      </c>
      <c r="F2865">
        <v>0</v>
      </c>
      <c r="G2865">
        <v>0</v>
      </c>
      <c r="H2865">
        <v>0</v>
      </c>
      <c r="I2865" s="7">
        <v>0</v>
      </c>
      <c r="J2865" s="6">
        <v>0</v>
      </c>
      <c r="K2865" s="6">
        <v>0</v>
      </c>
      <c r="L2865">
        <v>1</v>
      </c>
      <c r="M2865">
        <v>1</v>
      </c>
    </row>
    <row r="2866" spans="1:13" x14ac:dyDescent="0.25">
      <c r="A2866">
        <v>2979</v>
      </c>
      <c r="B2866" t="str">
        <f>"GTF3C4"</f>
        <v>GTF3C4</v>
      </c>
      <c r="C2866" t="str">
        <f>""</f>
        <v/>
      </c>
      <c r="D2866">
        <v>91.980999999999995</v>
      </c>
      <c r="E2866">
        <v>5</v>
      </c>
      <c r="F2866">
        <v>0</v>
      </c>
      <c r="G2866">
        <v>0</v>
      </c>
      <c r="H2866">
        <v>0</v>
      </c>
      <c r="I2866" s="7">
        <v>0</v>
      </c>
      <c r="J2866" s="6">
        <v>0</v>
      </c>
      <c r="K2866" s="6">
        <v>0</v>
      </c>
      <c r="L2866">
        <v>1</v>
      </c>
      <c r="M2866">
        <v>1</v>
      </c>
    </row>
    <row r="2867" spans="1:13" x14ac:dyDescent="0.25">
      <c r="A2867">
        <v>3003</v>
      </c>
      <c r="B2867" t="str">
        <f>"NDRG2"</f>
        <v>NDRG2</v>
      </c>
      <c r="C2867" t="str">
        <f>""</f>
        <v/>
      </c>
      <c r="D2867">
        <v>36.051000000000002</v>
      </c>
      <c r="E2867">
        <v>4.5999999999999996</v>
      </c>
      <c r="F2867">
        <v>0</v>
      </c>
      <c r="G2867">
        <v>0</v>
      </c>
      <c r="H2867">
        <v>0</v>
      </c>
      <c r="I2867" s="7">
        <v>0</v>
      </c>
      <c r="J2867" s="6">
        <v>0</v>
      </c>
      <c r="K2867" s="6">
        <v>0</v>
      </c>
      <c r="L2867">
        <v>1</v>
      </c>
      <c r="M2867">
        <v>1</v>
      </c>
    </row>
    <row r="2868" spans="1:13" x14ac:dyDescent="0.25">
      <c r="A2868">
        <v>3052</v>
      </c>
      <c r="B2868" t="str">
        <f>"INPP5F"</f>
        <v>INPP5F</v>
      </c>
      <c r="C2868" t="str">
        <f>""</f>
        <v/>
      </c>
      <c r="D2868">
        <v>128.41</v>
      </c>
      <c r="E2868">
        <v>0.9</v>
      </c>
      <c r="F2868">
        <v>0</v>
      </c>
      <c r="G2868">
        <v>0</v>
      </c>
      <c r="H2868">
        <v>0</v>
      </c>
      <c r="I2868" s="7">
        <v>0</v>
      </c>
      <c r="J2868" s="6">
        <v>0</v>
      </c>
      <c r="K2868" s="6">
        <v>0</v>
      </c>
      <c r="L2868">
        <v>1</v>
      </c>
      <c r="M2868">
        <v>1</v>
      </c>
    </row>
    <row r="2869" spans="1:13" x14ac:dyDescent="0.25">
      <c r="A2869">
        <v>3056</v>
      </c>
      <c r="B2869" t="str">
        <f>"ZBTB1"</f>
        <v>ZBTB1</v>
      </c>
      <c r="C2869" t="str">
        <f>""</f>
        <v/>
      </c>
      <c r="D2869">
        <v>73.682000000000002</v>
      </c>
      <c r="E2869">
        <v>2.6</v>
      </c>
      <c r="F2869">
        <v>0</v>
      </c>
      <c r="G2869">
        <v>0</v>
      </c>
      <c r="H2869">
        <v>0</v>
      </c>
      <c r="I2869" s="7">
        <v>0</v>
      </c>
      <c r="J2869" s="6">
        <v>0</v>
      </c>
      <c r="K2869" s="6">
        <v>0</v>
      </c>
      <c r="L2869">
        <v>1</v>
      </c>
      <c r="M2869">
        <v>1</v>
      </c>
    </row>
    <row r="2870" spans="1:13" x14ac:dyDescent="0.25">
      <c r="A2870">
        <v>3082</v>
      </c>
      <c r="B2870" t="str">
        <f>"KLK5"</f>
        <v>KLK5</v>
      </c>
      <c r="C2870" t="str">
        <f>""</f>
        <v/>
      </c>
      <c r="D2870">
        <v>32.020000000000003</v>
      </c>
      <c r="E2870">
        <v>7.2</v>
      </c>
      <c r="F2870">
        <v>0</v>
      </c>
      <c r="G2870">
        <v>0</v>
      </c>
      <c r="H2870">
        <v>0</v>
      </c>
      <c r="I2870" s="7">
        <v>0</v>
      </c>
      <c r="J2870" s="6">
        <v>0</v>
      </c>
      <c r="K2870" s="6">
        <v>0</v>
      </c>
      <c r="L2870">
        <v>1</v>
      </c>
      <c r="M2870">
        <v>1</v>
      </c>
    </row>
    <row r="2871" spans="1:13" x14ac:dyDescent="0.25">
      <c r="A2871">
        <v>3084</v>
      </c>
      <c r="B2871" t="str">
        <f>"UBE2J1"</f>
        <v>UBE2J1</v>
      </c>
      <c r="C2871" t="str">
        <f>""</f>
        <v/>
      </c>
      <c r="D2871">
        <v>35.198</v>
      </c>
      <c r="E2871">
        <v>4.7</v>
      </c>
      <c r="F2871">
        <v>0</v>
      </c>
      <c r="G2871">
        <v>0</v>
      </c>
      <c r="H2871">
        <v>0</v>
      </c>
      <c r="I2871" s="7">
        <v>0</v>
      </c>
      <c r="J2871" s="6">
        <v>0</v>
      </c>
      <c r="K2871" s="6">
        <v>0</v>
      </c>
      <c r="L2871">
        <v>1</v>
      </c>
      <c r="M2871">
        <v>1</v>
      </c>
    </row>
    <row r="2872" spans="1:13" x14ac:dyDescent="0.25">
      <c r="A2872">
        <v>3137</v>
      </c>
      <c r="B2872" t="str">
        <f>"SNX8"</f>
        <v>SNX8</v>
      </c>
      <c r="C2872" t="str">
        <f>""</f>
        <v/>
      </c>
      <c r="D2872">
        <v>52.569000000000003</v>
      </c>
      <c r="E2872">
        <v>2.8</v>
      </c>
      <c r="F2872">
        <v>0</v>
      </c>
      <c r="G2872">
        <v>0</v>
      </c>
      <c r="H2872">
        <v>0</v>
      </c>
      <c r="I2872" s="7">
        <v>0</v>
      </c>
      <c r="J2872" s="6">
        <v>0</v>
      </c>
      <c r="K2872" s="6">
        <v>0</v>
      </c>
      <c r="L2872">
        <v>1</v>
      </c>
      <c r="M2872">
        <v>1</v>
      </c>
    </row>
    <row r="2873" spans="1:13" x14ac:dyDescent="0.25">
      <c r="I2873" s="7"/>
      <c r="J2873" s="6"/>
      <c r="K2873" s="6"/>
    </row>
    <row r="2874" spans="1:13" x14ac:dyDescent="0.25">
      <c r="I2874" s="7"/>
      <c r="J2874" s="6"/>
      <c r="K2874" s="6"/>
    </row>
    <row r="2875" spans="1:13" x14ac:dyDescent="0.25">
      <c r="I2875" s="7"/>
      <c r="J2875" s="6"/>
      <c r="K2875" s="6"/>
    </row>
    <row r="2876" spans="1:13" x14ac:dyDescent="0.25">
      <c r="I2876" s="7"/>
      <c r="J2876" s="6"/>
      <c r="K2876" s="6"/>
    </row>
    <row r="2877" spans="1:13" x14ac:dyDescent="0.25">
      <c r="I2877" s="7"/>
      <c r="J2877" s="6"/>
      <c r="K2877" s="6"/>
    </row>
    <row r="2878" spans="1:13" x14ac:dyDescent="0.25">
      <c r="I2878" s="7"/>
      <c r="J2878" s="6"/>
      <c r="K2878" s="6"/>
    </row>
    <row r="2879" spans="1:13" x14ac:dyDescent="0.25">
      <c r="I2879" s="7"/>
      <c r="J2879" s="6"/>
      <c r="K2879" s="6"/>
    </row>
    <row r="2880" spans="1:13" x14ac:dyDescent="0.25">
      <c r="I2880" s="7"/>
      <c r="J2880" s="6"/>
      <c r="K2880" s="6"/>
    </row>
    <row r="2881" spans="9:11" x14ac:dyDescent="0.25">
      <c r="I2881" s="7"/>
      <c r="J2881" s="6"/>
      <c r="K2881" s="6"/>
    </row>
    <row r="2882" spans="9:11" x14ac:dyDescent="0.25">
      <c r="I2882" s="7"/>
      <c r="J2882" s="6"/>
      <c r="K2882" s="6"/>
    </row>
    <row r="2883" spans="9:11" x14ac:dyDescent="0.25">
      <c r="I2883" s="7"/>
      <c r="J2883" s="6"/>
      <c r="K2883" s="6"/>
    </row>
    <row r="2884" spans="9:11" x14ac:dyDescent="0.25">
      <c r="I2884" s="7"/>
      <c r="J2884" s="6"/>
      <c r="K2884" s="6"/>
    </row>
    <row r="2885" spans="9:11" x14ac:dyDescent="0.25">
      <c r="I2885" s="7"/>
      <c r="J2885" s="6"/>
      <c r="K2885" s="6"/>
    </row>
    <row r="2886" spans="9:11" x14ac:dyDescent="0.25">
      <c r="I2886" s="7"/>
      <c r="J2886" s="6"/>
      <c r="K2886" s="6"/>
    </row>
    <row r="2887" spans="9:11" x14ac:dyDescent="0.25">
      <c r="I2887" s="7"/>
      <c r="J2887" s="6"/>
      <c r="K2887" s="6"/>
    </row>
    <row r="2888" spans="9:11" x14ac:dyDescent="0.25">
      <c r="I2888" s="7"/>
      <c r="J2888" s="6"/>
      <c r="K2888" s="6"/>
    </row>
    <row r="2889" spans="9:11" x14ac:dyDescent="0.25">
      <c r="I2889" s="7"/>
      <c r="J2889" s="6"/>
      <c r="K2889" s="6"/>
    </row>
    <row r="2890" spans="9:11" x14ac:dyDescent="0.25">
      <c r="I2890" s="7"/>
      <c r="J2890" s="6"/>
      <c r="K2890" s="6"/>
    </row>
    <row r="2891" spans="9:11" x14ac:dyDescent="0.25">
      <c r="I2891" s="7"/>
      <c r="J2891" s="6"/>
      <c r="K2891" s="6"/>
    </row>
    <row r="2892" spans="9:11" x14ac:dyDescent="0.25">
      <c r="I2892" s="7"/>
      <c r="J2892" s="6"/>
      <c r="K2892" s="6"/>
    </row>
    <row r="2893" spans="9:11" x14ac:dyDescent="0.25">
      <c r="I2893" s="7"/>
      <c r="J2893" s="6"/>
      <c r="K2893" s="6"/>
    </row>
    <row r="2894" spans="9:11" x14ac:dyDescent="0.25">
      <c r="I2894" s="7"/>
      <c r="J2894" s="6"/>
      <c r="K2894" s="6"/>
    </row>
    <row r="2895" spans="9:11" x14ac:dyDescent="0.25">
      <c r="I2895" s="7"/>
      <c r="J2895" s="6"/>
      <c r="K2895" s="6"/>
    </row>
    <row r="2896" spans="9:11" x14ac:dyDescent="0.25">
      <c r="I2896" s="7"/>
      <c r="J2896" s="6"/>
      <c r="K2896" s="6"/>
    </row>
    <row r="2897" spans="9:11" x14ac:dyDescent="0.25">
      <c r="I2897" s="7"/>
      <c r="J2897" s="6"/>
      <c r="K2897" s="6"/>
    </row>
    <row r="2898" spans="9:11" x14ac:dyDescent="0.25">
      <c r="I2898" s="7"/>
      <c r="J2898" s="6"/>
      <c r="K2898" s="6"/>
    </row>
    <row r="2899" spans="9:11" x14ac:dyDescent="0.25">
      <c r="I2899" s="7"/>
      <c r="J2899" s="6"/>
      <c r="K2899" s="6"/>
    </row>
    <row r="2900" spans="9:11" x14ac:dyDescent="0.25">
      <c r="I2900" s="7"/>
      <c r="J2900" s="6"/>
      <c r="K2900" s="6"/>
    </row>
    <row r="2901" spans="9:11" x14ac:dyDescent="0.25">
      <c r="I2901" s="7"/>
      <c r="J2901" s="6"/>
      <c r="K2901" s="6"/>
    </row>
    <row r="2902" spans="9:11" x14ac:dyDescent="0.25">
      <c r="I2902" s="7"/>
      <c r="J2902" s="6"/>
      <c r="K2902" s="6"/>
    </row>
    <row r="2903" spans="9:11" x14ac:dyDescent="0.25">
      <c r="I2903" s="7"/>
      <c r="J2903" s="6"/>
      <c r="K2903" s="6"/>
    </row>
    <row r="2904" spans="9:11" x14ac:dyDescent="0.25">
      <c r="I2904" s="7"/>
      <c r="J2904" s="6"/>
      <c r="K2904" s="6"/>
    </row>
    <row r="2905" spans="9:11" x14ac:dyDescent="0.25">
      <c r="I2905" s="7"/>
      <c r="J2905" s="6"/>
      <c r="K2905" s="6"/>
    </row>
    <row r="2906" spans="9:11" x14ac:dyDescent="0.25">
      <c r="I2906" s="7"/>
      <c r="J2906" s="6"/>
      <c r="K2906" s="6"/>
    </row>
    <row r="2907" spans="9:11" x14ac:dyDescent="0.25">
      <c r="I2907" s="7"/>
      <c r="J2907" s="6"/>
      <c r="K2907" s="6"/>
    </row>
    <row r="2908" spans="9:11" x14ac:dyDescent="0.25">
      <c r="I2908" s="7"/>
      <c r="J2908" s="6"/>
      <c r="K2908" s="6"/>
    </row>
    <row r="2909" spans="9:11" x14ac:dyDescent="0.25">
      <c r="I2909" s="7"/>
      <c r="J2909" s="6"/>
      <c r="K2909" s="6"/>
    </row>
    <row r="2910" spans="9:11" x14ac:dyDescent="0.25">
      <c r="I2910" s="7"/>
      <c r="J2910" s="6"/>
      <c r="K2910" s="6"/>
    </row>
    <row r="2911" spans="9:11" x14ac:dyDescent="0.25">
      <c r="I2911" s="7"/>
      <c r="J2911" s="6"/>
      <c r="K2911" s="6"/>
    </row>
    <row r="2912" spans="9:11" x14ac:dyDescent="0.25">
      <c r="I2912" s="7"/>
      <c r="J2912" s="6"/>
      <c r="K2912" s="6"/>
    </row>
    <row r="2913" spans="9:11" x14ac:dyDescent="0.25">
      <c r="I2913" s="7"/>
      <c r="J2913" s="6"/>
      <c r="K2913" s="6"/>
    </row>
    <row r="2914" spans="9:11" x14ac:dyDescent="0.25">
      <c r="I2914" s="7"/>
      <c r="J2914" s="6"/>
      <c r="K2914" s="6"/>
    </row>
    <row r="2915" spans="9:11" x14ac:dyDescent="0.25">
      <c r="I2915" s="7"/>
      <c r="J2915" s="6"/>
      <c r="K2915" s="6"/>
    </row>
    <row r="2916" spans="9:11" x14ac:dyDescent="0.25">
      <c r="I2916" s="7"/>
      <c r="J2916" s="6"/>
      <c r="K2916" s="6"/>
    </row>
    <row r="2917" spans="9:11" x14ac:dyDescent="0.25">
      <c r="I2917" s="7"/>
      <c r="J2917" s="6"/>
      <c r="K2917" s="6"/>
    </row>
    <row r="2918" spans="9:11" x14ac:dyDescent="0.25">
      <c r="I2918" s="7"/>
      <c r="J2918" s="6"/>
      <c r="K2918" s="6"/>
    </row>
    <row r="2919" spans="9:11" x14ac:dyDescent="0.25">
      <c r="I2919" s="7"/>
      <c r="J2919" s="6"/>
      <c r="K2919" s="6"/>
    </row>
    <row r="2920" spans="9:11" x14ac:dyDescent="0.25">
      <c r="I2920" s="7"/>
      <c r="J2920" s="6"/>
      <c r="K2920" s="6"/>
    </row>
    <row r="2921" spans="9:11" x14ac:dyDescent="0.25">
      <c r="I2921" s="7"/>
      <c r="J2921" s="6"/>
      <c r="K2921" s="6"/>
    </row>
    <row r="2922" spans="9:11" x14ac:dyDescent="0.25">
      <c r="I2922" s="7"/>
      <c r="J2922" s="6"/>
      <c r="K2922" s="6"/>
    </row>
    <row r="2923" spans="9:11" x14ac:dyDescent="0.25">
      <c r="I2923" s="7"/>
      <c r="J2923" s="6"/>
      <c r="K2923" s="6"/>
    </row>
    <row r="2924" spans="9:11" x14ac:dyDescent="0.25">
      <c r="I2924" s="7"/>
      <c r="J2924" s="6"/>
      <c r="K2924" s="6"/>
    </row>
    <row r="2925" spans="9:11" x14ac:dyDescent="0.25">
      <c r="I2925" s="7"/>
      <c r="J2925" s="6"/>
      <c r="K2925" s="6"/>
    </row>
    <row r="2926" spans="9:11" x14ac:dyDescent="0.25">
      <c r="I2926" s="7"/>
      <c r="J2926" s="6"/>
      <c r="K2926" s="6"/>
    </row>
    <row r="2927" spans="9:11" x14ac:dyDescent="0.25">
      <c r="I2927" s="7"/>
      <c r="J2927" s="6"/>
      <c r="K2927" s="6"/>
    </row>
    <row r="2928" spans="9:11" x14ac:dyDescent="0.25">
      <c r="I2928" s="7"/>
      <c r="J2928" s="6"/>
      <c r="K2928" s="6"/>
    </row>
    <row r="2929" spans="9:11" x14ac:dyDescent="0.25">
      <c r="I2929" s="7"/>
      <c r="J2929" s="6"/>
      <c r="K2929" s="6"/>
    </row>
    <row r="2930" spans="9:11" x14ac:dyDescent="0.25">
      <c r="I2930" s="7"/>
      <c r="J2930" s="6"/>
      <c r="K2930" s="6"/>
    </row>
    <row r="2931" spans="9:11" x14ac:dyDescent="0.25">
      <c r="I2931" s="7"/>
      <c r="J2931" s="6"/>
      <c r="K2931" s="6"/>
    </row>
    <row r="2932" spans="9:11" x14ac:dyDescent="0.25">
      <c r="I2932" s="7"/>
      <c r="J2932" s="6"/>
      <c r="K2932" s="6"/>
    </row>
    <row r="2933" spans="9:11" x14ac:dyDescent="0.25">
      <c r="I2933" s="7"/>
      <c r="J2933" s="6"/>
      <c r="K2933" s="6"/>
    </row>
    <row r="2934" spans="9:11" x14ac:dyDescent="0.25">
      <c r="I2934" s="7"/>
      <c r="J2934" s="6"/>
      <c r="K2934" s="6"/>
    </row>
    <row r="2935" spans="9:11" x14ac:dyDescent="0.25">
      <c r="I2935" s="7"/>
      <c r="J2935" s="6"/>
      <c r="K2935" s="6"/>
    </row>
    <row r="2936" spans="9:11" x14ac:dyDescent="0.25">
      <c r="I2936" s="7"/>
      <c r="J2936" s="6"/>
      <c r="K2936" s="6"/>
    </row>
    <row r="2937" spans="9:11" x14ac:dyDescent="0.25">
      <c r="I2937" s="7"/>
      <c r="J2937" s="6"/>
      <c r="K2937" s="6"/>
    </row>
    <row r="2938" spans="9:11" x14ac:dyDescent="0.25">
      <c r="I2938" s="7"/>
      <c r="J2938" s="6"/>
      <c r="K2938" s="6"/>
    </row>
    <row r="2939" spans="9:11" x14ac:dyDescent="0.25">
      <c r="I2939" s="7"/>
      <c r="J2939" s="6"/>
      <c r="K2939" s="6"/>
    </row>
    <row r="2940" spans="9:11" x14ac:dyDescent="0.25">
      <c r="I2940" s="7"/>
      <c r="J2940" s="6"/>
      <c r="K2940" s="6"/>
    </row>
    <row r="2941" spans="9:11" x14ac:dyDescent="0.25">
      <c r="I2941" s="7"/>
      <c r="J2941" s="6"/>
      <c r="K2941" s="6"/>
    </row>
    <row r="2942" spans="9:11" x14ac:dyDescent="0.25">
      <c r="I2942" s="7"/>
      <c r="J2942" s="6"/>
      <c r="K2942" s="6"/>
    </row>
    <row r="2943" spans="9:11" x14ac:dyDescent="0.25">
      <c r="I2943" s="7"/>
      <c r="J2943" s="6"/>
      <c r="K2943" s="6"/>
    </row>
    <row r="2944" spans="9:11" x14ac:dyDescent="0.25">
      <c r="I2944" s="7"/>
      <c r="J2944" s="6"/>
      <c r="K2944" s="6"/>
    </row>
    <row r="2945" spans="9:11" x14ac:dyDescent="0.25">
      <c r="I2945" s="7"/>
      <c r="J2945" s="6"/>
      <c r="K2945" s="6"/>
    </row>
    <row r="2946" spans="9:11" x14ac:dyDescent="0.25">
      <c r="I2946" s="7"/>
      <c r="J2946" s="6"/>
      <c r="K2946" s="6"/>
    </row>
    <row r="2947" spans="9:11" x14ac:dyDescent="0.25">
      <c r="I2947" s="7"/>
      <c r="J2947" s="6"/>
      <c r="K2947" s="6"/>
    </row>
    <row r="2948" spans="9:11" x14ac:dyDescent="0.25">
      <c r="I2948" s="7"/>
      <c r="J2948" s="6"/>
      <c r="K2948" s="6"/>
    </row>
    <row r="2949" spans="9:11" x14ac:dyDescent="0.25">
      <c r="I2949" s="7"/>
      <c r="J2949" s="6"/>
      <c r="K2949" s="6"/>
    </row>
    <row r="2950" spans="9:11" x14ac:dyDescent="0.25">
      <c r="I2950" s="7"/>
      <c r="J2950" s="6"/>
      <c r="K2950" s="6"/>
    </row>
    <row r="2951" spans="9:11" x14ac:dyDescent="0.25">
      <c r="I2951" s="7"/>
      <c r="J2951" s="6"/>
      <c r="K2951" s="6"/>
    </row>
    <row r="2952" spans="9:11" x14ac:dyDescent="0.25">
      <c r="I2952" s="7"/>
      <c r="J2952" s="6"/>
      <c r="K2952" s="6"/>
    </row>
    <row r="2953" spans="9:11" x14ac:dyDescent="0.25">
      <c r="I2953" s="7"/>
      <c r="J2953" s="6"/>
      <c r="K2953" s="6"/>
    </row>
    <row r="2954" spans="9:11" x14ac:dyDescent="0.25">
      <c r="I2954" s="7"/>
      <c r="J2954" s="6"/>
      <c r="K2954" s="6"/>
    </row>
    <row r="2955" spans="9:11" x14ac:dyDescent="0.25">
      <c r="I2955" s="7"/>
      <c r="J2955" s="6"/>
      <c r="K2955" s="6"/>
    </row>
    <row r="2956" spans="9:11" x14ac:dyDescent="0.25">
      <c r="I2956" s="7"/>
      <c r="J2956" s="6"/>
      <c r="K2956" s="6"/>
    </row>
    <row r="2957" spans="9:11" x14ac:dyDescent="0.25">
      <c r="I2957" s="7"/>
      <c r="J2957" s="6"/>
      <c r="K2957" s="6"/>
    </row>
    <row r="2958" spans="9:11" x14ac:dyDescent="0.25">
      <c r="I2958" s="7"/>
      <c r="J2958" s="6"/>
      <c r="K2958" s="6"/>
    </row>
    <row r="2959" spans="9:11" x14ac:dyDescent="0.25">
      <c r="I2959" s="7"/>
      <c r="J2959" s="6"/>
      <c r="K2959" s="6"/>
    </row>
    <row r="2960" spans="9:11" x14ac:dyDescent="0.25">
      <c r="I2960" s="7"/>
      <c r="J2960" s="6"/>
      <c r="K2960" s="6"/>
    </row>
    <row r="2961" spans="9:11" x14ac:dyDescent="0.25">
      <c r="I2961" s="7"/>
      <c r="J2961" s="6"/>
      <c r="K2961" s="6"/>
    </row>
    <row r="2962" spans="9:11" x14ac:dyDescent="0.25">
      <c r="I2962" s="7"/>
      <c r="J2962" s="6"/>
      <c r="K2962" s="6"/>
    </row>
    <row r="2963" spans="9:11" x14ac:dyDescent="0.25">
      <c r="I2963" s="7"/>
      <c r="J2963" s="6"/>
      <c r="K2963" s="6"/>
    </row>
    <row r="2964" spans="9:11" x14ac:dyDescent="0.25">
      <c r="I2964" s="7"/>
      <c r="J2964" s="6"/>
      <c r="K2964" s="6"/>
    </row>
    <row r="2965" spans="9:11" x14ac:dyDescent="0.25">
      <c r="I2965" s="7"/>
      <c r="J2965" s="6"/>
      <c r="K2965" s="6"/>
    </row>
    <row r="2966" spans="9:11" x14ac:dyDescent="0.25">
      <c r="I2966" s="7"/>
      <c r="J2966" s="6"/>
      <c r="K2966" s="6"/>
    </row>
    <row r="2967" spans="9:11" x14ac:dyDescent="0.25">
      <c r="I2967" s="7"/>
      <c r="J2967" s="6"/>
      <c r="K2967" s="6"/>
    </row>
    <row r="2968" spans="9:11" x14ac:dyDescent="0.25">
      <c r="I2968" s="7"/>
      <c r="J2968" s="6"/>
      <c r="K2968" s="6"/>
    </row>
    <row r="2969" spans="9:11" x14ac:dyDescent="0.25">
      <c r="I2969" s="7"/>
      <c r="J2969" s="6"/>
      <c r="K2969" s="6"/>
    </row>
    <row r="2970" spans="9:11" x14ac:dyDescent="0.25">
      <c r="I2970" s="7"/>
      <c r="J2970" s="6"/>
      <c r="K2970" s="6"/>
    </row>
    <row r="2971" spans="9:11" x14ac:dyDescent="0.25">
      <c r="I2971" s="7"/>
      <c r="J2971" s="6"/>
      <c r="K2971" s="6"/>
    </row>
    <row r="2972" spans="9:11" x14ac:dyDescent="0.25">
      <c r="I2972" s="7"/>
      <c r="J2972" s="6"/>
      <c r="K2972" s="6"/>
    </row>
    <row r="2973" spans="9:11" x14ac:dyDescent="0.25">
      <c r="I2973" s="7"/>
      <c r="J2973" s="6"/>
      <c r="K2973" s="6"/>
    </row>
    <row r="2974" spans="9:11" x14ac:dyDescent="0.25">
      <c r="I2974" s="7"/>
      <c r="J2974" s="6"/>
      <c r="K2974" s="6"/>
    </row>
    <row r="2975" spans="9:11" x14ac:dyDescent="0.25">
      <c r="I2975" s="7"/>
      <c r="J2975" s="6"/>
      <c r="K2975" s="6"/>
    </row>
    <row r="2976" spans="9:11" x14ac:dyDescent="0.25">
      <c r="I2976" s="7"/>
      <c r="J2976" s="6"/>
      <c r="K2976" s="6"/>
    </row>
    <row r="2977" spans="9:11" x14ac:dyDescent="0.25">
      <c r="I2977" s="7"/>
      <c r="J2977" s="6"/>
      <c r="K2977" s="6"/>
    </row>
    <row r="2978" spans="9:11" x14ac:dyDescent="0.25">
      <c r="I2978" s="7"/>
      <c r="J2978" s="6"/>
      <c r="K2978" s="6"/>
    </row>
    <row r="2979" spans="9:11" x14ac:dyDescent="0.25">
      <c r="I2979" s="7"/>
      <c r="J2979" s="6"/>
      <c r="K2979" s="6"/>
    </row>
    <row r="2980" spans="9:11" x14ac:dyDescent="0.25">
      <c r="I2980" s="7"/>
      <c r="J2980" s="6"/>
      <c r="K2980" s="6"/>
    </row>
    <row r="2981" spans="9:11" x14ac:dyDescent="0.25">
      <c r="I2981" s="7"/>
      <c r="J2981" s="6"/>
      <c r="K2981" s="6"/>
    </row>
    <row r="2982" spans="9:11" x14ac:dyDescent="0.25">
      <c r="I2982" s="7"/>
      <c r="J2982" s="6"/>
      <c r="K2982" s="6"/>
    </row>
    <row r="2983" spans="9:11" x14ac:dyDescent="0.25">
      <c r="I2983" s="7"/>
      <c r="J2983" s="6"/>
      <c r="K2983" s="6"/>
    </row>
    <row r="2984" spans="9:11" x14ac:dyDescent="0.25">
      <c r="I2984" s="7"/>
      <c r="J2984" s="6"/>
      <c r="K2984" s="6"/>
    </row>
    <row r="2985" spans="9:11" x14ac:dyDescent="0.25">
      <c r="I2985" s="7"/>
      <c r="J2985" s="6"/>
      <c r="K2985" s="6"/>
    </row>
    <row r="2986" spans="9:11" x14ac:dyDescent="0.25">
      <c r="I2986" s="7"/>
      <c r="J2986" s="6"/>
      <c r="K2986" s="6"/>
    </row>
    <row r="2987" spans="9:11" x14ac:dyDescent="0.25">
      <c r="I2987" s="7"/>
      <c r="J2987" s="6"/>
      <c r="K2987" s="6"/>
    </row>
    <row r="2988" spans="9:11" x14ac:dyDescent="0.25">
      <c r="I2988" s="7"/>
      <c r="J2988" s="6"/>
      <c r="K2988" s="6"/>
    </row>
    <row r="2989" spans="9:11" x14ac:dyDescent="0.25">
      <c r="I2989" s="7"/>
      <c r="J2989" s="6"/>
      <c r="K2989" s="6"/>
    </row>
    <row r="2990" spans="9:11" x14ac:dyDescent="0.25">
      <c r="I2990" s="7"/>
      <c r="J2990" s="6"/>
      <c r="K2990" s="6"/>
    </row>
    <row r="2991" spans="9:11" x14ac:dyDescent="0.25">
      <c r="I2991" s="7"/>
      <c r="J2991" s="6"/>
      <c r="K2991" s="6"/>
    </row>
    <row r="2992" spans="9:11" x14ac:dyDescent="0.25">
      <c r="I2992" s="7"/>
      <c r="J2992" s="6"/>
      <c r="K2992" s="6"/>
    </row>
    <row r="2993" spans="9:11" x14ac:dyDescent="0.25">
      <c r="I2993" s="7"/>
      <c r="J2993" s="6"/>
      <c r="K2993" s="6"/>
    </row>
    <row r="2994" spans="9:11" x14ac:dyDescent="0.25">
      <c r="I2994" s="7"/>
      <c r="J2994" s="6"/>
      <c r="K2994" s="6"/>
    </row>
    <row r="2995" spans="9:11" x14ac:dyDescent="0.25">
      <c r="I2995" s="7"/>
      <c r="J2995" s="6"/>
      <c r="K2995" s="6"/>
    </row>
    <row r="2996" spans="9:11" x14ac:dyDescent="0.25">
      <c r="I2996" s="7"/>
      <c r="J2996" s="6"/>
      <c r="K2996" s="6"/>
    </row>
    <row r="2997" spans="9:11" x14ac:dyDescent="0.25">
      <c r="I2997" s="7"/>
      <c r="J2997" s="6"/>
      <c r="K2997" s="6"/>
    </row>
    <row r="2998" spans="9:11" x14ac:dyDescent="0.25">
      <c r="I2998" s="7"/>
      <c r="J2998" s="6"/>
      <c r="K2998" s="6"/>
    </row>
    <row r="2999" spans="9:11" x14ac:dyDescent="0.25">
      <c r="I2999" s="7"/>
      <c r="J2999" s="6"/>
      <c r="K2999" s="6"/>
    </row>
    <row r="3000" spans="9:11" x14ac:dyDescent="0.25">
      <c r="I3000" s="7"/>
      <c r="J3000" s="6"/>
      <c r="K3000" s="6"/>
    </row>
    <row r="3001" spans="9:11" x14ac:dyDescent="0.25">
      <c r="I3001" s="7"/>
      <c r="J3001" s="6"/>
      <c r="K3001" s="6"/>
    </row>
    <row r="3002" spans="9:11" x14ac:dyDescent="0.25">
      <c r="I3002" s="7"/>
      <c r="J3002" s="6"/>
      <c r="K3002" s="6"/>
    </row>
    <row r="3003" spans="9:11" x14ac:dyDescent="0.25">
      <c r="I3003" s="7"/>
      <c r="J3003" s="6"/>
      <c r="K3003" s="6"/>
    </row>
    <row r="3004" spans="9:11" x14ac:dyDescent="0.25">
      <c r="I3004" s="7"/>
      <c r="J3004" s="6"/>
      <c r="K3004" s="6"/>
    </row>
    <row r="3005" spans="9:11" x14ac:dyDescent="0.25">
      <c r="I3005" s="7"/>
      <c r="J3005" s="6"/>
      <c r="K3005" s="6"/>
    </row>
    <row r="3006" spans="9:11" x14ac:dyDescent="0.25">
      <c r="I3006" s="7"/>
      <c r="J3006" s="6"/>
      <c r="K3006" s="6"/>
    </row>
    <row r="3007" spans="9:11" x14ac:dyDescent="0.25">
      <c r="I3007" s="7"/>
      <c r="J3007" s="6"/>
      <c r="K3007" s="6"/>
    </row>
    <row r="3008" spans="9:11" x14ac:dyDescent="0.25">
      <c r="I3008" s="7"/>
      <c r="J3008" s="6"/>
      <c r="K3008" s="6"/>
    </row>
    <row r="3009" spans="9:11" x14ac:dyDescent="0.25">
      <c r="I3009" s="7"/>
      <c r="J3009" s="6"/>
      <c r="K3009" s="6"/>
    </row>
    <row r="3010" spans="9:11" x14ac:dyDescent="0.25">
      <c r="I3010" s="7"/>
      <c r="J3010" s="6"/>
      <c r="K3010" s="6"/>
    </row>
    <row r="3011" spans="9:11" x14ac:dyDescent="0.25">
      <c r="I3011" s="7"/>
      <c r="J3011" s="6"/>
      <c r="K3011" s="6"/>
    </row>
    <row r="3012" spans="9:11" x14ac:dyDescent="0.25">
      <c r="I3012" s="7"/>
      <c r="J3012" s="6"/>
      <c r="K3012" s="6"/>
    </row>
    <row r="3013" spans="9:11" x14ac:dyDescent="0.25">
      <c r="I3013" s="7"/>
      <c r="J3013" s="6"/>
      <c r="K3013" s="6"/>
    </row>
    <row r="3014" spans="9:11" x14ac:dyDescent="0.25">
      <c r="I3014" s="7"/>
      <c r="J3014" s="6"/>
      <c r="K3014" s="6"/>
    </row>
    <row r="3015" spans="9:11" x14ac:dyDescent="0.25">
      <c r="I3015" s="7"/>
      <c r="J3015" s="6"/>
      <c r="K3015" s="6"/>
    </row>
    <row r="3016" spans="9:11" x14ac:dyDescent="0.25">
      <c r="I3016" s="7"/>
      <c r="J3016" s="6"/>
      <c r="K3016" s="6"/>
    </row>
    <row r="3017" spans="9:11" x14ac:dyDescent="0.25">
      <c r="I3017" s="7"/>
      <c r="J3017" s="6"/>
      <c r="K3017" s="6"/>
    </row>
    <row r="3018" spans="9:11" x14ac:dyDescent="0.25">
      <c r="I3018" s="7"/>
      <c r="J3018" s="6"/>
      <c r="K3018" s="6"/>
    </row>
    <row r="3019" spans="9:11" x14ac:dyDescent="0.25">
      <c r="I3019" s="7"/>
      <c r="J3019" s="6"/>
      <c r="K3019" s="6"/>
    </row>
    <row r="3020" spans="9:11" x14ac:dyDescent="0.25">
      <c r="I3020" s="7"/>
      <c r="J3020" s="6"/>
      <c r="K3020" s="6"/>
    </row>
    <row r="3021" spans="9:11" x14ac:dyDescent="0.25">
      <c r="I3021" s="7"/>
      <c r="J3021" s="6"/>
      <c r="K3021" s="6"/>
    </row>
    <row r="3022" spans="9:11" x14ac:dyDescent="0.25">
      <c r="I3022" s="7"/>
      <c r="J3022" s="6"/>
      <c r="K3022" s="6"/>
    </row>
    <row r="3023" spans="9:11" x14ac:dyDescent="0.25">
      <c r="I3023" s="7"/>
      <c r="J3023" s="6"/>
      <c r="K3023" s="6"/>
    </row>
    <row r="3024" spans="9:11" x14ac:dyDescent="0.25">
      <c r="I3024" s="7"/>
      <c r="J3024" s="6"/>
      <c r="K3024" s="6"/>
    </row>
    <row r="3025" spans="9:11" x14ac:dyDescent="0.25">
      <c r="I3025" s="7"/>
      <c r="J3025" s="6"/>
      <c r="K3025" s="6"/>
    </row>
    <row r="3026" spans="9:11" x14ac:dyDescent="0.25">
      <c r="I3026" s="7"/>
      <c r="J3026" s="6"/>
      <c r="K3026" s="6"/>
    </row>
    <row r="3027" spans="9:11" x14ac:dyDescent="0.25">
      <c r="I3027" s="7"/>
      <c r="J3027" s="6"/>
      <c r="K3027" s="6"/>
    </row>
    <row r="3028" spans="9:11" x14ac:dyDescent="0.25">
      <c r="I3028" s="7"/>
      <c r="J3028" s="6"/>
      <c r="K3028" s="6"/>
    </row>
    <row r="3029" spans="9:11" x14ac:dyDescent="0.25">
      <c r="I3029" s="7"/>
      <c r="J3029" s="6"/>
      <c r="K3029" s="6"/>
    </row>
    <row r="3030" spans="9:11" x14ac:dyDescent="0.25">
      <c r="I3030" s="7"/>
      <c r="J3030" s="6"/>
      <c r="K3030" s="6"/>
    </row>
    <row r="3031" spans="9:11" x14ac:dyDescent="0.25">
      <c r="I3031" s="7"/>
      <c r="J3031" s="6"/>
      <c r="K3031" s="6"/>
    </row>
    <row r="3032" spans="9:11" x14ac:dyDescent="0.25">
      <c r="I3032" s="7"/>
      <c r="J3032" s="6"/>
      <c r="K3032" s="6"/>
    </row>
    <row r="3033" spans="9:11" x14ac:dyDescent="0.25">
      <c r="I3033" s="7"/>
      <c r="J3033" s="6"/>
      <c r="K3033" s="6"/>
    </row>
    <row r="3034" spans="9:11" x14ac:dyDescent="0.25">
      <c r="I3034" s="7"/>
      <c r="J3034" s="6"/>
      <c r="K3034" s="6"/>
    </row>
    <row r="3035" spans="9:11" x14ac:dyDescent="0.25">
      <c r="I3035" s="7"/>
      <c r="J3035" s="6"/>
      <c r="K3035" s="6"/>
    </row>
    <row r="3036" spans="9:11" x14ac:dyDescent="0.25">
      <c r="I3036" s="7"/>
      <c r="J3036" s="6"/>
      <c r="K3036" s="6"/>
    </row>
    <row r="3037" spans="9:11" x14ac:dyDescent="0.25">
      <c r="I3037" s="7"/>
      <c r="J3037" s="6"/>
      <c r="K3037" s="6"/>
    </row>
    <row r="3038" spans="9:11" x14ac:dyDescent="0.25">
      <c r="I3038" s="7"/>
      <c r="J3038" s="6"/>
      <c r="K3038" s="6"/>
    </row>
    <row r="3039" spans="9:11" x14ac:dyDescent="0.25">
      <c r="I3039" s="7"/>
      <c r="J3039" s="6"/>
      <c r="K3039" s="6"/>
    </row>
    <row r="3040" spans="9:11" x14ac:dyDescent="0.25">
      <c r="I3040" s="7"/>
      <c r="J3040" s="6"/>
      <c r="K3040" s="6"/>
    </row>
    <row r="3041" spans="9:11" x14ac:dyDescent="0.25">
      <c r="I3041" s="7"/>
      <c r="J3041" s="6"/>
      <c r="K3041" s="6"/>
    </row>
    <row r="3042" spans="9:11" x14ac:dyDescent="0.25">
      <c r="I3042" s="7"/>
      <c r="J3042" s="6"/>
      <c r="K3042" s="6"/>
    </row>
    <row r="3043" spans="9:11" x14ac:dyDescent="0.25">
      <c r="I3043" s="7"/>
      <c r="J3043" s="6"/>
      <c r="K3043" s="6"/>
    </row>
    <row r="3044" spans="9:11" x14ac:dyDescent="0.25">
      <c r="I3044" s="7"/>
      <c r="J3044" s="6"/>
      <c r="K3044" s="6"/>
    </row>
    <row r="3045" spans="9:11" x14ac:dyDescent="0.25">
      <c r="I3045" s="7"/>
      <c r="J3045" s="6"/>
      <c r="K3045" s="6"/>
    </row>
    <row r="3046" spans="9:11" x14ac:dyDescent="0.25">
      <c r="I3046" s="7"/>
      <c r="J3046" s="6"/>
      <c r="K3046" s="6"/>
    </row>
    <row r="3047" spans="9:11" x14ac:dyDescent="0.25">
      <c r="I3047" s="7"/>
      <c r="J3047" s="6"/>
      <c r="K3047" s="6"/>
    </row>
    <row r="3048" spans="9:11" x14ac:dyDescent="0.25">
      <c r="I3048" s="7"/>
      <c r="J3048" s="6"/>
      <c r="K3048" s="6"/>
    </row>
    <row r="3049" spans="9:11" x14ac:dyDescent="0.25">
      <c r="I3049" s="7"/>
      <c r="J3049" s="6"/>
      <c r="K3049" s="6"/>
    </row>
    <row r="3050" spans="9:11" x14ac:dyDescent="0.25">
      <c r="I3050" s="7"/>
      <c r="J3050" s="6"/>
      <c r="K3050" s="6"/>
    </row>
    <row r="3051" spans="9:11" x14ac:dyDescent="0.25">
      <c r="I3051" s="7"/>
      <c r="J3051" s="6"/>
      <c r="K3051" s="6"/>
    </row>
    <row r="3052" spans="9:11" x14ac:dyDescent="0.25">
      <c r="I3052" s="7"/>
      <c r="J3052" s="6"/>
      <c r="K3052" s="6"/>
    </row>
    <row r="3053" spans="9:11" x14ac:dyDescent="0.25">
      <c r="I3053" s="7"/>
      <c r="J3053" s="6"/>
      <c r="K3053" s="6"/>
    </row>
    <row r="3054" spans="9:11" x14ac:dyDescent="0.25">
      <c r="I3054" s="7"/>
      <c r="J3054" s="6"/>
      <c r="K3054" s="6"/>
    </row>
    <row r="3055" spans="9:11" x14ac:dyDescent="0.25">
      <c r="I3055" s="7"/>
      <c r="J3055" s="6"/>
      <c r="K3055" s="6"/>
    </row>
    <row r="3056" spans="9:11" x14ac:dyDescent="0.25">
      <c r="I3056" s="7"/>
      <c r="J3056" s="6"/>
      <c r="K3056" s="6"/>
    </row>
    <row r="3057" spans="9:11" x14ac:dyDescent="0.25">
      <c r="I3057" s="7"/>
      <c r="J3057" s="6"/>
      <c r="K3057" s="6"/>
    </row>
    <row r="3058" spans="9:11" x14ac:dyDescent="0.25">
      <c r="I3058" s="7"/>
      <c r="J3058" s="6"/>
      <c r="K3058" s="6"/>
    </row>
    <row r="3059" spans="9:11" x14ac:dyDescent="0.25">
      <c r="I3059" s="7"/>
      <c r="J3059" s="6"/>
      <c r="K3059" s="6"/>
    </row>
    <row r="3060" spans="9:11" x14ac:dyDescent="0.25">
      <c r="I3060" s="7"/>
      <c r="J3060" s="6"/>
      <c r="K3060" s="6"/>
    </row>
    <row r="3061" spans="9:11" x14ac:dyDescent="0.25">
      <c r="I3061" s="7"/>
      <c r="J3061" s="6"/>
      <c r="K3061" s="6"/>
    </row>
    <row r="3062" spans="9:11" x14ac:dyDescent="0.25">
      <c r="I3062" s="7"/>
      <c r="J3062" s="6"/>
      <c r="K3062" s="6"/>
    </row>
    <row r="3063" spans="9:11" x14ac:dyDescent="0.25">
      <c r="I3063" s="7"/>
      <c r="J3063" s="6"/>
      <c r="K3063" s="6"/>
    </row>
    <row r="3064" spans="9:11" x14ac:dyDescent="0.25">
      <c r="I3064" s="7"/>
      <c r="J3064" s="6"/>
      <c r="K3064" s="6"/>
    </row>
    <row r="3065" spans="9:11" x14ac:dyDescent="0.25">
      <c r="I3065" s="7"/>
      <c r="J3065" s="6"/>
      <c r="K3065" s="6"/>
    </row>
  </sheetData>
  <sortState ref="A2:N33">
    <sortCondition ref="M2:M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ReadMe</vt:lpstr>
      <vt:lpstr>RBBP9-FLAG MS-based Interactome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Pai, Govind</dc:creator>
  <cp:lastModifiedBy>Rockx, D.A.P.</cp:lastModifiedBy>
  <dcterms:created xsi:type="dcterms:W3CDTF">2021-10-21T12:26:04Z</dcterms:created>
  <dcterms:modified xsi:type="dcterms:W3CDTF">2022-11-10T10:54:31Z</dcterms:modified>
</cp:coreProperties>
</file>