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luisdelecea/Desktop/PAPERS/Impulsivity/"/>
    </mc:Choice>
  </mc:AlternateContent>
  <xr:revisionPtr revIDLastSave="0" documentId="8_{7B65D445-D5A9-5E4C-B8C0-BF046383DC3C}" xr6:coauthVersionLast="45" xr6:coauthVersionMax="45" xr10:uidLastSave="{00000000-0000-0000-0000-000000000000}"/>
  <bookViews>
    <workbookView xWindow="560" yWindow="1580" windowWidth="25600" windowHeight="14480" activeTab="4" xr2:uid="{00000000-000D-0000-FFFF-FFFF00000000}"/>
  </bookViews>
  <sheets>
    <sheet name="RawData" sheetId="1" r:id="rId1"/>
    <sheet name="GroupData" sheetId="2" r:id="rId2"/>
    <sheet name="Amph_Plots" sheetId="3" r:id="rId3"/>
    <sheet name="Atom_Plots" sheetId="4" r:id="rId4"/>
    <sheet name="BI_Plo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86" i="1" l="1"/>
  <c r="Z57" i="1"/>
  <c r="Z56" i="1"/>
  <c r="Z55" i="1"/>
  <c r="Z54" i="1"/>
  <c r="AA51" i="1" s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AB37" i="1" s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Z183" i="1"/>
  <c r="Z182" i="1"/>
  <c r="Z181" i="1"/>
  <c r="Z180" i="1"/>
  <c r="AB177" i="1" s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AA261" i="1"/>
  <c r="AB16" i="1"/>
  <c r="AB93" i="1" l="1"/>
  <c r="AB205" i="1"/>
  <c r="AB9" i="1"/>
  <c r="AB51" i="1"/>
  <c r="AA37" i="1"/>
  <c r="AB86" i="1"/>
  <c r="AA93" i="1"/>
  <c r="AB65" i="1"/>
  <c r="AB135" i="1"/>
  <c r="AA23" i="1"/>
  <c r="AB254" i="1"/>
  <c r="AA114" i="1"/>
  <c r="AB170" i="1"/>
  <c r="AA86" i="1"/>
  <c r="AA44" i="1"/>
  <c r="AB44" i="1"/>
  <c r="AA30" i="1"/>
  <c r="AB30" i="1"/>
  <c r="AB23" i="1"/>
  <c r="AA16" i="1"/>
  <c r="AA9" i="1"/>
  <c r="AA2" i="1"/>
  <c r="AB2" i="1"/>
  <c r="AA177" i="1"/>
  <c r="AA170" i="1"/>
  <c r="AB163" i="1"/>
  <c r="AA163" i="1"/>
  <c r="AB156" i="1"/>
  <c r="AA156" i="1"/>
  <c r="AA149" i="1"/>
  <c r="AB149" i="1"/>
  <c r="AA142" i="1"/>
  <c r="AB142" i="1"/>
  <c r="AA135" i="1"/>
  <c r="AB128" i="1"/>
  <c r="AA128" i="1"/>
  <c r="AB121" i="1"/>
  <c r="AA121" i="1"/>
  <c r="AB114" i="1"/>
  <c r="AA107" i="1"/>
  <c r="AB107" i="1"/>
  <c r="AB100" i="1"/>
  <c r="AA100" i="1"/>
  <c r="AB79" i="1"/>
  <c r="AA79" i="1"/>
  <c r="AB72" i="1"/>
  <c r="AA72" i="1"/>
  <c r="AB58" i="1"/>
  <c r="AB233" i="1"/>
  <c r="AA233" i="1"/>
  <c r="AB226" i="1"/>
  <c r="AA226" i="1"/>
  <c r="AB219" i="1"/>
  <c r="AA219" i="1"/>
  <c r="AA212" i="1"/>
  <c r="AB212" i="1"/>
  <c r="AA205" i="1"/>
  <c r="AB198" i="1"/>
  <c r="AA198" i="1"/>
  <c r="AA289" i="1"/>
  <c r="AB289" i="1"/>
  <c r="AA282" i="1"/>
  <c r="AB282" i="1"/>
  <c r="AB275" i="1"/>
  <c r="AA275" i="1"/>
  <c r="AB268" i="1"/>
  <c r="AA268" i="1"/>
  <c r="AB261" i="1"/>
  <c r="AA254" i="1"/>
  <c r="AB247" i="1"/>
  <c r="AA247" i="1"/>
  <c r="AB240" i="1"/>
  <c r="AA240" i="1"/>
  <c r="AA191" i="1"/>
  <c r="AB191" i="1"/>
  <c r="AB184" i="1"/>
  <c r="AA184" i="1"/>
  <c r="AA65" i="1"/>
  <c r="AA58" i="1"/>
  <c r="A1" i="2" l="1"/>
  <c r="B1" i="2"/>
  <c r="B1" i="3" s="1"/>
  <c r="C1" i="2"/>
  <c r="C1" i="3" s="1"/>
  <c r="D1" i="2"/>
  <c r="E1" i="2"/>
  <c r="E1" i="3" s="1"/>
  <c r="F1" i="2"/>
  <c r="G1" i="2"/>
  <c r="H1" i="2"/>
  <c r="I1" i="2"/>
  <c r="I1" i="3" s="1"/>
  <c r="J1" i="2"/>
  <c r="K1" i="2"/>
  <c r="K1" i="5" s="1"/>
  <c r="L1" i="2"/>
  <c r="M1" i="2"/>
  <c r="N1" i="2"/>
  <c r="N1" i="3" s="1"/>
  <c r="O1" i="2"/>
  <c r="O1" i="3" s="1"/>
  <c r="P1" i="2"/>
  <c r="P1" i="4" s="1"/>
  <c r="Q1" i="2"/>
  <c r="R1" i="2"/>
  <c r="A2" i="2"/>
  <c r="B2" i="2"/>
  <c r="C2" i="2"/>
  <c r="C11" i="3" s="1"/>
  <c r="A3" i="2"/>
  <c r="B3" i="2"/>
  <c r="B2" i="3" s="1"/>
  <c r="C3" i="2"/>
  <c r="A4" i="2"/>
  <c r="A12" i="3" s="1"/>
  <c r="B4" i="2"/>
  <c r="C4" i="2"/>
  <c r="A5" i="2"/>
  <c r="B5" i="2"/>
  <c r="C5" i="2"/>
  <c r="C3" i="4" s="1"/>
  <c r="A6" i="2"/>
  <c r="B6" i="2"/>
  <c r="C6" i="2"/>
  <c r="C19" i="5" s="1"/>
  <c r="A7" i="2"/>
  <c r="B7" i="2"/>
  <c r="C7" i="2"/>
  <c r="C8" i="5" s="1"/>
  <c r="A8" i="2"/>
  <c r="A13" i="4" s="1"/>
  <c r="B8" i="2"/>
  <c r="B13" i="4" s="1"/>
  <c r="C8" i="2"/>
  <c r="C13" i="3" s="1"/>
  <c r="A9" i="2"/>
  <c r="B9" i="2"/>
  <c r="C9" i="2"/>
  <c r="C4" i="4" s="1"/>
  <c r="A10" i="2"/>
  <c r="A14" i="3" s="1"/>
  <c r="B10" i="2"/>
  <c r="B14" i="3" s="1"/>
  <c r="C10" i="2"/>
  <c r="C14" i="3" s="1"/>
  <c r="A11" i="2"/>
  <c r="A5" i="3" s="1"/>
  <c r="B11" i="2"/>
  <c r="B5" i="3" s="1"/>
  <c r="C11" i="2"/>
  <c r="C5" i="3" s="1"/>
  <c r="A12" i="2"/>
  <c r="A15" i="3" s="1"/>
  <c r="B12" i="2"/>
  <c r="B15" i="3" s="1"/>
  <c r="C12" i="2"/>
  <c r="C15" i="3" s="1"/>
  <c r="A13" i="2"/>
  <c r="A6" i="3" s="1"/>
  <c r="B13" i="2"/>
  <c r="B6" i="3" s="1"/>
  <c r="C13" i="2"/>
  <c r="C6" i="3" s="1"/>
  <c r="A14" i="2"/>
  <c r="B14" i="2"/>
  <c r="B17" i="4" s="1"/>
  <c r="C14" i="2"/>
  <c r="C17" i="3" s="1"/>
  <c r="A15" i="2"/>
  <c r="B15" i="2"/>
  <c r="C15" i="2"/>
  <c r="C8" i="3" s="1"/>
  <c r="A16" i="2"/>
  <c r="A18" i="3" s="1"/>
  <c r="B16" i="2"/>
  <c r="B18" i="3" s="1"/>
  <c r="C16" i="2"/>
  <c r="C18" i="3" s="1"/>
  <c r="A17" i="2"/>
  <c r="A9" i="3" s="1"/>
  <c r="B17" i="2"/>
  <c r="B9" i="3" s="1"/>
  <c r="C17" i="2"/>
  <c r="C9" i="3" s="1"/>
  <c r="A18" i="2"/>
  <c r="A19" i="3" s="1"/>
  <c r="B18" i="2"/>
  <c r="B19" i="3" s="1"/>
  <c r="C18" i="2"/>
  <c r="C19" i="3" s="1"/>
  <c r="A19" i="2"/>
  <c r="A10" i="3" s="1"/>
  <c r="B19" i="2"/>
  <c r="B10" i="3" s="1"/>
  <c r="C19" i="2"/>
  <c r="C10" i="3" s="1"/>
  <c r="A20" i="2"/>
  <c r="A14" i="4" s="1"/>
  <c r="B20" i="2"/>
  <c r="B14" i="4" s="1"/>
  <c r="C20" i="2"/>
  <c r="C14" i="4" s="1"/>
  <c r="A21" i="2"/>
  <c r="A5" i="4" s="1"/>
  <c r="B21" i="2"/>
  <c r="B5" i="4" s="1"/>
  <c r="C21" i="2"/>
  <c r="C5" i="4" s="1"/>
  <c r="A22" i="2"/>
  <c r="A15" i="4" s="1"/>
  <c r="B22" i="2"/>
  <c r="B15" i="4" s="1"/>
  <c r="C22" i="2"/>
  <c r="C15" i="4" s="1"/>
  <c r="A23" i="2"/>
  <c r="A6" i="4" s="1"/>
  <c r="B23" i="2"/>
  <c r="B6" i="4" s="1"/>
  <c r="C23" i="2"/>
  <c r="C6" i="4" s="1"/>
  <c r="A24" i="2"/>
  <c r="A18" i="4" s="1"/>
  <c r="B24" i="2"/>
  <c r="B18" i="4" s="1"/>
  <c r="C24" i="2"/>
  <c r="C18" i="4" s="1"/>
  <c r="A25" i="2"/>
  <c r="A9" i="4" s="1"/>
  <c r="B25" i="2"/>
  <c r="B9" i="4" s="1"/>
  <c r="C25" i="2"/>
  <c r="C9" i="4" s="1"/>
  <c r="A26" i="2"/>
  <c r="A19" i="4" s="1"/>
  <c r="B26" i="2"/>
  <c r="B19" i="4" s="1"/>
  <c r="C26" i="2"/>
  <c r="C19" i="4" s="1"/>
  <c r="A27" i="2"/>
  <c r="A10" i="4" s="1"/>
  <c r="B27" i="2"/>
  <c r="B10" i="4" s="1"/>
  <c r="C27" i="2"/>
  <c r="C10" i="4" s="1"/>
  <c r="A28" i="2"/>
  <c r="A15" i="5" s="1"/>
  <c r="B28" i="2"/>
  <c r="B15" i="5" s="1"/>
  <c r="C28" i="2"/>
  <c r="C15" i="5" s="1"/>
  <c r="A29" i="2"/>
  <c r="A4" i="5" s="1"/>
  <c r="B29" i="2"/>
  <c r="B4" i="5" s="1"/>
  <c r="C29" i="2"/>
  <c r="C4" i="5" s="1"/>
  <c r="A30" i="2"/>
  <c r="A16" i="5" s="1"/>
  <c r="B30" i="2"/>
  <c r="B16" i="5" s="1"/>
  <c r="C30" i="2"/>
  <c r="C16" i="5" s="1"/>
  <c r="A31" i="2"/>
  <c r="A5" i="5" s="1"/>
  <c r="B31" i="2"/>
  <c r="B5" i="5" s="1"/>
  <c r="C31" i="2"/>
  <c r="C5" i="5" s="1"/>
  <c r="A32" i="2"/>
  <c r="A17" i="5" s="1"/>
  <c r="B32" i="2"/>
  <c r="B17" i="5" s="1"/>
  <c r="C32" i="2"/>
  <c r="C17" i="5" s="1"/>
  <c r="A33" i="2"/>
  <c r="A6" i="5" s="1"/>
  <c r="B33" i="2"/>
  <c r="B6" i="5" s="1"/>
  <c r="C33" i="2"/>
  <c r="C6" i="5" s="1"/>
  <c r="A34" i="2"/>
  <c r="A18" i="5" s="1"/>
  <c r="B34" i="2"/>
  <c r="B18" i="5" s="1"/>
  <c r="C34" i="2"/>
  <c r="C18" i="5" s="1"/>
  <c r="A35" i="2"/>
  <c r="A7" i="5" s="1"/>
  <c r="B35" i="2"/>
  <c r="B7" i="5" s="1"/>
  <c r="C35" i="2"/>
  <c r="C7" i="5" s="1"/>
  <c r="A36" i="2"/>
  <c r="A20" i="5" s="1"/>
  <c r="B36" i="2"/>
  <c r="B20" i="5" s="1"/>
  <c r="C36" i="2"/>
  <c r="C20" i="5" s="1"/>
  <c r="A37" i="2"/>
  <c r="A9" i="5" s="1"/>
  <c r="B37" i="2"/>
  <c r="B9" i="5" s="1"/>
  <c r="C37" i="2"/>
  <c r="C9" i="5" s="1"/>
  <c r="A38" i="2"/>
  <c r="A21" i="5" s="1"/>
  <c r="B38" i="2"/>
  <c r="B21" i="5" s="1"/>
  <c r="C38" i="2"/>
  <c r="C21" i="5" s="1"/>
  <c r="A39" i="2"/>
  <c r="A10" i="5" s="1"/>
  <c r="B39" i="2"/>
  <c r="B10" i="5" s="1"/>
  <c r="C39" i="2"/>
  <c r="C10" i="5" s="1"/>
  <c r="A40" i="2"/>
  <c r="A22" i="5" s="1"/>
  <c r="B40" i="2"/>
  <c r="B22" i="5" s="1"/>
  <c r="C40" i="2"/>
  <c r="C22" i="5" s="1"/>
  <c r="A41" i="2"/>
  <c r="A11" i="5" s="1"/>
  <c r="B41" i="2"/>
  <c r="B11" i="5" s="1"/>
  <c r="C41" i="2"/>
  <c r="C11" i="5" s="1"/>
  <c r="A42" i="2"/>
  <c r="A23" i="5" s="1"/>
  <c r="B42" i="2"/>
  <c r="B23" i="5" s="1"/>
  <c r="C42" i="2"/>
  <c r="C23" i="5" s="1"/>
  <c r="A43" i="2"/>
  <c r="A12" i="5" s="1"/>
  <c r="B43" i="2"/>
  <c r="B12" i="5" s="1"/>
  <c r="C43" i="2"/>
  <c r="C12" i="5" s="1"/>
  <c r="C7" i="4" l="1"/>
  <c r="C16" i="3"/>
  <c r="C4" i="3"/>
  <c r="P1" i="3"/>
  <c r="K1" i="4"/>
  <c r="K1" i="3"/>
  <c r="C8" i="4"/>
  <c r="P1" i="5"/>
  <c r="M1" i="5"/>
  <c r="M1" i="4"/>
  <c r="M1" i="3"/>
  <c r="A8" i="5"/>
  <c r="A7" i="4"/>
  <c r="A7" i="3"/>
  <c r="A14" i="5"/>
  <c r="A12" i="4"/>
  <c r="A1" i="5"/>
  <c r="A1" i="4"/>
  <c r="A1" i="3"/>
  <c r="A8" i="4"/>
  <c r="A8" i="3"/>
  <c r="A4" i="4"/>
  <c r="A4" i="3"/>
  <c r="A19" i="5"/>
  <c r="A16" i="4"/>
  <c r="A16" i="3"/>
  <c r="A2" i="5"/>
  <c r="A2" i="4"/>
  <c r="A2" i="3"/>
  <c r="A13" i="5"/>
  <c r="A11" i="4"/>
  <c r="A11" i="3"/>
  <c r="A17" i="4"/>
  <c r="A17" i="3"/>
  <c r="A3" i="5"/>
  <c r="A3" i="4"/>
  <c r="A3" i="3"/>
  <c r="A13" i="3"/>
  <c r="G1" i="5"/>
  <c r="G1" i="4"/>
  <c r="G1" i="3"/>
  <c r="B8" i="4"/>
  <c r="B8" i="3"/>
  <c r="B4" i="4"/>
  <c r="B4" i="3"/>
  <c r="B8" i="5"/>
  <c r="B7" i="4"/>
  <c r="B19" i="5"/>
  <c r="B16" i="4"/>
  <c r="B16" i="3"/>
  <c r="B3" i="5"/>
  <c r="B3" i="4"/>
  <c r="B3" i="3"/>
  <c r="B12" i="4"/>
  <c r="B14" i="5"/>
  <c r="B2" i="4"/>
  <c r="B2" i="5"/>
  <c r="B11" i="4"/>
  <c r="B13" i="5"/>
  <c r="B11" i="3"/>
  <c r="N1" i="4"/>
  <c r="N1" i="5"/>
  <c r="H1" i="4"/>
  <c r="H1" i="5"/>
  <c r="B1" i="4"/>
  <c r="B1" i="5"/>
  <c r="B13" i="3"/>
  <c r="B12" i="3"/>
  <c r="R1" i="5"/>
  <c r="R1" i="4"/>
  <c r="L1" i="5"/>
  <c r="L1" i="4"/>
  <c r="L1" i="3"/>
  <c r="F1" i="5"/>
  <c r="F1" i="4"/>
  <c r="F1" i="3"/>
  <c r="Q1" i="4"/>
  <c r="Q1" i="5"/>
  <c r="E1" i="5"/>
  <c r="E1" i="4"/>
  <c r="R1" i="3"/>
  <c r="B17" i="3"/>
  <c r="C7" i="3"/>
  <c r="J1" i="4"/>
  <c r="J1" i="5"/>
  <c r="J1" i="3"/>
  <c r="D1" i="4"/>
  <c r="D1" i="5"/>
  <c r="D1" i="3"/>
  <c r="Q1" i="3"/>
  <c r="H1" i="3"/>
  <c r="B7" i="3"/>
  <c r="C17" i="4"/>
  <c r="C13" i="4"/>
  <c r="C16" i="4"/>
  <c r="C3" i="5"/>
  <c r="C3" i="3"/>
  <c r="C12" i="4"/>
  <c r="C14" i="5"/>
  <c r="C12" i="3"/>
  <c r="C2" i="4"/>
  <c r="C2" i="5"/>
  <c r="C2" i="3"/>
  <c r="C11" i="4"/>
  <c r="C13" i="5"/>
  <c r="O1" i="4"/>
  <c r="O1" i="5"/>
  <c r="I1" i="4"/>
  <c r="I1" i="5"/>
  <c r="C1" i="4"/>
  <c r="C1" i="5"/>
  <c r="K2" i="1"/>
  <c r="D2" i="2" l="1"/>
  <c r="Q295" i="1"/>
  <c r="K295" i="1"/>
  <c r="J295" i="1"/>
  <c r="N295" i="1" s="1"/>
  <c r="G295" i="1"/>
  <c r="T295" i="1" s="1"/>
  <c r="Q294" i="1"/>
  <c r="K294" i="1"/>
  <c r="J294" i="1"/>
  <c r="N294" i="1" s="1"/>
  <c r="G294" i="1"/>
  <c r="T294" i="1" s="1"/>
  <c r="Q293" i="1"/>
  <c r="K293" i="1"/>
  <c r="J293" i="1"/>
  <c r="N293" i="1" s="1"/>
  <c r="G293" i="1"/>
  <c r="T293" i="1" s="1"/>
  <c r="Q292" i="1"/>
  <c r="K292" i="1"/>
  <c r="J292" i="1"/>
  <c r="N292" i="1" s="1"/>
  <c r="G292" i="1"/>
  <c r="T292" i="1" s="1"/>
  <c r="Q291" i="1"/>
  <c r="K291" i="1"/>
  <c r="J291" i="1"/>
  <c r="N291" i="1" s="1"/>
  <c r="G291" i="1"/>
  <c r="T291" i="1" s="1"/>
  <c r="Q290" i="1"/>
  <c r="K290" i="1"/>
  <c r="J290" i="1"/>
  <c r="N290" i="1" s="1"/>
  <c r="G290" i="1"/>
  <c r="T290" i="1" s="1"/>
  <c r="Q289" i="1"/>
  <c r="K289" i="1"/>
  <c r="J289" i="1"/>
  <c r="N289" i="1" s="1"/>
  <c r="G289" i="1"/>
  <c r="T289" i="1" s="1"/>
  <c r="Q288" i="1"/>
  <c r="K288" i="1"/>
  <c r="J288" i="1"/>
  <c r="N288" i="1" s="1"/>
  <c r="G288" i="1"/>
  <c r="T288" i="1" s="1"/>
  <c r="Q287" i="1"/>
  <c r="K287" i="1"/>
  <c r="J287" i="1"/>
  <c r="N287" i="1" s="1"/>
  <c r="G287" i="1"/>
  <c r="T287" i="1" s="1"/>
  <c r="Q286" i="1"/>
  <c r="K286" i="1"/>
  <c r="J286" i="1"/>
  <c r="N286" i="1" s="1"/>
  <c r="G286" i="1"/>
  <c r="T286" i="1" s="1"/>
  <c r="Q285" i="1"/>
  <c r="K285" i="1"/>
  <c r="J285" i="1"/>
  <c r="N285" i="1" s="1"/>
  <c r="G285" i="1"/>
  <c r="T285" i="1" s="1"/>
  <c r="Q284" i="1"/>
  <c r="K284" i="1"/>
  <c r="J284" i="1"/>
  <c r="N284" i="1" s="1"/>
  <c r="G284" i="1"/>
  <c r="T284" i="1" s="1"/>
  <c r="Q283" i="1"/>
  <c r="K283" i="1"/>
  <c r="J283" i="1"/>
  <c r="N283" i="1" s="1"/>
  <c r="G283" i="1"/>
  <c r="T283" i="1" s="1"/>
  <c r="Q282" i="1"/>
  <c r="K282" i="1"/>
  <c r="J282" i="1"/>
  <c r="N282" i="1" s="1"/>
  <c r="G282" i="1"/>
  <c r="T282" i="1" s="1"/>
  <c r="Q281" i="1"/>
  <c r="K281" i="1"/>
  <c r="J281" i="1"/>
  <c r="N281" i="1" s="1"/>
  <c r="G281" i="1"/>
  <c r="T281" i="1" s="1"/>
  <c r="Q280" i="1"/>
  <c r="K280" i="1"/>
  <c r="J280" i="1"/>
  <c r="N280" i="1" s="1"/>
  <c r="G280" i="1"/>
  <c r="T280" i="1" s="1"/>
  <c r="Q279" i="1"/>
  <c r="K279" i="1"/>
  <c r="J279" i="1"/>
  <c r="N279" i="1" s="1"/>
  <c r="G279" i="1"/>
  <c r="T279" i="1" s="1"/>
  <c r="Q278" i="1"/>
  <c r="K278" i="1"/>
  <c r="J278" i="1"/>
  <c r="N278" i="1" s="1"/>
  <c r="G278" i="1"/>
  <c r="T278" i="1" s="1"/>
  <c r="Q277" i="1"/>
  <c r="K277" i="1"/>
  <c r="J277" i="1"/>
  <c r="N277" i="1" s="1"/>
  <c r="G277" i="1"/>
  <c r="T277" i="1" s="1"/>
  <c r="Q276" i="1"/>
  <c r="K276" i="1"/>
  <c r="J276" i="1"/>
  <c r="N276" i="1" s="1"/>
  <c r="G276" i="1"/>
  <c r="T276" i="1" s="1"/>
  <c r="Q275" i="1"/>
  <c r="K275" i="1"/>
  <c r="J275" i="1"/>
  <c r="N275" i="1" s="1"/>
  <c r="G275" i="1"/>
  <c r="T275" i="1" s="1"/>
  <c r="Q274" i="1"/>
  <c r="K274" i="1"/>
  <c r="J274" i="1"/>
  <c r="N274" i="1" s="1"/>
  <c r="G274" i="1"/>
  <c r="T274" i="1" s="1"/>
  <c r="W274" i="1" s="1"/>
  <c r="Q273" i="1"/>
  <c r="K273" i="1"/>
  <c r="J273" i="1"/>
  <c r="N273" i="1" s="1"/>
  <c r="G273" i="1"/>
  <c r="T273" i="1" s="1"/>
  <c r="Q272" i="1"/>
  <c r="K272" i="1"/>
  <c r="J272" i="1"/>
  <c r="N272" i="1" s="1"/>
  <c r="G272" i="1"/>
  <c r="T272" i="1" s="1"/>
  <c r="Q271" i="1"/>
  <c r="K271" i="1"/>
  <c r="J271" i="1"/>
  <c r="N271" i="1" s="1"/>
  <c r="G271" i="1"/>
  <c r="T271" i="1" s="1"/>
  <c r="Q270" i="1"/>
  <c r="K270" i="1"/>
  <c r="J270" i="1"/>
  <c r="N270" i="1" s="1"/>
  <c r="G270" i="1"/>
  <c r="T270" i="1" s="1"/>
  <c r="Q269" i="1"/>
  <c r="K269" i="1"/>
  <c r="J269" i="1"/>
  <c r="N269" i="1" s="1"/>
  <c r="G269" i="1"/>
  <c r="T269" i="1" s="1"/>
  <c r="Q268" i="1"/>
  <c r="K268" i="1"/>
  <c r="J268" i="1"/>
  <c r="N268" i="1" s="1"/>
  <c r="G268" i="1"/>
  <c r="T268" i="1" s="1"/>
  <c r="Q267" i="1"/>
  <c r="K267" i="1"/>
  <c r="J267" i="1"/>
  <c r="N267" i="1" s="1"/>
  <c r="G267" i="1"/>
  <c r="T267" i="1" s="1"/>
  <c r="Q266" i="1"/>
  <c r="K266" i="1"/>
  <c r="J266" i="1"/>
  <c r="N266" i="1" s="1"/>
  <c r="G266" i="1"/>
  <c r="T266" i="1" s="1"/>
  <c r="Q265" i="1"/>
  <c r="K265" i="1"/>
  <c r="J265" i="1"/>
  <c r="N265" i="1" s="1"/>
  <c r="G265" i="1"/>
  <c r="T265" i="1" s="1"/>
  <c r="Q264" i="1"/>
  <c r="K264" i="1"/>
  <c r="J264" i="1"/>
  <c r="N264" i="1" s="1"/>
  <c r="G264" i="1"/>
  <c r="T264" i="1" s="1"/>
  <c r="Q263" i="1"/>
  <c r="K263" i="1"/>
  <c r="J263" i="1"/>
  <c r="N263" i="1" s="1"/>
  <c r="G263" i="1"/>
  <c r="T263" i="1" s="1"/>
  <c r="Q262" i="1"/>
  <c r="K262" i="1"/>
  <c r="J262" i="1"/>
  <c r="N262" i="1" s="1"/>
  <c r="G262" i="1"/>
  <c r="T262" i="1" s="1"/>
  <c r="Q261" i="1"/>
  <c r="K261" i="1"/>
  <c r="J261" i="1"/>
  <c r="N261" i="1" s="1"/>
  <c r="G261" i="1"/>
  <c r="T261" i="1" s="1"/>
  <c r="Q260" i="1"/>
  <c r="K260" i="1"/>
  <c r="J260" i="1"/>
  <c r="N260" i="1" s="1"/>
  <c r="G260" i="1"/>
  <c r="T260" i="1" s="1"/>
  <c r="Q259" i="1"/>
  <c r="K259" i="1"/>
  <c r="J259" i="1"/>
  <c r="N259" i="1" s="1"/>
  <c r="G259" i="1"/>
  <c r="T259" i="1" s="1"/>
  <c r="W259" i="1" s="1"/>
  <c r="Q258" i="1"/>
  <c r="K258" i="1"/>
  <c r="J258" i="1"/>
  <c r="N258" i="1" s="1"/>
  <c r="G258" i="1"/>
  <c r="T258" i="1" s="1"/>
  <c r="Q257" i="1"/>
  <c r="K257" i="1"/>
  <c r="J257" i="1"/>
  <c r="N257" i="1" s="1"/>
  <c r="G257" i="1"/>
  <c r="T257" i="1" s="1"/>
  <c r="Q256" i="1"/>
  <c r="K256" i="1"/>
  <c r="J256" i="1"/>
  <c r="N256" i="1" s="1"/>
  <c r="G256" i="1"/>
  <c r="T256" i="1" s="1"/>
  <c r="Q255" i="1"/>
  <c r="K255" i="1"/>
  <c r="J255" i="1"/>
  <c r="N255" i="1" s="1"/>
  <c r="G255" i="1"/>
  <c r="T255" i="1" s="1"/>
  <c r="Q254" i="1"/>
  <c r="K254" i="1"/>
  <c r="J254" i="1"/>
  <c r="N254" i="1" s="1"/>
  <c r="G254" i="1"/>
  <c r="T254" i="1" s="1"/>
  <c r="Q253" i="1"/>
  <c r="K253" i="1"/>
  <c r="J253" i="1"/>
  <c r="N253" i="1" s="1"/>
  <c r="G253" i="1"/>
  <c r="T253" i="1" s="1"/>
  <c r="Q252" i="1"/>
  <c r="K252" i="1"/>
  <c r="J252" i="1"/>
  <c r="N252" i="1" s="1"/>
  <c r="G252" i="1"/>
  <c r="T252" i="1" s="1"/>
  <c r="W252" i="1" s="1"/>
  <c r="Q251" i="1"/>
  <c r="K251" i="1"/>
  <c r="J251" i="1"/>
  <c r="N251" i="1" s="1"/>
  <c r="G251" i="1"/>
  <c r="T251" i="1" s="1"/>
  <c r="Q250" i="1"/>
  <c r="K250" i="1"/>
  <c r="J250" i="1"/>
  <c r="N250" i="1" s="1"/>
  <c r="G250" i="1"/>
  <c r="T250" i="1" s="1"/>
  <c r="Q249" i="1"/>
  <c r="K249" i="1"/>
  <c r="J249" i="1"/>
  <c r="N249" i="1" s="1"/>
  <c r="G249" i="1"/>
  <c r="T249" i="1" s="1"/>
  <c r="W249" i="1" s="1"/>
  <c r="Q248" i="1"/>
  <c r="K248" i="1"/>
  <c r="J248" i="1"/>
  <c r="N248" i="1" s="1"/>
  <c r="G248" i="1"/>
  <c r="T248" i="1" s="1"/>
  <c r="Q247" i="1"/>
  <c r="K247" i="1"/>
  <c r="J247" i="1"/>
  <c r="N247" i="1" s="1"/>
  <c r="G247" i="1"/>
  <c r="T247" i="1" s="1"/>
  <c r="Q246" i="1"/>
  <c r="K246" i="1"/>
  <c r="J246" i="1"/>
  <c r="N246" i="1" s="1"/>
  <c r="G246" i="1"/>
  <c r="T246" i="1" s="1"/>
  <c r="Q245" i="1"/>
  <c r="K245" i="1"/>
  <c r="J245" i="1"/>
  <c r="N245" i="1" s="1"/>
  <c r="G245" i="1"/>
  <c r="T245" i="1" s="1"/>
  <c r="Q244" i="1"/>
  <c r="K244" i="1"/>
  <c r="J244" i="1"/>
  <c r="N244" i="1" s="1"/>
  <c r="G244" i="1"/>
  <c r="T244" i="1" s="1"/>
  <c r="Q243" i="1"/>
  <c r="K243" i="1"/>
  <c r="J243" i="1"/>
  <c r="N243" i="1" s="1"/>
  <c r="G243" i="1"/>
  <c r="T243" i="1" s="1"/>
  <c r="Q242" i="1"/>
  <c r="K242" i="1"/>
  <c r="J242" i="1"/>
  <c r="N242" i="1" s="1"/>
  <c r="G242" i="1"/>
  <c r="T242" i="1" s="1"/>
  <c r="Q241" i="1"/>
  <c r="K241" i="1"/>
  <c r="J241" i="1"/>
  <c r="N241" i="1" s="1"/>
  <c r="G241" i="1"/>
  <c r="T241" i="1" s="1"/>
  <c r="Q240" i="1"/>
  <c r="K240" i="1"/>
  <c r="J240" i="1"/>
  <c r="N240" i="1" s="1"/>
  <c r="G240" i="1"/>
  <c r="T240" i="1" s="1"/>
  <c r="Q239" i="1"/>
  <c r="K239" i="1"/>
  <c r="J239" i="1"/>
  <c r="N239" i="1" s="1"/>
  <c r="G239" i="1"/>
  <c r="T239" i="1" s="1"/>
  <c r="Q238" i="1"/>
  <c r="K238" i="1"/>
  <c r="J238" i="1"/>
  <c r="N238" i="1" s="1"/>
  <c r="G238" i="1"/>
  <c r="T238" i="1" s="1"/>
  <c r="Q237" i="1"/>
  <c r="K237" i="1"/>
  <c r="J237" i="1"/>
  <c r="N237" i="1" s="1"/>
  <c r="G237" i="1"/>
  <c r="T237" i="1" s="1"/>
  <c r="Q236" i="1"/>
  <c r="K236" i="1"/>
  <c r="J236" i="1"/>
  <c r="N236" i="1" s="1"/>
  <c r="G236" i="1"/>
  <c r="T236" i="1" s="1"/>
  <c r="Q235" i="1"/>
  <c r="K235" i="1"/>
  <c r="J235" i="1"/>
  <c r="N235" i="1" s="1"/>
  <c r="G235" i="1"/>
  <c r="T235" i="1" s="1"/>
  <c r="Q234" i="1"/>
  <c r="K234" i="1"/>
  <c r="J234" i="1"/>
  <c r="N234" i="1" s="1"/>
  <c r="G234" i="1"/>
  <c r="T234" i="1" s="1"/>
  <c r="Q233" i="1"/>
  <c r="K233" i="1"/>
  <c r="J233" i="1"/>
  <c r="N233" i="1" s="1"/>
  <c r="G233" i="1"/>
  <c r="T233" i="1" s="1"/>
  <c r="Q232" i="1"/>
  <c r="K232" i="1"/>
  <c r="J232" i="1"/>
  <c r="N232" i="1" s="1"/>
  <c r="G232" i="1"/>
  <c r="T232" i="1" s="1"/>
  <c r="Q231" i="1"/>
  <c r="K231" i="1"/>
  <c r="J231" i="1"/>
  <c r="N231" i="1" s="1"/>
  <c r="G231" i="1"/>
  <c r="T231" i="1" s="1"/>
  <c r="Q230" i="1"/>
  <c r="K230" i="1"/>
  <c r="J230" i="1"/>
  <c r="N230" i="1" s="1"/>
  <c r="G230" i="1"/>
  <c r="T230" i="1" s="1"/>
  <c r="Q229" i="1"/>
  <c r="K229" i="1"/>
  <c r="J229" i="1"/>
  <c r="N229" i="1" s="1"/>
  <c r="G229" i="1"/>
  <c r="T229" i="1" s="1"/>
  <c r="Q228" i="1"/>
  <c r="K228" i="1"/>
  <c r="J228" i="1"/>
  <c r="N228" i="1" s="1"/>
  <c r="G228" i="1"/>
  <c r="T228" i="1" s="1"/>
  <c r="Q227" i="1"/>
  <c r="K227" i="1"/>
  <c r="J227" i="1"/>
  <c r="N227" i="1" s="1"/>
  <c r="G227" i="1"/>
  <c r="T227" i="1" s="1"/>
  <c r="Q226" i="1"/>
  <c r="K226" i="1"/>
  <c r="J226" i="1"/>
  <c r="N226" i="1" s="1"/>
  <c r="G226" i="1"/>
  <c r="T226" i="1" s="1"/>
  <c r="Q225" i="1"/>
  <c r="W225" i="1" s="1"/>
  <c r="K225" i="1"/>
  <c r="J225" i="1"/>
  <c r="N225" i="1" s="1"/>
  <c r="G225" i="1"/>
  <c r="T225" i="1" s="1"/>
  <c r="Q224" i="1"/>
  <c r="K224" i="1"/>
  <c r="J224" i="1"/>
  <c r="N224" i="1" s="1"/>
  <c r="G224" i="1"/>
  <c r="T224" i="1" s="1"/>
  <c r="Q223" i="1"/>
  <c r="K223" i="1"/>
  <c r="J223" i="1"/>
  <c r="N223" i="1" s="1"/>
  <c r="G223" i="1"/>
  <c r="T223" i="1" s="1"/>
  <c r="Q222" i="1"/>
  <c r="K222" i="1"/>
  <c r="J222" i="1"/>
  <c r="N222" i="1" s="1"/>
  <c r="G222" i="1"/>
  <c r="T222" i="1" s="1"/>
  <c r="Q221" i="1"/>
  <c r="K221" i="1"/>
  <c r="J221" i="1"/>
  <c r="N221" i="1" s="1"/>
  <c r="G221" i="1"/>
  <c r="T221" i="1" s="1"/>
  <c r="Q220" i="1"/>
  <c r="K220" i="1"/>
  <c r="J220" i="1"/>
  <c r="N220" i="1" s="1"/>
  <c r="G220" i="1"/>
  <c r="T220" i="1" s="1"/>
  <c r="Q219" i="1"/>
  <c r="K219" i="1"/>
  <c r="J219" i="1"/>
  <c r="N219" i="1" s="1"/>
  <c r="G219" i="1"/>
  <c r="T219" i="1" s="1"/>
  <c r="K218" i="1"/>
  <c r="J218" i="1"/>
  <c r="N218" i="1" s="1"/>
  <c r="I218" i="1"/>
  <c r="Q218" i="1" s="1"/>
  <c r="G218" i="1"/>
  <c r="T218" i="1" s="1"/>
  <c r="Q217" i="1"/>
  <c r="K217" i="1"/>
  <c r="J217" i="1"/>
  <c r="N217" i="1" s="1"/>
  <c r="G217" i="1"/>
  <c r="T217" i="1" s="1"/>
  <c r="K216" i="1"/>
  <c r="I216" i="1"/>
  <c r="G216" i="1"/>
  <c r="T216" i="1" s="1"/>
  <c r="K215" i="1"/>
  <c r="I215" i="1"/>
  <c r="G215" i="1"/>
  <c r="T215" i="1" s="1"/>
  <c r="Q214" i="1"/>
  <c r="K214" i="1"/>
  <c r="J214" i="1"/>
  <c r="N214" i="1" s="1"/>
  <c r="G214" i="1"/>
  <c r="T214" i="1" s="1"/>
  <c r="K213" i="1"/>
  <c r="I213" i="1"/>
  <c r="Q213" i="1" s="1"/>
  <c r="G213" i="1"/>
  <c r="T213" i="1" s="1"/>
  <c r="K212" i="1"/>
  <c r="I212" i="1"/>
  <c r="Q212" i="1" s="1"/>
  <c r="G212" i="1"/>
  <c r="T212" i="1" s="1"/>
  <c r="Q211" i="1"/>
  <c r="K211" i="1"/>
  <c r="J211" i="1"/>
  <c r="N211" i="1" s="1"/>
  <c r="G211" i="1"/>
  <c r="T211" i="1" s="1"/>
  <c r="Q210" i="1"/>
  <c r="K210" i="1"/>
  <c r="J210" i="1"/>
  <c r="N210" i="1" s="1"/>
  <c r="G210" i="1"/>
  <c r="T210" i="1" s="1"/>
  <c r="Q209" i="1"/>
  <c r="K209" i="1"/>
  <c r="J209" i="1"/>
  <c r="N209" i="1" s="1"/>
  <c r="G209" i="1"/>
  <c r="T209" i="1" s="1"/>
  <c r="Q208" i="1"/>
  <c r="K208" i="1"/>
  <c r="J208" i="1"/>
  <c r="N208" i="1" s="1"/>
  <c r="G208" i="1"/>
  <c r="T208" i="1" s="1"/>
  <c r="Q207" i="1"/>
  <c r="K207" i="1"/>
  <c r="J207" i="1"/>
  <c r="N207" i="1" s="1"/>
  <c r="G207" i="1"/>
  <c r="T207" i="1" s="1"/>
  <c r="Q206" i="1"/>
  <c r="K206" i="1"/>
  <c r="J206" i="1"/>
  <c r="N206" i="1" s="1"/>
  <c r="G206" i="1"/>
  <c r="T206" i="1" s="1"/>
  <c r="Q205" i="1"/>
  <c r="K205" i="1"/>
  <c r="J205" i="1"/>
  <c r="N205" i="1" s="1"/>
  <c r="G205" i="1"/>
  <c r="T205" i="1" s="1"/>
  <c r="Q204" i="1"/>
  <c r="K204" i="1"/>
  <c r="J204" i="1"/>
  <c r="N204" i="1" s="1"/>
  <c r="G204" i="1"/>
  <c r="T204" i="1" s="1"/>
  <c r="Q203" i="1"/>
  <c r="K203" i="1"/>
  <c r="J203" i="1"/>
  <c r="N203" i="1" s="1"/>
  <c r="G203" i="1"/>
  <c r="T203" i="1" s="1"/>
  <c r="Q202" i="1"/>
  <c r="K202" i="1"/>
  <c r="J202" i="1"/>
  <c r="N202" i="1" s="1"/>
  <c r="G202" i="1"/>
  <c r="T202" i="1" s="1"/>
  <c r="W202" i="1" s="1"/>
  <c r="Q201" i="1"/>
  <c r="K201" i="1"/>
  <c r="J201" i="1"/>
  <c r="N201" i="1" s="1"/>
  <c r="G201" i="1"/>
  <c r="T201" i="1" s="1"/>
  <c r="W201" i="1" s="1"/>
  <c r="Q200" i="1"/>
  <c r="K200" i="1"/>
  <c r="J200" i="1"/>
  <c r="N200" i="1" s="1"/>
  <c r="G200" i="1"/>
  <c r="T200" i="1" s="1"/>
  <c r="Q199" i="1"/>
  <c r="K199" i="1"/>
  <c r="J199" i="1"/>
  <c r="N199" i="1" s="1"/>
  <c r="G199" i="1"/>
  <c r="T199" i="1" s="1"/>
  <c r="Q198" i="1"/>
  <c r="K198" i="1"/>
  <c r="J198" i="1"/>
  <c r="N198" i="1" s="1"/>
  <c r="G198" i="1"/>
  <c r="T198" i="1" s="1"/>
  <c r="Q197" i="1"/>
  <c r="K197" i="1"/>
  <c r="J197" i="1"/>
  <c r="N197" i="1" s="1"/>
  <c r="G197" i="1"/>
  <c r="T197" i="1" s="1"/>
  <c r="Q196" i="1"/>
  <c r="K196" i="1"/>
  <c r="J196" i="1"/>
  <c r="N196" i="1" s="1"/>
  <c r="G196" i="1"/>
  <c r="T196" i="1" s="1"/>
  <c r="Q195" i="1"/>
  <c r="K195" i="1"/>
  <c r="J195" i="1"/>
  <c r="N195" i="1" s="1"/>
  <c r="G195" i="1"/>
  <c r="T195" i="1" s="1"/>
  <c r="Q194" i="1"/>
  <c r="K194" i="1"/>
  <c r="J194" i="1"/>
  <c r="N194" i="1" s="1"/>
  <c r="G194" i="1"/>
  <c r="T194" i="1" s="1"/>
  <c r="Q193" i="1"/>
  <c r="K193" i="1"/>
  <c r="J193" i="1"/>
  <c r="N193" i="1" s="1"/>
  <c r="G193" i="1"/>
  <c r="T193" i="1" s="1"/>
  <c r="Q192" i="1"/>
  <c r="K192" i="1"/>
  <c r="J192" i="1"/>
  <c r="N192" i="1" s="1"/>
  <c r="G192" i="1"/>
  <c r="T192" i="1" s="1"/>
  <c r="Q191" i="1"/>
  <c r="K191" i="1"/>
  <c r="J191" i="1"/>
  <c r="N191" i="1" s="1"/>
  <c r="G191" i="1"/>
  <c r="T191" i="1" s="1"/>
  <c r="Q190" i="1"/>
  <c r="K190" i="1"/>
  <c r="J190" i="1"/>
  <c r="N190" i="1" s="1"/>
  <c r="G190" i="1"/>
  <c r="T190" i="1" s="1"/>
  <c r="Q189" i="1"/>
  <c r="K189" i="1"/>
  <c r="J189" i="1"/>
  <c r="N189" i="1" s="1"/>
  <c r="G189" i="1"/>
  <c r="T189" i="1" s="1"/>
  <c r="W189" i="1" s="1"/>
  <c r="Q188" i="1"/>
  <c r="K188" i="1"/>
  <c r="J188" i="1"/>
  <c r="N188" i="1" s="1"/>
  <c r="G188" i="1"/>
  <c r="T188" i="1" s="1"/>
  <c r="Q187" i="1"/>
  <c r="K187" i="1"/>
  <c r="J187" i="1"/>
  <c r="N187" i="1" s="1"/>
  <c r="G187" i="1"/>
  <c r="T187" i="1" s="1"/>
  <c r="Q186" i="1"/>
  <c r="K186" i="1"/>
  <c r="J186" i="1"/>
  <c r="N186" i="1" s="1"/>
  <c r="G186" i="1"/>
  <c r="T186" i="1" s="1"/>
  <c r="Q185" i="1"/>
  <c r="K185" i="1"/>
  <c r="J185" i="1"/>
  <c r="N185" i="1" s="1"/>
  <c r="G185" i="1"/>
  <c r="T185" i="1" s="1"/>
  <c r="Q184" i="1"/>
  <c r="K184" i="1"/>
  <c r="J184" i="1"/>
  <c r="N184" i="1" s="1"/>
  <c r="G184" i="1"/>
  <c r="T184" i="1" s="1"/>
  <c r="Q183" i="1"/>
  <c r="K183" i="1"/>
  <c r="J183" i="1"/>
  <c r="N183" i="1" s="1"/>
  <c r="G183" i="1"/>
  <c r="T183" i="1" s="1"/>
  <c r="W183" i="1" s="1"/>
  <c r="Q182" i="1"/>
  <c r="K182" i="1"/>
  <c r="J182" i="1"/>
  <c r="N182" i="1" s="1"/>
  <c r="G182" i="1"/>
  <c r="T182" i="1" s="1"/>
  <c r="Q181" i="1"/>
  <c r="K181" i="1"/>
  <c r="J181" i="1"/>
  <c r="N181" i="1" s="1"/>
  <c r="G181" i="1"/>
  <c r="T181" i="1" s="1"/>
  <c r="Q180" i="1"/>
  <c r="K180" i="1"/>
  <c r="J180" i="1"/>
  <c r="N180" i="1" s="1"/>
  <c r="G180" i="1"/>
  <c r="T180" i="1" s="1"/>
  <c r="Q179" i="1"/>
  <c r="K179" i="1"/>
  <c r="J179" i="1"/>
  <c r="N179" i="1" s="1"/>
  <c r="G179" i="1"/>
  <c r="T179" i="1" s="1"/>
  <c r="Q178" i="1"/>
  <c r="K178" i="1"/>
  <c r="J178" i="1"/>
  <c r="N178" i="1" s="1"/>
  <c r="G178" i="1"/>
  <c r="T178" i="1" s="1"/>
  <c r="Q177" i="1"/>
  <c r="K177" i="1"/>
  <c r="J177" i="1"/>
  <c r="N177" i="1" s="1"/>
  <c r="G177" i="1"/>
  <c r="T177" i="1" s="1"/>
  <c r="Q176" i="1"/>
  <c r="K176" i="1"/>
  <c r="J176" i="1"/>
  <c r="N176" i="1" s="1"/>
  <c r="G176" i="1"/>
  <c r="T176" i="1" s="1"/>
  <c r="Q175" i="1"/>
  <c r="K175" i="1"/>
  <c r="J175" i="1"/>
  <c r="N175" i="1" s="1"/>
  <c r="G175" i="1"/>
  <c r="T175" i="1" s="1"/>
  <c r="Q174" i="1"/>
  <c r="K174" i="1"/>
  <c r="J174" i="1"/>
  <c r="N174" i="1" s="1"/>
  <c r="G174" i="1"/>
  <c r="T174" i="1" s="1"/>
  <c r="Q173" i="1"/>
  <c r="K173" i="1"/>
  <c r="J173" i="1"/>
  <c r="N173" i="1" s="1"/>
  <c r="G173" i="1"/>
  <c r="T173" i="1" s="1"/>
  <c r="Q172" i="1"/>
  <c r="K172" i="1"/>
  <c r="J172" i="1"/>
  <c r="N172" i="1" s="1"/>
  <c r="G172" i="1"/>
  <c r="T172" i="1" s="1"/>
  <c r="Q171" i="1"/>
  <c r="K171" i="1"/>
  <c r="J171" i="1"/>
  <c r="N171" i="1" s="1"/>
  <c r="G171" i="1"/>
  <c r="T171" i="1" s="1"/>
  <c r="Q170" i="1"/>
  <c r="K170" i="1"/>
  <c r="J170" i="1"/>
  <c r="N170" i="1" s="1"/>
  <c r="G170" i="1"/>
  <c r="T170" i="1" s="1"/>
  <c r="Q169" i="1"/>
  <c r="W169" i="1" s="1"/>
  <c r="K169" i="1"/>
  <c r="J169" i="1"/>
  <c r="N169" i="1" s="1"/>
  <c r="G169" i="1"/>
  <c r="T169" i="1" s="1"/>
  <c r="Q168" i="1"/>
  <c r="K168" i="1"/>
  <c r="J168" i="1"/>
  <c r="N168" i="1" s="1"/>
  <c r="G168" i="1"/>
  <c r="T168" i="1" s="1"/>
  <c r="Q167" i="1"/>
  <c r="K167" i="1"/>
  <c r="J167" i="1"/>
  <c r="N167" i="1" s="1"/>
  <c r="G167" i="1"/>
  <c r="T167" i="1" s="1"/>
  <c r="Q166" i="1"/>
  <c r="K166" i="1"/>
  <c r="J166" i="1"/>
  <c r="N166" i="1" s="1"/>
  <c r="G166" i="1"/>
  <c r="T166" i="1" s="1"/>
  <c r="Q165" i="1"/>
  <c r="K165" i="1"/>
  <c r="J165" i="1"/>
  <c r="N165" i="1" s="1"/>
  <c r="G165" i="1"/>
  <c r="T165" i="1" s="1"/>
  <c r="Q164" i="1"/>
  <c r="K164" i="1"/>
  <c r="J164" i="1"/>
  <c r="N164" i="1" s="1"/>
  <c r="G164" i="1"/>
  <c r="T164" i="1" s="1"/>
  <c r="Q163" i="1"/>
  <c r="K163" i="1"/>
  <c r="J163" i="1"/>
  <c r="N163" i="1" s="1"/>
  <c r="G163" i="1"/>
  <c r="T163" i="1" s="1"/>
  <c r="Q162" i="1"/>
  <c r="K162" i="1"/>
  <c r="J162" i="1"/>
  <c r="N162" i="1" s="1"/>
  <c r="G162" i="1"/>
  <c r="T162" i="1" s="1"/>
  <c r="W162" i="1" s="1"/>
  <c r="Q161" i="1"/>
  <c r="K161" i="1"/>
  <c r="J161" i="1"/>
  <c r="N161" i="1" s="1"/>
  <c r="G161" i="1"/>
  <c r="T161" i="1" s="1"/>
  <c r="Q160" i="1"/>
  <c r="K160" i="1"/>
  <c r="J160" i="1"/>
  <c r="N160" i="1" s="1"/>
  <c r="G160" i="1"/>
  <c r="T160" i="1" s="1"/>
  <c r="Q159" i="1"/>
  <c r="K159" i="1"/>
  <c r="J159" i="1"/>
  <c r="N159" i="1" s="1"/>
  <c r="G159" i="1"/>
  <c r="T159" i="1" s="1"/>
  <c r="W159" i="1" s="1"/>
  <c r="Q158" i="1"/>
  <c r="K158" i="1"/>
  <c r="J158" i="1"/>
  <c r="N158" i="1" s="1"/>
  <c r="G158" i="1"/>
  <c r="T158" i="1" s="1"/>
  <c r="Q157" i="1"/>
  <c r="K157" i="1"/>
  <c r="J157" i="1"/>
  <c r="N157" i="1" s="1"/>
  <c r="G157" i="1"/>
  <c r="T157" i="1" s="1"/>
  <c r="Q156" i="1"/>
  <c r="K156" i="1"/>
  <c r="J156" i="1"/>
  <c r="N156" i="1" s="1"/>
  <c r="G156" i="1"/>
  <c r="T156" i="1" s="1"/>
  <c r="Q155" i="1"/>
  <c r="K155" i="1"/>
  <c r="J155" i="1"/>
  <c r="N155" i="1" s="1"/>
  <c r="G155" i="1"/>
  <c r="T155" i="1" s="1"/>
  <c r="W155" i="1" s="1"/>
  <c r="Q154" i="1"/>
  <c r="K154" i="1"/>
  <c r="J154" i="1"/>
  <c r="N154" i="1" s="1"/>
  <c r="G154" i="1"/>
  <c r="T154" i="1" s="1"/>
  <c r="Q153" i="1"/>
  <c r="K153" i="1"/>
  <c r="J153" i="1"/>
  <c r="N153" i="1" s="1"/>
  <c r="G153" i="1"/>
  <c r="T153" i="1" s="1"/>
  <c r="Q152" i="1"/>
  <c r="K152" i="1"/>
  <c r="J152" i="1"/>
  <c r="N152" i="1" s="1"/>
  <c r="G152" i="1"/>
  <c r="T152" i="1" s="1"/>
  <c r="Q151" i="1"/>
  <c r="K151" i="1"/>
  <c r="J151" i="1"/>
  <c r="N151" i="1" s="1"/>
  <c r="G151" i="1"/>
  <c r="T151" i="1" s="1"/>
  <c r="Q150" i="1"/>
  <c r="K150" i="1"/>
  <c r="J150" i="1"/>
  <c r="N150" i="1" s="1"/>
  <c r="G150" i="1"/>
  <c r="T150" i="1" s="1"/>
  <c r="Q149" i="1"/>
  <c r="K149" i="1"/>
  <c r="J149" i="1"/>
  <c r="N149" i="1" s="1"/>
  <c r="G149" i="1"/>
  <c r="T149" i="1" s="1"/>
  <c r="Q148" i="1"/>
  <c r="K148" i="1"/>
  <c r="J148" i="1"/>
  <c r="N148" i="1" s="1"/>
  <c r="G148" i="1"/>
  <c r="T148" i="1" s="1"/>
  <c r="Q147" i="1"/>
  <c r="K147" i="1"/>
  <c r="J147" i="1"/>
  <c r="N147" i="1" s="1"/>
  <c r="G147" i="1"/>
  <c r="T147" i="1" s="1"/>
  <c r="Q146" i="1"/>
  <c r="K146" i="1"/>
  <c r="J146" i="1"/>
  <c r="N146" i="1" s="1"/>
  <c r="G146" i="1"/>
  <c r="T146" i="1" s="1"/>
  <c r="Q145" i="1"/>
  <c r="K145" i="1"/>
  <c r="J145" i="1"/>
  <c r="N145" i="1" s="1"/>
  <c r="G145" i="1"/>
  <c r="T145" i="1" s="1"/>
  <c r="Q144" i="1"/>
  <c r="K144" i="1"/>
  <c r="J144" i="1"/>
  <c r="N144" i="1" s="1"/>
  <c r="G144" i="1"/>
  <c r="T144" i="1" s="1"/>
  <c r="Q143" i="1"/>
  <c r="K143" i="1"/>
  <c r="J143" i="1"/>
  <c r="N143" i="1" s="1"/>
  <c r="G143" i="1"/>
  <c r="T143" i="1" s="1"/>
  <c r="Q142" i="1"/>
  <c r="K142" i="1"/>
  <c r="J142" i="1"/>
  <c r="N142" i="1" s="1"/>
  <c r="G142" i="1"/>
  <c r="T142" i="1" s="1"/>
  <c r="K141" i="1"/>
  <c r="I141" i="1"/>
  <c r="G141" i="1"/>
  <c r="T141" i="1" s="1"/>
  <c r="Q140" i="1"/>
  <c r="K140" i="1"/>
  <c r="J140" i="1"/>
  <c r="N140" i="1" s="1"/>
  <c r="G140" i="1"/>
  <c r="T140" i="1" s="1"/>
  <c r="Q139" i="1"/>
  <c r="K139" i="1"/>
  <c r="J139" i="1"/>
  <c r="N139" i="1" s="1"/>
  <c r="G139" i="1"/>
  <c r="T139" i="1" s="1"/>
  <c r="Q138" i="1"/>
  <c r="K138" i="1"/>
  <c r="J138" i="1"/>
  <c r="N138" i="1" s="1"/>
  <c r="G138" i="1"/>
  <c r="T138" i="1" s="1"/>
  <c r="K137" i="1"/>
  <c r="I137" i="1"/>
  <c r="Q137" i="1" s="1"/>
  <c r="G137" i="1"/>
  <c r="T137" i="1" s="1"/>
  <c r="Q136" i="1"/>
  <c r="K136" i="1"/>
  <c r="J136" i="1"/>
  <c r="N136" i="1" s="1"/>
  <c r="G136" i="1"/>
  <c r="T136" i="1" s="1"/>
  <c r="Q135" i="1"/>
  <c r="K135" i="1"/>
  <c r="J135" i="1"/>
  <c r="N135" i="1" s="1"/>
  <c r="G135" i="1"/>
  <c r="T135" i="1" s="1"/>
  <c r="Q134" i="1"/>
  <c r="K134" i="1"/>
  <c r="J134" i="1"/>
  <c r="N134" i="1" s="1"/>
  <c r="G134" i="1"/>
  <c r="T134" i="1" s="1"/>
  <c r="W134" i="1" s="1"/>
  <c r="Q133" i="1"/>
  <c r="K133" i="1"/>
  <c r="J133" i="1"/>
  <c r="N133" i="1" s="1"/>
  <c r="G133" i="1"/>
  <c r="T133" i="1" s="1"/>
  <c r="Q132" i="1"/>
  <c r="K132" i="1"/>
  <c r="J132" i="1"/>
  <c r="N132" i="1" s="1"/>
  <c r="G132" i="1"/>
  <c r="T132" i="1" s="1"/>
  <c r="Q131" i="1"/>
  <c r="K131" i="1"/>
  <c r="J131" i="1"/>
  <c r="N131" i="1" s="1"/>
  <c r="G131" i="1"/>
  <c r="T131" i="1" s="1"/>
  <c r="Q130" i="1"/>
  <c r="K130" i="1"/>
  <c r="J130" i="1"/>
  <c r="N130" i="1" s="1"/>
  <c r="G130" i="1"/>
  <c r="T130" i="1" s="1"/>
  <c r="Q129" i="1"/>
  <c r="K129" i="1"/>
  <c r="J129" i="1"/>
  <c r="N129" i="1" s="1"/>
  <c r="G129" i="1"/>
  <c r="T129" i="1" s="1"/>
  <c r="Q128" i="1"/>
  <c r="K128" i="1"/>
  <c r="J128" i="1"/>
  <c r="N128" i="1" s="1"/>
  <c r="G128" i="1"/>
  <c r="T128" i="1" s="1"/>
  <c r="Q127" i="1"/>
  <c r="K127" i="1"/>
  <c r="J127" i="1"/>
  <c r="N127" i="1" s="1"/>
  <c r="G127" i="1"/>
  <c r="T127" i="1" s="1"/>
  <c r="Q126" i="1"/>
  <c r="K126" i="1"/>
  <c r="J126" i="1"/>
  <c r="N126" i="1" s="1"/>
  <c r="G126" i="1"/>
  <c r="T126" i="1" s="1"/>
  <c r="Q125" i="1"/>
  <c r="K125" i="1"/>
  <c r="J125" i="1"/>
  <c r="N125" i="1" s="1"/>
  <c r="G125" i="1"/>
  <c r="T125" i="1" s="1"/>
  <c r="Q124" i="1"/>
  <c r="K124" i="1"/>
  <c r="J124" i="1"/>
  <c r="N124" i="1" s="1"/>
  <c r="G124" i="1"/>
  <c r="T124" i="1" s="1"/>
  <c r="Q123" i="1"/>
  <c r="K123" i="1"/>
  <c r="J123" i="1"/>
  <c r="N123" i="1" s="1"/>
  <c r="G123" i="1"/>
  <c r="T123" i="1" s="1"/>
  <c r="Q122" i="1"/>
  <c r="K122" i="1"/>
  <c r="J122" i="1"/>
  <c r="N122" i="1" s="1"/>
  <c r="G122" i="1"/>
  <c r="T122" i="1" s="1"/>
  <c r="Q121" i="1"/>
  <c r="K121" i="1"/>
  <c r="J121" i="1"/>
  <c r="N121" i="1" s="1"/>
  <c r="G121" i="1"/>
  <c r="T121" i="1" s="1"/>
  <c r="Q120" i="1"/>
  <c r="K120" i="1"/>
  <c r="J120" i="1"/>
  <c r="N120" i="1" s="1"/>
  <c r="G120" i="1"/>
  <c r="T120" i="1" s="1"/>
  <c r="Q119" i="1"/>
  <c r="K119" i="1"/>
  <c r="J119" i="1"/>
  <c r="N119" i="1" s="1"/>
  <c r="G119" i="1"/>
  <c r="T119" i="1" s="1"/>
  <c r="Q118" i="1"/>
  <c r="K118" i="1"/>
  <c r="J118" i="1"/>
  <c r="N118" i="1" s="1"/>
  <c r="G118" i="1"/>
  <c r="T118" i="1" s="1"/>
  <c r="Q117" i="1"/>
  <c r="K117" i="1"/>
  <c r="J117" i="1"/>
  <c r="N117" i="1" s="1"/>
  <c r="G117" i="1"/>
  <c r="T117" i="1" s="1"/>
  <c r="Q116" i="1"/>
  <c r="K116" i="1"/>
  <c r="J116" i="1"/>
  <c r="N116" i="1" s="1"/>
  <c r="G116" i="1"/>
  <c r="T116" i="1" s="1"/>
  <c r="Q115" i="1"/>
  <c r="K115" i="1"/>
  <c r="J115" i="1"/>
  <c r="N115" i="1" s="1"/>
  <c r="G115" i="1"/>
  <c r="T115" i="1" s="1"/>
  <c r="W115" i="1" s="1"/>
  <c r="Q114" i="1"/>
  <c r="K114" i="1"/>
  <c r="J114" i="1"/>
  <c r="N114" i="1" s="1"/>
  <c r="G114" i="1"/>
  <c r="T114" i="1" s="1"/>
  <c r="Q113" i="1"/>
  <c r="K113" i="1"/>
  <c r="J113" i="1"/>
  <c r="N113" i="1" s="1"/>
  <c r="G113" i="1"/>
  <c r="T113" i="1" s="1"/>
  <c r="Q112" i="1"/>
  <c r="K112" i="1"/>
  <c r="J112" i="1"/>
  <c r="N112" i="1" s="1"/>
  <c r="G112" i="1"/>
  <c r="T112" i="1" s="1"/>
  <c r="Q111" i="1"/>
  <c r="K111" i="1"/>
  <c r="J111" i="1"/>
  <c r="N111" i="1" s="1"/>
  <c r="G111" i="1"/>
  <c r="T111" i="1" s="1"/>
  <c r="Q110" i="1"/>
  <c r="K110" i="1"/>
  <c r="J110" i="1"/>
  <c r="N110" i="1" s="1"/>
  <c r="G110" i="1"/>
  <c r="T110" i="1" s="1"/>
  <c r="Q109" i="1"/>
  <c r="K109" i="1"/>
  <c r="J109" i="1"/>
  <c r="N109" i="1" s="1"/>
  <c r="G109" i="1"/>
  <c r="T109" i="1" s="1"/>
  <c r="Q108" i="1"/>
  <c r="K108" i="1"/>
  <c r="J108" i="1"/>
  <c r="N108" i="1" s="1"/>
  <c r="G108" i="1"/>
  <c r="T108" i="1" s="1"/>
  <c r="Q107" i="1"/>
  <c r="K107" i="1"/>
  <c r="J107" i="1"/>
  <c r="N107" i="1" s="1"/>
  <c r="G107" i="1"/>
  <c r="T107" i="1" s="1"/>
  <c r="Q106" i="1"/>
  <c r="K106" i="1"/>
  <c r="J106" i="1"/>
  <c r="N106" i="1" s="1"/>
  <c r="G106" i="1"/>
  <c r="T106" i="1" s="1"/>
  <c r="W106" i="1" s="1"/>
  <c r="Q105" i="1"/>
  <c r="K105" i="1"/>
  <c r="J105" i="1"/>
  <c r="N105" i="1" s="1"/>
  <c r="G105" i="1"/>
  <c r="T105" i="1" s="1"/>
  <c r="Q104" i="1"/>
  <c r="K104" i="1"/>
  <c r="J104" i="1"/>
  <c r="N104" i="1" s="1"/>
  <c r="G104" i="1"/>
  <c r="T104" i="1" s="1"/>
  <c r="Q103" i="1"/>
  <c r="K103" i="1"/>
  <c r="J103" i="1"/>
  <c r="N103" i="1" s="1"/>
  <c r="G103" i="1"/>
  <c r="T103" i="1" s="1"/>
  <c r="W103" i="1" s="1"/>
  <c r="Q102" i="1"/>
  <c r="K102" i="1"/>
  <c r="J102" i="1"/>
  <c r="N102" i="1" s="1"/>
  <c r="G102" i="1"/>
  <c r="T102" i="1" s="1"/>
  <c r="Q101" i="1"/>
  <c r="K101" i="1"/>
  <c r="J101" i="1"/>
  <c r="N101" i="1" s="1"/>
  <c r="G101" i="1"/>
  <c r="T101" i="1" s="1"/>
  <c r="Q100" i="1"/>
  <c r="K100" i="1"/>
  <c r="J100" i="1"/>
  <c r="N100" i="1" s="1"/>
  <c r="G100" i="1"/>
  <c r="T100" i="1" s="1"/>
  <c r="Q99" i="1"/>
  <c r="K99" i="1"/>
  <c r="J99" i="1"/>
  <c r="N99" i="1" s="1"/>
  <c r="G99" i="1"/>
  <c r="T99" i="1" s="1"/>
  <c r="Q98" i="1"/>
  <c r="K98" i="1"/>
  <c r="J98" i="1"/>
  <c r="N98" i="1" s="1"/>
  <c r="G98" i="1"/>
  <c r="T98" i="1" s="1"/>
  <c r="Q97" i="1"/>
  <c r="K97" i="1"/>
  <c r="J97" i="1"/>
  <c r="N97" i="1" s="1"/>
  <c r="G97" i="1"/>
  <c r="T97" i="1" s="1"/>
  <c r="Q96" i="1"/>
  <c r="K96" i="1"/>
  <c r="J96" i="1"/>
  <c r="N96" i="1" s="1"/>
  <c r="G96" i="1"/>
  <c r="T96" i="1" s="1"/>
  <c r="W96" i="1" s="1"/>
  <c r="Q95" i="1"/>
  <c r="K95" i="1"/>
  <c r="J95" i="1"/>
  <c r="N95" i="1" s="1"/>
  <c r="G95" i="1"/>
  <c r="T95" i="1" s="1"/>
  <c r="Q94" i="1"/>
  <c r="K94" i="1"/>
  <c r="J94" i="1"/>
  <c r="N94" i="1" s="1"/>
  <c r="G94" i="1"/>
  <c r="T94" i="1" s="1"/>
  <c r="Q93" i="1"/>
  <c r="K93" i="1"/>
  <c r="J93" i="1"/>
  <c r="N93" i="1" s="1"/>
  <c r="G93" i="1"/>
  <c r="T93" i="1" s="1"/>
  <c r="Q92" i="1"/>
  <c r="K92" i="1"/>
  <c r="J92" i="1"/>
  <c r="N92" i="1" s="1"/>
  <c r="G92" i="1"/>
  <c r="T92" i="1" s="1"/>
  <c r="Q91" i="1"/>
  <c r="K91" i="1"/>
  <c r="J91" i="1"/>
  <c r="N91" i="1" s="1"/>
  <c r="G91" i="1"/>
  <c r="T91" i="1" s="1"/>
  <c r="Q90" i="1"/>
  <c r="K90" i="1"/>
  <c r="J90" i="1"/>
  <c r="N90" i="1" s="1"/>
  <c r="G90" i="1"/>
  <c r="T90" i="1" s="1"/>
  <c r="Q89" i="1"/>
  <c r="K89" i="1"/>
  <c r="J89" i="1"/>
  <c r="N89" i="1" s="1"/>
  <c r="G89" i="1"/>
  <c r="T89" i="1" s="1"/>
  <c r="Q88" i="1"/>
  <c r="K88" i="1"/>
  <c r="J88" i="1"/>
  <c r="N88" i="1" s="1"/>
  <c r="G88" i="1"/>
  <c r="T88" i="1" s="1"/>
  <c r="Q87" i="1"/>
  <c r="K87" i="1"/>
  <c r="J87" i="1"/>
  <c r="N87" i="1" s="1"/>
  <c r="G87" i="1"/>
  <c r="T87" i="1" s="1"/>
  <c r="Q86" i="1"/>
  <c r="K86" i="1"/>
  <c r="J86" i="1"/>
  <c r="N86" i="1" s="1"/>
  <c r="G86" i="1"/>
  <c r="T86" i="1" s="1"/>
  <c r="Q85" i="1"/>
  <c r="K85" i="1"/>
  <c r="J85" i="1"/>
  <c r="N85" i="1" s="1"/>
  <c r="G85" i="1"/>
  <c r="T85" i="1" s="1"/>
  <c r="Q84" i="1"/>
  <c r="K84" i="1"/>
  <c r="J84" i="1"/>
  <c r="N84" i="1" s="1"/>
  <c r="G84" i="1"/>
  <c r="T84" i="1" s="1"/>
  <c r="Q83" i="1"/>
  <c r="K83" i="1"/>
  <c r="J83" i="1"/>
  <c r="N83" i="1" s="1"/>
  <c r="G83" i="1"/>
  <c r="T83" i="1" s="1"/>
  <c r="Q82" i="1"/>
  <c r="K82" i="1"/>
  <c r="J82" i="1"/>
  <c r="N82" i="1" s="1"/>
  <c r="G82" i="1"/>
  <c r="T82" i="1" s="1"/>
  <c r="Q81" i="1"/>
  <c r="K81" i="1"/>
  <c r="J81" i="1"/>
  <c r="N81" i="1" s="1"/>
  <c r="G81" i="1"/>
  <c r="T81" i="1" s="1"/>
  <c r="Q80" i="1"/>
  <c r="K80" i="1"/>
  <c r="J80" i="1"/>
  <c r="N80" i="1" s="1"/>
  <c r="G80" i="1"/>
  <c r="T80" i="1" s="1"/>
  <c r="Q79" i="1"/>
  <c r="K79" i="1"/>
  <c r="J79" i="1"/>
  <c r="N79" i="1" s="1"/>
  <c r="G79" i="1"/>
  <c r="T79" i="1" s="1"/>
  <c r="Q78" i="1"/>
  <c r="K78" i="1"/>
  <c r="J78" i="1"/>
  <c r="N78" i="1" s="1"/>
  <c r="G78" i="1"/>
  <c r="T78" i="1" s="1"/>
  <c r="Q77" i="1"/>
  <c r="K77" i="1"/>
  <c r="J77" i="1"/>
  <c r="N77" i="1" s="1"/>
  <c r="G77" i="1"/>
  <c r="T77" i="1" s="1"/>
  <c r="Q76" i="1"/>
  <c r="K76" i="1"/>
  <c r="J76" i="1"/>
  <c r="N76" i="1" s="1"/>
  <c r="G76" i="1"/>
  <c r="T76" i="1" s="1"/>
  <c r="Q75" i="1"/>
  <c r="K75" i="1"/>
  <c r="J75" i="1"/>
  <c r="N75" i="1" s="1"/>
  <c r="G75" i="1"/>
  <c r="T75" i="1" s="1"/>
  <c r="Q74" i="1"/>
  <c r="K74" i="1"/>
  <c r="J74" i="1"/>
  <c r="N74" i="1" s="1"/>
  <c r="G74" i="1"/>
  <c r="T74" i="1" s="1"/>
  <c r="Q73" i="1"/>
  <c r="K73" i="1"/>
  <c r="J73" i="1"/>
  <c r="N73" i="1" s="1"/>
  <c r="G73" i="1"/>
  <c r="T73" i="1" s="1"/>
  <c r="Q72" i="1"/>
  <c r="K72" i="1"/>
  <c r="J72" i="1"/>
  <c r="N72" i="1" s="1"/>
  <c r="G72" i="1"/>
  <c r="T72" i="1" s="1"/>
  <c r="Q71" i="1"/>
  <c r="K71" i="1"/>
  <c r="J71" i="1"/>
  <c r="N71" i="1" s="1"/>
  <c r="G71" i="1"/>
  <c r="T71" i="1" s="1"/>
  <c r="Q70" i="1"/>
  <c r="K70" i="1"/>
  <c r="J70" i="1"/>
  <c r="N70" i="1" s="1"/>
  <c r="G70" i="1"/>
  <c r="T70" i="1" s="1"/>
  <c r="Q69" i="1"/>
  <c r="K69" i="1"/>
  <c r="J69" i="1"/>
  <c r="N69" i="1" s="1"/>
  <c r="G69" i="1"/>
  <c r="T69" i="1" s="1"/>
  <c r="Q68" i="1"/>
  <c r="K68" i="1"/>
  <c r="J68" i="1"/>
  <c r="N68" i="1" s="1"/>
  <c r="G68" i="1"/>
  <c r="T68" i="1" s="1"/>
  <c r="Q67" i="1"/>
  <c r="K67" i="1"/>
  <c r="J67" i="1"/>
  <c r="N67" i="1" s="1"/>
  <c r="G67" i="1"/>
  <c r="T67" i="1" s="1"/>
  <c r="Q66" i="1"/>
  <c r="K66" i="1"/>
  <c r="J66" i="1"/>
  <c r="N66" i="1" s="1"/>
  <c r="G66" i="1"/>
  <c r="T66" i="1" s="1"/>
  <c r="Q65" i="1"/>
  <c r="K65" i="1"/>
  <c r="J65" i="1"/>
  <c r="N65" i="1" s="1"/>
  <c r="G65" i="1"/>
  <c r="T65" i="1" s="1"/>
  <c r="Q64" i="1"/>
  <c r="K64" i="1"/>
  <c r="J64" i="1"/>
  <c r="N64" i="1" s="1"/>
  <c r="G64" i="1"/>
  <c r="T64" i="1" s="1"/>
  <c r="Q63" i="1"/>
  <c r="K63" i="1"/>
  <c r="J63" i="1"/>
  <c r="N63" i="1" s="1"/>
  <c r="G63" i="1"/>
  <c r="T63" i="1" s="1"/>
  <c r="Q62" i="1"/>
  <c r="K62" i="1"/>
  <c r="J62" i="1"/>
  <c r="N62" i="1" s="1"/>
  <c r="G62" i="1"/>
  <c r="T62" i="1" s="1"/>
  <c r="Q61" i="1"/>
  <c r="K61" i="1"/>
  <c r="J61" i="1"/>
  <c r="N61" i="1" s="1"/>
  <c r="G61" i="1"/>
  <c r="T61" i="1" s="1"/>
  <c r="Q60" i="1"/>
  <c r="K60" i="1"/>
  <c r="J60" i="1"/>
  <c r="N60" i="1" s="1"/>
  <c r="G60" i="1"/>
  <c r="T60" i="1" s="1"/>
  <c r="Q59" i="1"/>
  <c r="K59" i="1"/>
  <c r="J59" i="1"/>
  <c r="N59" i="1" s="1"/>
  <c r="G59" i="1"/>
  <c r="T59" i="1" s="1"/>
  <c r="Q58" i="1"/>
  <c r="K58" i="1"/>
  <c r="J58" i="1"/>
  <c r="N58" i="1" s="1"/>
  <c r="G58" i="1"/>
  <c r="T58" i="1" s="1"/>
  <c r="Q57" i="1"/>
  <c r="K57" i="1"/>
  <c r="J57" i="1"/>
  <c r="N57" i="1" s="1"/>
  <c r="G57" i="1"/>
  <c r="T57" i="1" s="1"/>
  <c r="K56" i="1"/>
  <c r="I56" i="1"/>
  <c r="Q56" i="1" s="1"/>
  <c r="G56" i="1"/>
  <c r="T56" i="1" s="1"/>
  <c r="Q55" i="1"/>
  <c r="K55" i="1"/>
  <c r="J55" i="1"/>
  <c r="N55" i="1" s="1"/>
  <c r="G55" i="1"/>
  <c r="T55" i="1" s="1"/>
  <c r="Q54" i="1"/>
  <c r="K54" i="1"/>
  <c r="J54" i="1"/>
  <c r="N54" i="1" s="1"/>
  <c r="G54" i="1"/>
  <c r="T54" i="1" s="1"/>
  <c r="K53" i="1"/>
  <c r="I53" i="1"/>
  <c r="J53" i="1" s="1"/>
  <c r="N53" i="1" s="1"/>
  <c r="G53" i="1"/>
  <c r="T53" i="1" s="1"/>
  <c r="Q52" i="1"/>
  <c r="K52" i="1"/>
  <c r="J52" i="1"/>
  <c r="N52" i="1" s="1"/>
  <c r="G52" i="1"/>
  <c r="T52" i="1" s="1"/>
  <c r="K51" i="1"/>
  <c r="I51" i="1"/>
  <c r="Q51" i="1" s="1"/>
  <c r="G51" i="1"/>
  <c r="T51" i="1" s="1"/>
  <c r="Q50" i="1"/>
  <c r="K50" i="1"/>
  <c r="J50" i="1"/>
  <c r="N50" i="1" s="1"/>
  <c r="G50" i="1"/>
  <c r="T50" i="1" s="1"/>
  <c r="Q49" i="1"/>
  <c r="K49" i="1"/>
  <c r="J49" i="1"/>
  <c r="N49" i="1" s="1"/>
  <c r="G49" i="1"/>
  <c r="T49" i="1" s="1"/>
  <c r="Q48" i="1"/>
  <c r="K48" i="1"/>
  <c r="J48" i="1"/>
  <c r="N48" i="1" s="1"/>
  <c r="G48" i="1"/>
  <c r="T48" i="1" s="1"/>
  <c r="Q47" i="1"/>
  <c r="K47" i="1"/>
  <c r="J47" i="1"/>
  <c r="N47" i="1" s="1"/>
  <c r="G47" i="1"/>
  <c r="T47" i="1" s="1"/>
  <c r="Q46" i="1"/>
  <c r="K46" i="1"/>
  <c r="J46" i="1"/>
  <c r="N46" i="1" s="1"/>
  <c r="G46" i="1"/>
  <c r="T46" i="1" s="1"/>
  <c r="Q45" i="1"/>
  <c r="K45" i="1"/>
  <c r="J45" i="1"/>
  <c r="N45" i="1" s="1"/>
  <c r="G45" i="1"/>
  <c r="T45" i="1" s="1"/>
  <c r="Q44" i="1"/>
  <c r="K44" i="1"/>
  <c r="J44" i="1"/>
  <c r="N44" i="1" s="1"/>
  <c r="G44" i="1"/>
  <c r="T44" i="1" s="1"/>
  <c r="Q43" i="1"/>
  <c r="K43" i="1"/>
  <c r="J43" i="1"/>
  <c r="N43" i="1" s="1"/>
  <c r="G43" i="1"/>
  <c r="T43" i="1" s="1"/>
  <c r="Q42" i="1"/>
  <c r="K42" i="1"/>
  <c r="J42" i="1"/>
  <c r="N42" i="1" s="1"/>
  <c r="G42" i="1"/>
  <c r="T42" i="1" s="1"/>
  <c r="Q41" i="1"/>
  <c r="K41" i="1"/>
  <c r="J41" i="1"/>
  <c r="N41" i="1" s="1"/>
  <c r="G41" i="1"/>
  <c r="T41" i="1" s="1"/>
  <c r="Q40" i="1"/>
  <c r="K40" i="1"/>
  <c r="J40" i="1"/>
  <c r="N40" i="1" s="1"/>
  <c r="G40" i="1"/>
  <c r="T40" i="1" s="1"/>
  <c r="Q39" i="1"/>
  <c r="K39" i="1"/>
  <c r="J39" i="1"/>
  <c r="N39" i="1" s="1"/>
  <c r="G39" i="1"/>
  <c r="T39" i="1" s="1"/>
  <c r="Q38" i="1"/>
  <c r="K38" i="1"/>
  <c r="J38" i="1"/>
  <c r="N38" i="1" s="1"/>
  <c r="G38" i="1"/>
  <c r="T38" i="1" s="1"/>
  <c r="Q37" i="1"/>
  <c r="K37" i="1"/>
  <c r="J37" i="1"/>
  <c r="N37" i="1" s="1"/>
  <c r="G37" i="1"/>
  <c r="T37" i="1" s="1"/>
  <c r="Q36" i="1"/>
  <c r="K36" i="1"/>
  <c r="J36" i="1"/>
  <c r="N36" i="1" s="1"/>
  <c r="G36" i="1"/>
  <c r="T36" i="1" s="1"/>
  <c r="Q35" i="1"/>
  <c r="K35" i="1"/>
  <c r="J35" i="1"/>
  <c r="N35" i="1" s="1"/>
  <c r="G35" i="1"/>
  <c r="T35" i="1" s="1"/>
  <c r="Q34" i="1"/>
  <c r="K34" i="1"/>
  <c r="J34" i="1"/>
  <c r="N34" i="1" s="1"/>
  <c r="G34" i="1"/>
  <c r="T34" i="1" s="1"/>
  <c r="Q33" i="1"/>
  <c r="K33" i="1"/>
  <c r="J33" i="1"/>
  <c r="N33" i="1" s="1"/>
  <c r="G33" i="1"/>
  <c r="T33" i="1" s="1"/>
  <c r="Q32" i="1"/>
  <c r="N32" i="1"/>
  <c r="K32" i="1"/>
  <c r="J32" i="1"/>
  <c r="G32" i="1"/>
  <c r="T32" i="1" s="1"/>
  <c r="Q31" i="1"/>
  <c r="K31" i="1"/>
  <c r="J31" i="1"/>
  <c r="N31" i="1" s="1"/>
  <c r="G31" i="1"/>
  <c r="T31" i="1" s="1"/>
  <c r="Q30" i="1"/>
  <c r="K30" i="1"/>
  <c r="J30" i="1"/>
  <c r="N30" i="1" s="1"/>
  <c r="G30" i="1"/>
  <c r="T30" i="1" s="1"/>
  <c r="Q29" i="1"/>
  <c r="K29" i="1"/>
  <c r="J29" i="1"/>
  <c r="N29" i="1" s="1"/>
  <c r="G29" i="1"/>
  <c r="T29" i="1" s="1"/>
  <c r="Q28" i="1"/>
  <c r="K28" i="1"/>
  <c r="J28" i="1"/>
  <c r="N28" i="1" s="1"/>
  <c r="G28" i="1"/>
  <c r="T28" i="1" s="1"/>
  <c r="Q27" i="1"/>
  <c r="K27" i="1"/>
  <c r="J27" i="1"/>
  <c r="N27" i="1" s="1"/>
  <c r="G27" i="1"/>
  <c r="T27" i="1" s="1"/>
  <c r="Q26" i="1"/>
  <c r="K26" i="1"/>
  <c r="J26" i="1"/>
  <c r="N26" i="1" s="1"/>
  <c r="G26" i="1"/>
  <c r="T26" i="1" s="1"/>
  <c r="Q25" i="1"/>
  <c r="K25" i="1"/>
  <c r="J25" i="1"/>
  <c r="N25" i="1" s="1"/>
  <c r="G25" i="1"/>
  <c r="T25" i="1" s="1"/>
  <c r="Q24" i="1"/>
  <c r="K24" i="1"/>
  <c r="J24" i="1"/>
  <c r="N24" i="1" s="1"/>
  <c r="G24" i="1"/>
  <c r="T24" i="1" s="1"/>
  <c r="Q23" i="1"/>
  <c r="K23" i="1"/>
  <c r="J23" i="1"/>
  <c r="N23" i="1" s="1"/>
  <c r="G23" i="1"/>
  <c r="T23" i="1" s="1"/>
  <c r="Q22" i="1"/>
  <c r="K22" i="1"/>
  <c r="J22" i="1"/>
  <c r="N22" i="1" s="1"/>
  <c r="G22" i="1"/>
  <c r="T22" i="1" s="1"/>
  <c r="Q21" i="1"/>
  <c r="K21" i="1"/>
  <c r="J21" i="1"/>
  <c r="N21" i="1" s="1"/>
  <c r="G21" i="1"/>
  <c r="T21" i="1" s="1"/>
  <c r="Q20" i="1"/>
  <c r="K20" i="1"/>
  <c r="J20" i="1"/>
  <c r="N20" i="1" s="1"/>
  <c r="G20" i="1"/>
  <c r="T20" i="1" s="1"/>
  <c r="Q19" i="1"/>
  <c r="K19" i="1"/>
  <c r="J19" i="1"/>
  <c r="N19" i="1" s="1"/>
  <c r="G19" i="1"/>
  <c r="T19" i="1" s="1"/>
  <c r="Q18" i="1"/>
  <c r="K18" i="1"/>
  <c r="J18" i="1"/>
  <c r="N18" i="1" s="1"/>
  <c r="G18" i="1"/>
  <c r="T18" i="1" s="1"/>
  <c r="Q17" i="1"/>
  <c r="K17" i="1"/>
  <c r="J17" i="1"/>
  <c r="N17" i="1" s="1"/>
  <c r="G17" i="1"/>
  <c r="T17" i="1" s="1"/>
  <c r="Q16" i="1"/>
  <c r="K16" i="1"/>
  <c r="J16" i="1"/>
  <c r="N16" i="1" s="1"/>
  <c r="G16" i="1"/>
  <c r="T16" i="1" s="1"/>
  <c r="Q15" i="1"/>
  <c r="K15" i="1"/>
  <c r="J15" i="1"/>
  <c r="N15" i="1" s="1"/>
  <c r="G15" i="1"/>
  <c r="T15" i="1" s="1"/>
  <c r="W15" i="1" s="1"/>
  <c r="Q14" i="1"/>
  <c r="K14" i="1"/>
  <c r="J14" i="1"/>
  <c r="N14" i="1" s="1"/>
  <c r="G14" i="1"/>
  <c r="T14" i="1" s="1"/>
  <c r="Q13" i="1"/>
  <c r="K13" i="1"/>
  <c r="J13" i="1"/>
  <c r="N13" i="1" s="1"/>
  <c r="G13" i="1"/>
  <c r="T13" i="1" s="1"/>
  <c r="Q12" i="1"/>
  <c r="K12" i="1"/>
  <c r="J12" i="1"/>
  <c r="N12" i="1" s="1"/>
  <c r="G12" i="1"/>
  <c r="T12" i="1" s="1"/>
  <c r="Q11" i="1"/>
  <c r="K11" i="1"/>
  <c r="J11" i="1"/>
  <c r="N11" i="1" s="1"/>
  <c r="G11" i="1"/>
  <c r="T11" i="1" s="1"/>
  <c r="Q10" i="1"/>
  <c r="K10" i="1"/>
  <c r="J10" i="1"/>
  <c r="N10" i="1" s="1"/>
  <c r="G10" i="1"/>
  <c r="T10" i="1" s="1"/>
  <c r="Q9" i="1"/>
  <c r="K9" i="1"/>
  <c r="J9" i="1"/>
  <c r="N9" i="1" s="1"/>
  <c r="G9" i="1"/>
  <c r="T9" i="1" s="1"/>
  <c r="Q8" i="1"/>
  <c r="K8" i="1"/>
  <c r="J8" i="1"/>
  <c r="N8" i="1" s="1"/>
  <c r="G8" i="1"/>
  <c r="T8" i="1" s="1"/>
  <c r="Q7" i="1"/>
  <c r="K7" i="1"/>
  <c r="J7" i="1"/>
  <c r="N7" i="1" s="1"/>
  <c r="G7" i="1"/>
  <c r="T7" i="1" s="1"/>
  <c r="Q6" i="1"/>
  <c r="K6" i="1"/>
  <c r="J6" i="1"/>
  <c r="N6" i="1" s="1"/>
  <c r="G6" i="1"/>
  <c r="T6" i="1" s="1"/>
  <c r="Q5" i="1"/>
  <c r="K5" i="1"/>
  <c r="J5" i="1"/>
  <c r="N5" i="1" s="1"/>
  <c r="G5" i="1"/>
  <c r="T5" i="1" s="1"/>
  <c r="Q4" i="1"/>
  <c r="K4" i="1"/>
  <c r="J4" i="1"/>
  <c r="N4" i="1" s="1"/>
  <c r="G4" i="1"/>
  <c r="T4" i="1" s="1"/>
  <c r="Q3" i="1"/>
  <c r="K3" i="1"/>
  <c r="J3" i="1"/>
  <c r="N3" i="1" s="1"/>
  <c r="G3" i="1"/>
  <c r="T3" i="1" s="1"/>
  <c r="Q2" i="1"/>
  <c r="J2" i="1"/>
  <c r="N2" i="1" s="1"/>
  <c r="G2" i="1"/>
  <c r="T2" i="1" s="1"/>
  <c r="W236" i="1" l="1"/>
  <c r="W247" i="1"/>
  <c r="W26" i="1"/>
  <c r="W27" i="1"/>
  <c r="W35" i="1"/>
  <c r="W271" i="1"/>
  <c r="W91" i="1"/>
  <c r="W94" i="1"/>
  <c r="W152" i="1"/>
  <c r="W286" i="1"/>
  <c r="W7" i="1"/>
  <c r="W19" i="1"/>
  <c r="W24" i="1"/>
  <c r="W47" i="1"/>
  <c r="W62" i="1"/>
  <c r="W69" i="1"/>
  <c r="W110" i="1"/>
  <c r="W138" i="1"/>
  <c r="W173" i="1"/>
  <c r="W200" i="1"/>
  <c r="W203" i="1"/>
  <c r="W227" i="1"/>
  <c r="W126" i="1"/>
  <c r="W208" i="1"/>
  <c r="L142" i="1"/>
  <c r="E22" i="2" s="1"/>
  <c r="E15" i="4" s="1"/>
  <c r="W283" i="1"/>
  <c r="W294" i="1"/>
  <c r="W136" i="1"/>
  <c r="W190" i="1"/>
  <c r="W248" i="1"/>
  <c r="M2" i="1"/>
  <c r="F2" i="2" s="1"/>
  <c r="F11" i="3" s="1"/>
  <c r="W22" i="1"/>
  <c r="W61" i="1"/>
  <c r="W229" i="1"/>
  <c r="W235" i="1"/>
  <c r="W288" i="1"/>
  <c r="W291" i="1"/>
  <c r="G8" i="2"/>
  <c r="P44" i="1"/>
  <c r="I8" i="2" s="1"/>
  <c r="M25" i="2"/>
  <c r="M9" i="4" s="1"/>
  <c r="V163" i="1"/>
  <c r="O25" i="2" s="1"/>
  <c r="O9" i="4" s="1"/>
  <c r="V191" i="1"/>
  <c r="O29" i="2" s="1"/>
  <c r="O4" i="5" s="1"/>
  <c r="M29" i="2"/>
  <c r="M4" i="5" s="1"/>
  <c r="V226" i="1"/>
  <c r="O34" i="2" s="1"/>
  <c r="O18" i="5" s="1"/>
  <c r="M34" i="2"/>
  <c r="M18" i="5" s="1"/>
  <c r="P149" i="1"/>
  <c r="I23" i="2" s="1"/>
  <c r="I6" i="4" s="1"/>
  <c r="G23" i="2"/>
  <c r="G6" i="4" s="1"/>
  <c r="P100" i="1"/>
  <c r="I16" i="2" s="1"/>
  <c r="I18" i="3" s="1"/>
  <c r="G16" i="2"/>
  <c r="G18" i="3" s="1"/>
  <c r="M20" i="2"/>
  <c r="M14" i="4" s="1"/>
  <c r="V128" i="1"/>
  <c r="O20" i="2" s="1"/>
  <c r="O14" i="4" s="1"/>
  <c r="M42" i="2"/>
  <c r="M23" i="5" s="1"/>
  <c r="V282" i="1"/>
  <c r="O42" i="2" s="1"/>
  <c r="O23" i="5" s="1"/>
  <c r="M19" i="2"/>
  <c r="M10" i="3" s="1"/>
  <c r="V121" i="1"/>
  <c r="O19" i="2" s="1"/>
  <c r="O10" i="3" s="1"/>
  <c r="P2" i="1"/>
  <c r="I2" i="2" s="1"/>
  <c r="G2" i="2"/>
  <c r="F13" i="5"/>
  <c r="F11" i="4"/>
  <c r="W142" i="1"/>
  <c r="M22" i="2"/>
  <c r="M15" i="4" s="1"/>
  <c r="V142" i="1"/>
  <c r="O22" i="2" s="1"/>
  <c r="O15" i="4" s="1"/>
  <c r="G40" i="2"/>
  <c r="G22" i="5" s="1"/>
  <c r="P268" i="1"/>
  <c r="I40" i="2" s="1"/>
  <c r="I22" i="5" s="1"/>
  <c r="M5" i="2"/>
  <c r="V23" i="1"/>
  <c r="O5" i="2" s="1"/>
  <c r="J10" i="2"/>
  <c r="J14" i="3" s="1"/>
  <c r="S58" i="1"/>
  <c r="L10" i="2" s="1"/>
  <c r="L14" i="3" s="1"/>
  <c r="P86" i="1"/>
  <c r="I14" i="2" s="1"/>
  <c r="G14" i="2"/>
  <c r="M27" i="2"/>
  <c r="M10" i="4" s="1"/>
  <c r="V177" i="1"/>
  <c r="O27" i="2" s="1"/>
  <c r="O10" i="4" s="1"/>
  <c r="V212" i="1"/>
  <c r="O32" i="2" s="1"/>
  <c r="O17" i="5" s="1"/>
  <c r="M32" i="2"/>
  <c r="M17" i="5" s="1"/>
  <c r="J38" i="2"/>
  <c r="J21" i="5" s="1"/>
  <c r="S254" i="1"/>
  <c r="L38" i="2" s="1"/>
  <c r="L21" i="5" s="1"/>
  <c r="J4" i="2"/>
  <c r="S16" i="1"/>
  <c r="L4" i="2" s="1"/>
  <c r="P23" i="1"/>
  <c r="I5" i="2" s="1"/>
  <c r="G5" i="2"/>
  <c r="D6" i="2"/>
  <c r="M30" i="1"/>
  <c r="F6" i="2" s="1"/>
  <c r="J9" i="2"/>
  <c r="V79" i="1"/>
  <c r="O13" i="2" s="1"/>
  <c r="O6" i="3" s="1"/>
  <c r="M13" i="2"/>
  <c r="M6" i="3" s="1"/>
  <c r="G15" i="2"/>
  <c r="P93" i="1"/>
  <c r="I15" i="2" s="1"/>
  <c r="P107" i="1"/>
  <c r="I17" i="2" s="1"/>
  <c r="I9" i="3" s="1"/>
  <c r="G17" i="2"/>
  <c r="G9" i="3" s="1"/>
  <c r="G20" i="2"/>
  <c r="G14" i="4" s="1"/>
  <c r="P128" i="1"/>
  <c r="I20" i="2" s="1"/>
  <c r="I14" i="4" s="1"/>
  <c r="M21" i="2"/>
  <c r="M5" i="4" s="1"/>
  <c r="V135" i="1"/>
  <c r="O21" i="2" s="1"/>
  <c r="O5" i="4" s="1"/>
  <c r="V149" i="1"/>
  <c r="O23" i="2" s="1"/>
  <c r="O6" i="4" s="1"/>
  <c r="M23" i="2"/>
  <c r="M6" i="4" s="1"/>
  <c r="P177" i="1"/>
  <c r="I27" i="2" s="1"/>
  <c r="I10" i="4" s="1"/>
  <c r="G27" i="2"/>
  <c r="G10" i="4" s="1"/>
  <c r="D31" i="2"/>
  <c r="D5" i="5" s="1"/>
  <c r="M205" i="1"/>
  <c r="F31" i="2" s="1"/>
  <c r="F5" i="5" s="1"/>
  <c r="J32" i="2"/>
  <c r="J17" i="5" s="1"/>
  <c r="V254" i="1"/>
  <c r="O38" i="2" s="1"/>
  <c r="O21" i="5" s="1"/>
  <c r="M38" i="2"/>
  <c r="M21" i="5" s="1"/>
  <c r="D3" i="2"/>
  <c r="M9" i="1"/>
  <c r="F3" i="2" s="1"/>
  <c r="P16" i="1"/>
  <c r="I4" i="2" s="1"/>
  <c r="G4" i="2"/>
  <c r="W50" i="1"/>
  <c r="D10" i="2"/>
  <c r="D14" i="3" s="1"/>
  <c r="M58" i="1"/>
  <c r="F10" i="2" s="1"/>
  <c r="F14" i="3" s="1"/>
  <c r="J11" i="2"/>
  <c r="J5" i="3" s="1"/>
  <c r="S65" i="1"/>
  <c r="L11" i="2" s="1"/>
  <c r="L5" i="3" s="1"/>
  <c r="W68" i="1"/>
  <c r="J12" i="2"/>
  <c r="J15" i="3" s="1"/>
  <c r="S72" i="1"/>
  <c r="L12" i="2" s="1"/>
  <c r="L15" i="3" s="1"/>
  <c r="V86" i="1"/>
  <c r="O14" i="2" s="1"/>
  <c r="M14" i="2"/>
  <c r="J18" i="2"/>
  <c r="J19" i="3" s="1"/>
  <c r="S114" i="1"/>
  <c r="L18" i="2" s="1"/>
  <c r="L19" i="3" s="1"/>
  <c r="R142" i="1"/>
  <c r="K22" i="2" s="1"/>
  <c r="K15" i="4" s="1"/>
  <c r="J23" i="2"/>
  <c r="J6" i="4" s="1"/>
  <c r="S149" i="1"/>
  <c r="L23" i="2" s="1"/>
  <c r="L6" i="4" s="1"/>
  <c r="M31" i="2"/>
  <c r="M5" i="5" s="1"/>
  <c r="V205" i="1"/>
  <c r="O31" i="2" s="1"/>
  <c r="O5" i="5" s="1"/>
  <c r="W231" i="1"/>
  <c r="J35" i="2"/>
  <c r="J7" i="5" s="1"/>
  <c r="S233" i="1"/>
  <c r="L35" i="2" s="1"/>
  <c r="L7" i="5" s="1"/>
  <c r="J37" i="2"/>
  <c r="J9" i="5" s="1"/>
  <c r="S247" i="1"/>
  <c r="L37" i="2" s="1"/>
  <c r="L9" i="5" s="1"/>
  <c r="D38" i="2"/>
  <c r="D21" i="5" s="1"/>
  <c r="M254" i="1"/>
  <c r="F38" i="2" s="1"/>
  <c r="F21" i="5" s="1"/>
  <c r="W265" i="1"/>
  <c r="W284" i="1"/>
  <c r="J43" i="2"/>
  <c r="J12" i="5" s="1"/>
  <c r="S289" i="1"/>
  <c r="L43" i="2" s="1"/>
  <c r="L12" i="5" s="1"/>
  <c r="D4" i="2"/>
  <c r="M16" i="1"/>
  <c r="F4" i="2" s="1"/>
  <c r="G6" i="2"/>
  <c r="P30" i="1"/>
  <c r="I6" i="2" s="1"/>
  <c r="M8" i="2"/>
  <c r="V44" i="1"/>
  <c r="O8" i="2" s="1"/>
  <c r="V100" i="1"/>
  <c r="O16" i="2" s="1"/>
  <c r="O18" i="3" s="1"/>
  <c r="M16" i="2"/>
  <c r="M18" i="3" s="1"/>
  <c r="M17" i="2"/>
  <c r="M9" i="3" s="1"/>
  <c r="V107" i="1"/>
  <c r="O17" i="2" s="1"/>
  <c r="O9" i="3" s="1"/>
  <c r="P37" i="2"/>
  <c r="P9" i="5" s="1"/>
  <c r="V261" i="1"/>
  <c r="O39" i="2" s="1"/>
  <c r="O10" i="5" s="1"/>
  <c r="M39" i="2"/>
  <c r="M10" i="5" s="1"/>
  <c r="W12" i="1"/>
  <c r="V219" i="1"/>
  <c r="O33" i="2" s="1"/>
  <c r="O6" i="5" s="1"/>
  <c r="M33" i="2"/>
  <c r="M6" i="5" s="1"/>
  <c r="V275" i="1"/>
  <c r="O41" i="2" s="1"/>
  <c r="O11" i="5" s="1"/>
  <c r="M41" i="2"/>
  <c r="M11" i="5" s="1"/>
  <c r="W280" i="1"/>
  <c r="L23" i="1"/>
  <c r="E5" i="2" s="1"/>
  <c r="D5" i="2"/>
  <c r="M23" i="1"/>
  <c r="F5" i="2" s="1"/>
  <c r="J6" i="2"/>
  <c r="S30" i="1"/>
  <c r="L6" i="2" s="1"/>
  <c r="P37" i="1"/>
  <c r="I7" i="2" s="1"/>
  <c r="G7" i="2"/>
  <c r="D8" i="2"/>
  <c r="M44" i="1"/>
  <c r="F8" i="2" s="1"/>
  <c r="L51" i="1"/>
  <c r="E9" i="2" s="1"/>
  <c r="D9" i="2"/>
  <c r="M51" i="1"/>
  <c r="F9" i="2" s="1"/>
  <c r="W57" i="1"/>
  <c r="W60" i="1"/>
  <c r="V65" i="1"/>
  <c r="O11" i="2" s="1"/>
  <c r="O5" i="3" s="1"/>
  <c r="M11" i="2"/>
  <c r="M5" i="3" s="1"/>
  <c r="M12" i="2"/>
  <c r="M15" i="3" s="1"/>
  <c r="V72" i="1"/>
  <c r="O12" i="2" s="1"/>
  <c r="O15" i="3" s="1"/>
  <c r="G13" i="2"/>
  <c r="G6" i="3" s="1"/>
  <c r="P79" i="1"/>
  <c r="I13" i="2" s="1"/>
  <c r="I6" i="3" s="1"/>
  <c r="W83" i="1"/>
  <c r="J14" i="2"/>
  <c r="S86" i="1"/>
  <c r="L14" i="2" s="1"/>
  <c r="D15" i="2"/>
  <c r="M93" i="1"/>
  <c r="F15" i="2" s="1"/>
  <c r="D16" i="2"/>
  <c r="D18" i="3" s="1"/>
  <c r="M100" i="1"/>
  <c r="F16" i="2" s="1"/>
  <c r="F18" i="3" s="1"/>
  <c r="D17" i="2"/>
  <c r="D9" i="3" s="1"/>
  <c r="M107" i="1"/>
  <c r="F17" i="2" s="1"/>
  <c r="F9" i="3" s="1"/>
  <c r="M18" i="2"/>
  <c r="M19" i="3" s="1"/>
  <c r="V114" i="1"/>
  <c r="O18" i="2" s="1"/>
  <c r="O19" i="3" s="1"/>
  <c r="P121" i="1"/>
  <c r="I19" i="2" s="1"/>
  <c r="I10" i="3" s="1"/>
  <c r="G19" i="2"/>
  <c r="G10" i="3" s="1"/>
  <c r="U121" i="1"/>
  <c r="N19" i="2" s="1"/>
  <c r="N10" i="3" s="1"/>
  <c r="D20" i="2"/>
  <c r="D14" i="4" s="1"/>
  <c r="M128" i="1"/>
  <c r="F20" i="2" s="1"/>
  <c r="F14" i="4" s="1"/>
  <c r="G21" i="2"/>
  <c r="G5" i="4" s="1"/>
  <c r="D22" i="2"/>
  <c r="D15" i="4" s="1"/>
  <c r="M142" i="1"/>
  <c r="F22" i="2" s="1"/>
  <c r="F15" i="4" s="1"/>
  <c r="G24" i="2"/>
  <c r="G18" i="4" s="1"/>
  <c r="P156" i="1"/>
  <c r="I24" i="2" s="1"/>
  <c r="I18" i="4" s="1"/>
  <c r="G25" i="2"/>
  <c r="G9" i="4" s="1"/>
  <c r="P163" i="1"/>
  <c r="I25" i="2" s="1"/>
  <c r="I9" i="4" s="1"/>
  <c r="P170" i="1"/>
  <c r="I26" i="2" s="1"/>
  <c r="I19" i="4" s="1"/>
  <c r="G26" i="2"/>
  <c r="G19" i="4" s="1"/>
  <c r="D27" i="2"/>
  <c r="D10" i="4" s="1"/>
  <c r="M177" i="1"/>
  <c r="F27" i="2" s="1"/>
  <c r="F10" i="4" s="1"/>
  <c r="D28" i="2"/>
  <c r="D15" i="5" s="1"/>
  <c r="M184" i="1"/>
  <c r="F28" i="2" s="1"/>
  <c r="F15" i="5" s="1"/>
  <c r="D29" i="2"/>
  <c r="D4" i="5" s="1"/>
  <c r="M191" i="1"/>
  <c r="F29" i="2" s="1"/>
  <c r="F4" i="5" s="1"/>
  <c r="D30" i="2"/>
  <c r="D16" i="5" s="1"/>
  <c r="M198" i="1"/>
  <c r="F30" i="2" s="1"/>
  <c r="F16" i="5" s="1"/>
  <c r="J31" i="2"/>
  <c r="J5" i="5" s="1"/>
  <c r="S205" i="1"/>
  <c r="L31" i="2" s="1"/>
  <c r="L5" i="5" s="1"/>
  <c r="D32" i="2"/>
  <c r="D17" i="5" s="1"/>
  <c r="M212" i="1"/>
  <c r="F32" i="2" s="1"/>
  <c r="F17" i="5" s="1"/>
  <c r="G33" i="2"/>
  <c r="G6" i="5" s="1"/>
  <c r="P219" i="1"/>
  <c r="I33" i="2" s="1"/>
  <c r="I6" i="5" s="1"/>
  <c r="P226" i="1"/>
  <c r="I34" i="2" s="1"/>
  <c r="I18" i="5" s="1"/>
  <c r="G34" i="2"/>
  <c r="G18" i="5" s="1"/>
  <c r="M35" i="2"/>
  <c r="M7" i="5" s="1"/>
  <c r="V233" i="1"/>
  <c r="O35" i="2" s="1"/>
  <c r="O7" i="5" s="1"/>
  <c r="G36" i="2"/>
  <c r="G20" i="5" s="1"/>
  <c r="P240" i="1"/>
  <c r="I36" i="2" s="1"/>
  <c r="I20" i="5" s="1"/>
  <c r="W243" i="1"/>
  <c r="V247" i="1"/>
  <c r="O37" i="2" s="1"/>
  <c r="O9" i="5" s="1"/>
  <c r="M37" i="2"/>
  <c r="M9" i="5" s="1"/>
  <c r="D39" i="2"/>
  <c r="D10" i="5" s="1"/>
  <c r="M261" i="1"/>
  <c r="F39" i="2" s="1"/>
  <c r="F10" i="5" s="1"/>
  <c r="D40" i="2"/>
  <c r="D22" i="5" s="1"/>
  <c r="M268" i="1"/>
  <c r="F40" i="2" s="1"/>
  <c r="F22" i="5" s="1"/>
  <c r="P275" i="1"/>
  <c r="I41" i="2" s="1"/>
  <c r="I11" i="5" s="1"/>
  <c r="G41" i="2"/>
  <c r="G11" i="5" s="1"/>
  <c r="W281" i="1"/>
  <c r="G42" i="2"/>
  <c r="G23" i="5" s="1"/>
  <c r="P282" i="1"/>
  <c r="I42" i="2" s="1"/>
  <c r="I23" i="5" s="1"/>
  <c r="M43" i="2"/>
  <c r="M12" i="5" s="1"/>
  <c r="V289" i="1"/>
  <c r="O43" i="2" s="1"/>
  <c r="O12" i="5" s="1"/>
  <c r="J3" i="2"/>
  <c r="S9" i="1"/>
  <c r="L3" i="2" s="1"/>
  <c r="P205" i="1"/>
  <c r="I31" i="2" s="1"/>
  <c r="I5" i="5" s="1"/>
  <c r="G31" i="2"/>
  <c r="G5" i="5" s="1"/>
  <c r="M40" i="2"/>
  <c r="M22" i="5" s="1"/>
  <c r="V268" i="1"/>
  <c r="O40" i="2" s="1"/>
  <c r="O22" i="5" s="1"/>
  <c r="D14" i="2"/>
  <c r="M86" i="1"/>
  <c r="F14" i="2" s="1"/>
  <c r="P142" i="1"/>
  <c r="I22" i="2" s="1"/>
  <c r="I15" i="4" s="1"/>
  <c r="G22" i="2"/>
  <c r="G15" i="4" s="1"/>
  <c r="V170" i="1"/>
  <c r="O26" i="2" s="1"/>
  <c r="O19" i="4" s="1"/>
  <c r="M26" i="2"/>
  <c r="M19" i="4" s="1"/>
  <c r="G28" i="2"/>
  <c r="G15" i="5" s="1"/>
  <c r="P184" i="1"/>
  <c r="I28" i="2" s="1"/>
  <c r="I15" i="5" s="1"/>
  <c r="P191" i="1"/>
  <c r="I29" i="2" s="1"/>
  <c r="I4" i="5" s="1"/>
  <c r="G29" i="2"/>
  <c r="G4" i="5" s="1"/>
  <c r="G39" i="2"/>
  <c r="G10" i="5" s="1"/>
  <c r="P261" i="1"/>
  <c r="I39" i="2" s="1"/>
  <c r="I10" i="5" s="1"/>
  <c r="M2" i="2"/>
  <c r="V2" i="1"/>
  <c r="O2" i="2" s="1"/>
  <c r="V9" i="1"/>
  <c r="O3" i="2" s="1"/>
  <c r="M3" i="2"/>
  <c r="J5" i="2"/>
  <c r="S23" i="1"/>
  <c r="L5" i="2" s="1"/>
  <c r="W30" i="1"/>
  <c r="M6" i="2"/>
  <c r="V30" i="1"/>
  <c r="O6" i="2" s="1"/>
  <c r="W32" i="1"/>
  <c r="R30" i="1"/>
  <c r="K6" i="2" s="1"/>
  <c r="D7" i="2"/>
  <c r="M37" i="1"/>
  <c r="F7" i="2" s="1"/>
  <c r="W42" i="1"/>
  <c r="V58" i="1"/>
  <c r="O10" i="2" s="1"/>
  <c r="O14" i="3" s="1"/>
  <c r="M10" i="2"/>
  <c r="M14" i="3" s="1"/>
  <c r="P65" i="1"/>
  <c r="I11" i="2" s="1"/>
  <c r="I5" i="3" s="1"/>
  <c r="G11" i="2"/>
  <c r="G5" i="3" s="1"/>
  <c r="G12" i="2"/>
  <c r="G15" i="3" s="1"/>
  <c r="P72" i="1"/>
  <c r="I12" i="2" s="1"/>
  <c r="I15" i="3" s="1"/>
  <c r="W73" i="1"/>
  <c r="D13" i="2"/>
  <c r="D6" i="3" s="1"/>
  <c r="M79" i="1"/>
  <c r="F13" i="2" s="1"/>
  <c r="F6" i="3" s="1"/>
  <c r="J15" i="2"/>
  <c r="S93" i="1"/>
  <c r="L15" i="2" s="1"/>
  <c r="J17" i="2"/>
  <c r="J9" i="3" s="1"/>
  <c r="S107" i="1"/>
  <c r="L17" i="2" s="1"/>
  <c r="L9" i="3" s="1"/>
  <c r="W113" i="1"/>
  <c r="G18" i="2"/>
  <c r="G19" i="3" s="1"/>
  <c r="P114" i="1"/>
  <c r="I18" i="2" s="1"/>
  <c r="I19" i="3" s="1"/>
  <c r="D19" i="2"/>
  <c r="D10" i="3" s="1"/>
  <c r="M121" i="1"/>
  <c r="F19" i="2" s="1"/>
  <c r="F10" i="3" s="1"/>
  <c r="W125" i="1"/>
  <c r="J20" i="2"/>
  <c r="J14" i="4" s="1"/>
  <c r="S128" i="1"/>
  <c r="L20" i="2" s="1"/>
  <c r="L14" i="4" s="1"/>
  <c r="W132" i="1"/>
  <c r="L135" i="1"/>
  <c r="E21" i="2" s="1"/>
  <c r="E5" i="4" s="1"/>
  <c r="D21" i="2"/>
  <c r="D5" i="4" s="1"/>
  <c r="M135" i="1"/>
  <c r="F21" i="2" s="1"/>
  <c r="F5" i="4" s="1"/>
  <c r="D23" i="2"/>
  <c r="D6" i="4" s="1"/>
  <c r="M149" i="1"/>
  <c r="F23" i="2" s="1"/>
  <c r="F6" i="4" s="1"/>
  <c r="D24" i="2"/>
  <c r="D18" i="4" s="1"/>
  <c r="M156" i="1"/>
  <c r="F24" i="2" s="1"/>
  <c r="F18" i="4" s="1"/>
  <c r="W158" i="1"/>
  <c r="D25" i="2"/>
  <c r="D9" i="4" s="1"/>
  <c r="M163" i="1"/>
  <c r="F25" i="2" s="1"/>
  <c r="F9" i="4" s="1"/>
  <c r="D26" i="2"/>
  <c r="D19" i="4" s="1"/>
  <c r="M170" i="1"/>
  <c r="F26" i="2" s="1"/>
  <c r="F19" i="4" s="1"/>
  <c r="W177" i="1"/>
  <c r="J27" i="2"/>
  <c r="J10" i="4" s="1"/>
  <c r="S177" i="1"/>
  <c r="L27" i="2" s="1"/>
  <c r="L10" i="4" s="1"/>
  <c r="J28" i="2"/>
  <c r="J15" i="5" s="1"/>
  <c r="S184" i="1"/>
  <c r="L28" i="2" s="1"/>
  <c r="L15" i="5" s="1"/>
  <c r="O184" i="1"/>
  <c r="H28" i="2" s="1"/>
  <c r="H15" i="5" s="1"/>
  <c r="J29" i="2"/>
  <c r="J4" i="5" s="1"/>
  <c r="S191" i="1"/>
  <c r="L29" i="2" s="1"/>
  <c r="L4" i="5" s="1"/>
  <c r="J30" i="2"/>
  <c r="J16" i="5" s="1"/>
  <c r="S198" i="1"/>
  <c r="L30" i="2" s="1"/>
  <c r="L16" i="5" s="1"/>
  <c r="W214" i="1"/>
  <c r="D33" i="2"/>
  <c r="D6" i="5" s="1"/>
  <c r="M219" i="1"/>
  <c r="F33" i="2" s="1"/>
  <c r="F6" i="5" s="1"/>
  <c r="D34" i="2"/>
  <c r="D18" i="5" s="1"/>
  <c r="M226" i="1"/>
  <c r="F34" i="2" s="1"/>
  <c r="F18" i="5" s="1"/>
  <c r="P233" i="1"/>
  <c r="I35" i="2" s="1"/>
  <c r="I7" i="5" s="1"/>
  <c r="G35" i="2"/>
  <c r="G7" i="5" s="1"/>
  <c r="W234" i="1"/>
  <c r="D36" i="2"/>
  <c r="D20" i="5" s="1"/>
  <c r="M240" i="1"/>
  <c r="F36" i="2" s="1"/>
  <c r="F20" i="5" s="1"/>
  <c r="G37" i="2"/>
  <c r="G9" i="5" s="1"/>
  <c r="P247" i="1"/>
  <c r="I37" i="2" s="1"/>
  <c r="I9" i="5" s="1"/>
  <c r="W256" i="1"/>
  <c r="J39" i="2"/>
  <c r="J10" i="5" s="1"/>
  <c r="S261" i="1"/>
  <c r="L39" i="2" s="1"/>
  <c r="L10" i="5" s="1"/>
  <c r="W270" i="1"/>
  <c r="W272" i="1"/>
  <c r="D41" i="2"/>
  <c r="D11" i="5" s="1"/>
  <c r="M275" i="1"/>
  <c r="F41" i="2" s="1"/>
  <c r="F11" i="5" s="1"/>
  <c r="D42" i="2"/>
  <c r="D23" i="5" s="1"/>
  <c r="M282" i="1"/>
  <c r="F42" i="2" s="1"/>
  <c r="F23" i="5" s="1"/>
  <c r="G43" i="2"/>
  <c r="G12" i="5" s="1"/>
  <c r="P289" i="1"/>
  <c r="I43" i="2" s="1"/>
  <c r="I12" i="5" s="1"/>
  <c r="J2" i="2"/>
  <c r="S2" i="1"/>
  <c r="L2" i="2" s="1"/>
  <c r="V51" i="1"/>
  <c r="O9" i="2" s="1"/>
  <c r="M9" i="2"/>
  <c r="V93" i="1"/>
  <c r="O15" i="2" s="1"/>
  <c r="M15" i="2"/>
  <c r="W184" i="1"/>
  <c r="M28" i="2"/>
  <c r="M15" i="5" s="1"/>
  <c r="V184" i="1"/>
  <c r="O28" i="2" s="1"/>
  <c r="O15" i="5" s="1"/>
  <c r="M30" i="2"/>
  <c r="M16" i="5" s="1"/>
  <c r="V198" i="1"/>
  <c r="O30" i="2" s="1"/>
  <c r="O16" i="5" s="1"/>
  <c r="V37" i="1"/>
  <c r="O7" i="2" s="1"/>
  <c r="M7" i="2"/>
  <c r="M24" i="2"/>
  <c r="M18" i="4" s="1"/>
  <c r="V156" i="1"/>
  <c r="O24" i="2" s="1"/>
  <c r="O18" i="4" s="1"/>
  <c r="G30" i="2"/>
  <c r="G16" i="5" s="1"/>
  <c r="P198" i="1"/>
  <c r="I30" i="2" s="1"/>
  <c r="I16" i="5" s="1"/>
  <c r="M36" i="2"/>
  <c r="M20" i="5" s="1"/>
  <c r="V240" i="1"/>
  <c r="O36" i="2" s="1"/>
  <c r="O20" i="5" s="1"/>
  <c r="W242" i="1"/>
  <c r="W246" i="1"/>
  <c r="W5" i="1"/>
  <c r="G3" i="2"/>
  <c r="P9" i="1"/>
  <c r="I3" i="2" s="1"/>
  <c r="M4" i="2"/>
  <c r="V16" i="1"/>
  <c r="O4" i="2" s="1"/>
  <c r="J7" i="2"/>
  <c r="S37" i="1"/>
  <c r="L7" i="2" s="1"/>
  <c r="W40" i="1"/>
  <c r="J8" i="2"/>
  <c r="S44" i="1"/>
  <c r="L8" i="2" s="1"/>
  <c r="G10" i="2"/>
  <c r="G14" i="3" s="1"/>
  <c r="P58" i="1"/>
  <c r="I10" i="2" s="1"/>
  <c r="I14" i="3" s="1"/>
  <c r="W59" i="1"/>
  <c r="D11" i="2"/>
  <c r="D5" i="3" s="1"/>
  <c r="M65" i="1"/>
  <c r="F11" i="2" s="1"/>
  <c r="F5" i="3" s="1"/>
  <c r="L65" i="1"/>
  <c r="E11" i="2" s="1"/>
  <c r="E5" i="3" s="1"/>
  <c r="D12" i="2"/>
  <c r="D15" i="3" s="1"/>
  <c r="M72" i="1"/>
  <c r="F12" i="2" s="1"/>
  <c r="F15" i="3" s="1"/>
  <c r="W74" i="1"/>
  <c r="J13" i="2"/>
  <c r="J6" i="3" s="1"/>
  <c r="S79" i="1"/>
  <c r="L13" i="2" s="1"/>
  <c r="L6" i="3" s="1"/>
  <c r="J16" i="2"/>
  <c r="J18" i="3" s="1"/>
  <c r="S100" i="1"/>
  <c r="L16" i="2" s="1"/>
  <c r="L18" i="3" s="1"/>
  <c r="D18" i="2"/>
  <c r="D19" i="3" s="1"/>
  <c r="M114" i="1"/>
  <c r="F18" i="2" s="1"/>
  <c r="F19" i="3" s="1"/>
  <c r="W121" i="1"/>
  <c r="J19" i="2"/>
  <c r="J10" i="3" s="1"/>
  <c r="S121" i="1"/>
  <c r="L19" i="2" s="1"/>
  <c r="L10" i="3" s="1"/>
  <c r="J21" i="2"/>
  <c r="J5" i="4" s="1"/>
  <c r="W137" i="1"/>
  <c r="J22" i="2"/>
  <c r="J15" i="4" s="1"/>
  <c r="S142" i="1"/>
  <c r="L22" i="2" s="1"/>
  <c r="L15" i="4" s="1"/>
  <c r="J24" i="2"/>
  <c r="J18" i="4" s="1"/>
  <c r="S156" i="1"/>
  <c r="L24" i="2" s="1"/>
  <c r="L18" i="4" s="1"/>
  <c r="J25" i="2"/>
  <c r="J9" i="4" s="1"/>
  <c r="S163" i="1"/>
  <c r="L25" i="2" s="1"/>
  <c r="L9" i="4" s="1"/>
  <c r="J26" i="2"/>
  <c r="J19" i="4" s="1"/>
  <c r="S170" i="1"/>
  <c r="L26" i="2" s="1"/>
  <c r="L19" i="4" s="1"/>
  <c r="W185" i="1"/>
  <c r="J33" i="2"/>
  <c r="J6" i="5" s="1"/>
  <c r="S219" i="1"/>
  <c r="L33" i="2" s="1"/>
  <c r="L6" i="5" s="1"/>
  <c r="J34" i="2"/>
  <c r="J18" i="5" s="1"/>
  <c r="S226" i="1"/>
  <c r="L34" i="2" s="1"/>
  <c r="L18" i="5" s="1"/>
  <c r="L233" i="1"/>
  <c r="E35" i="2" s="1"/>
  <c r="E7" i="5" s="1"/>
  <c r="D35" i="2"/>
  <c r="D7" i="5" s="1"/>
  <c r="M233" i="1"/>
  <c r="F35" i="2" s="1"/>
  <c r="F7" i="5" s="1"/>
  <c r="W237" i="1"/>
  <c r="J36" i="2"/>
  <c r="J20" i="5" s="1"/>
  <c r="S240" i="1"/>
  <c r="L36" i="2" s="1"/>
  <c r="L20" i="5" s="1"/>
  <c r="W244" i="1"/>
  <c r="D37" i="2"/>
  <c r="D9" i="5" s="1"/>
  <c r="M247" i="1"/>
  <c r="F37" i="2" s="1"/>
  <c r="F9" i="5" s="1"/>
  <c r="G38" i="2"/>
  <c r="G21" i="5" s="1"/>
  <c r="P254" i="1"/>
  <c r="I38" i="2" s="1"/>
  <c r="I21" i="5" s="1"/>
  <c r="J40" i="2"/>
  <c r="J22" i="5" s="1"/>
  <c r="S268" i="1"/>
  <c r="L40" i="2" s="1"/>
  <c r="L22" i="5" s="1"/>
  <c r="W275" i="1"/>
  <c r="J41" i="2"/>
  <c r="J11" i="5" s="1"/>
  <c r="S275" i="1"/>
  <c r="L41" i="2" s="1"/>
  <c r="L11" i="5" s="1"/>
  <c r="J42" i="2"/>
  <c r="J23" i="5" s="1"/>
  <c r="S282" i="1"/>
  <c r="L42" i="2" s="1"/>
  <c r="L23" i="5" s="1"/>
  <c r="D43" i="2"/>
  <c r="D12" i="5" s="1"/>
  <c r="M289" i="1"/>
  <c r="F43" i="2" s="1"/>
  <c r="F12" i="5" s="1"/>
  <c r="D11" i="4"/>
  <c r="D13" i="5"/>
  <c r="D11" i="3"/>
  <c r="W293" i="1"/>
  <c r="U51" i="1"/>
  <c r="N9" i="2" s="1"/>
  <c r="W81" i="1"/>
  <c r="L30" i="1"/>
  <c r="E6" i="2" s="1"/>
  <c r="W89" i="1"/>
  <c r="W224" i="1"/>
  <c r="W266" i="1"/>
  <c r="W276" i="1"/>
  <c r="W10" i="1"/>
  <c r="W21" i="1"/>
  <c r="W31" i="1"/>
  <c r="W52" i="1"/>
  <c r="O58" i="1"/>
  <c r="H10" i="2" s="1"/>
  <c r="H14" i="3" s="1"/>
  <c r="W64" i="1"/>
  <c r="L72" i="1"/>
  <c r="E12" i="2" s="1"/>
  <c r="E15" i="3" s="1"/>
  <c r="W76" i="1"/>
  <c r="O79" i="1"/>
  <c r="H13" i="2" s="1"/>
  <c r="H6" i="3" s="1"/>
  <c r="L86" i="1"/>
  <c r="E14" i="2" s="1"/>
  <c r="W97" i="1"/>
  <c r="W112" i="1"/>
  <c r="W140" i="1"/>
  <c r="W154" i="1"/>
  <c r="W163" i="1"/>
  <c r="W167" i="1"/>
  <c r="W172" i="1"/>
  <c r="W176" i="1"/>
  <c r="W179" i="1"/>
  <c r="R184" i="1"/>
  <c r="K28" i="2" s="1"/>
  <c r="K15" i="5" s="1"/>
  <c r="W192" i="1"/>
  <c r="W194" i="1"/>
  <c r="W196" i="1"/>
  <c r="L205" i="1"/>
  <c r="E31" i="2" s="1"/>
  <c r="E5" i="5" s="1"/>
  <c r="W213" i="1"/>
  <c r="W218" i="1"/>
  <c r="W239" i="1"/>
  <c r="R247" i="1"/>
  <c r="K37" i="2" s="1"/>
  <c r="K9" i="5" s="1"/>
  <c r="W254" i="1"/>
  <c r="W264" i="1"/>
  <c r="W211" i="1"/>
  <c r="W220" i="1"/>
  <c r="W250" i="1"/>
  <c r="W4" i="1"/>
  <c r="R9" i="1"/>
  <c r="K3" i="2" s="1"/>
  <c r="R16" i="1"/>
  <c r="K4" i="2" s="1"/>
  <c r="R23" i="1"/>
  <c r="K5" i="2" s="1"/>
  <c r="U30" i="1"/>
  <c r="N6" i="2" s="1"/>
  <c r="L37" i="1"/>
  <c r="E7" i="2" s="1"/>
  <c r="W39" i="1"/>
  <c r="W63" i="1"/>
  <c r="U65" i="1"/>
  <c r="N11" i="2" s="1"/>
  <c r="N5" i="3" s="1"/>
  <c r="R72" i="1"/>
  <c r="K12" i="2" s="1"/>
  <c r="K15" i="3" s="1"/>
  <c r="W75" i="1"/>
  <c r="W84" i="1"/>
  <c r="L79" i="1"/>
  <c r="E13" i="2" s="1"/>
  <c r="E6" i="3" s="1"/>
  <c r="W87" i="1"/>
  <c r="W102" i="1"/>
  <c r="W111" i="1"/>
  <c r="W118" i="1"/>
  <c r="R128" i="1"/>
  <c r="K20" i="2" s="1"/>
  <c r="K14" i="4" s="1"/>
  <c r="W144" i="1"/>
  <c r="W146" i="1"/>
  <c r="L170" i="1"/>
  <c r="E26" i="2" s="1"/>
  <c r="E19" i="4" s="1"/>
  <c r="W186" i="1"/>
  <c r="W210" i="1"/>
  <c r="W221" i="1"/>
  <c r="W223" i="1"/>
  <c r="O226" i="1"/>
  <c r="H34" i="2" s="1"/>
  <c r="H18" i="5" s="1"/>
  <c r="L226" i="1"/>
  <c r="E34" i="2" s="1"/>
  <c r="E18" i="5" s="1"/>
  <c r="W258" i="1"/>
  <c r="L268" i="1"/>
  <c r="E40" i="2" s="1"/>
  <c r="E22" i="5" s="1"/>
  <c r="W277" i="1"/>
  <c r="W287" i="1"/>
  <c r="L289" i="1"/>
  <c r="E43" i="2" s="1"/>
  <c r="E12" i="5" s="1"/>
  <c r="W17" i="1"/>
  <c r="W85" i="1"/>
  <c r="W119" i="1"/>
  <c r="W130" i="1"/>
  <c r="L128" i="1"/>
  <c r="E20" i="2" s="1"/>
  <c r="E14" i="4" s="1"/>
  <c r="W133" i="1"/>
  <c r="W139" i="1"/>
  <c r="U149" i="1"/>
  <c r="N23" i="2" s="1"/>
  <c r="N6" i="4" s="1"/>
  <c r="W151" i="1"/>
  <c r="W157" i="1"/>
  <c r="W161" i="1"/>
  <c r="W164" i="1"/>
  <c r="W166" i="1"/>
  <c r="W168" i="1"/>
  <c r="W180" i="1"/>
  <c r="W188" i="1"/>
  <c r="W255" i="1"/>
  <c r="L2" i="1"/>
  <c r="E2" i="2" s="1"/>
  <c r="W14" i="1"/>
  <c r="W18" i="1"/>
  <c r="W41" i="1"/>
  <c r="W92" i="1"/>
  <c r="L114" i="1"/>
  <c r="E18" i="2" s="1"/>
  <c r="E19" i="3" s="1"/>
  <c r="W128" i="1"/>
  <c r="W147" i="1"/>
  <c r="R156" i="1"/>
  <c r="K24" i="2" s="1"/>
  <c r="K18" i="4" s="1"/>
  <c r="W209" i="1"/>
  <c r="J212" i="1"/>
  <c r="N212" i="1" s="1"/>
  <c r="W217" i="1"/>
  <c r="W230" i="1"/>
  <c r="L282" i="1"/>
  <c r="E42" i="2" s="1"/>
  <c r="E23" i="5" s="1"/>
  <c r="W107" i="1"/>
  <c r="W28" i="1"/>
  <c r="W6" i="1"/>
  <c r="W11" i="1"/>
  <c r="W13" i="1"/>
  <c r="W29" i="1"/>
  <c r="J51" i="1"/>
  <c r="N51" i="1" s="1"/>
  <c r="W66" i="1"/>
  <c r="W79" i="1"/>
  <c r="W99" i="1"/>
  <c r="L121" i="1"/>
  <c r="E19" i="2" s="1"/>
  <c r="E10" i="3" s="1"/>
  <c r="W131" i="1"/>
  <c r="L149" i="1"/>
  <c r="E23" i="2" s="1"/>
  <c r="E6" i="4" s="1"/>
  <c r="L163" i="1"/>
  <c r="E25" i="2" s="1"/>
  <c r="E9" i="4" s="1"/>
  <c r="W195" i="1"/>
  <c r="U205" i="1"/>
  <c r="N31" i="2" s="1"/>
  <c r="N5" i="5" s="1"/>
  <c r="L240" i="1"/>
  <c r="E36" i="2" s="1"/>
  <c r="E20" i="5" s="1"/>
  <c r="W253" i="1"/>
  <c r="O16" i="1"/>
  <c r="H4" i="2" s="1"/>
  <c r="O30" i="1"/>
  <c r="H6" i="2" s="1"/>
  <c r="U37" i="1"/>
  <c r="N7" i="2" s="1"/>
  <c r="U2" i="1"/>
  <c r="N2" i="2" s="1"/>
  <c r="W3" i="1"/>
  <c r="W8" i="1"/>
  <c r="W16" i="1"/>
  <c r="W25" i="1"/>
  <c r="U16" i="1"/>
  <c r="N4" i="2" s="1"/>
  <c r="U9" i="1"/>
  <c r="N3" i="2" s="1"/>
  <c r="W23" i="1"/>
  <c r="U23" i="1"/>
  <c r="N5" i="2" s="1"/>
  <c r="O23" i="1"/>
  <c r="H5" i="2" s="1"/>
  <c r="W2" i="1"/>
  <c r="W33" i="1"/>
  <c r="O37" i="1"/>
  <c r="H7" i="2" s="1"/>
  <c r="W43" i="1"/>
  <c r="W70" i="1"/>
  <c r="W101" i="1"/>
  <c r="O121" i="1"/>
  <c r="H19" i="2" s="1"/>
  <c r="H10" i="3" s="1"/>
  <c r="R2" i="1"/>
  <c r="K2" i="2" s="1"/>
  <c r="O9" i="1"/>
  <c r="H3" i="2" s="1"/>
  <c r="W9" i="1"/>
  <c r="L16" i="1"/>
  <c r="E4" i="2" s="1"/>
  <c r="U44" i="1"/>
  <c r="N8" i="2" s="1"/>
  <c r="W51" i="1"/>
  <c r="W56" i="1"/>
  <c r="R65" i="1"/>
  <c r="K11" i="2" s="1"/>
  <c r="K5" i="3" s="1"/>
  <c r="W67" i="1"/>
  <c r="W88" i="1"/>
  <c r="W98" i="1"/>
  <c r="W174" i="1"/>
  <c r="U170" i="1"/>
  <c r="N26" i="2" s="1"/>
  <c r="N19" i="4" s="1"/>
  <c r="W212" i="1"/>
  <c r="W38" i="1"/>
  <c r="W104" i="1"/>
  <c r="W292" i="1"/>
  <c r="U289" i="1"/>
  <c r="N43" i="2" s="1"/>
  <c r="N12" i="5" s="1"/>
  <c r="W20" i="1"/>
  <c r="W45" i="1"/>
  <c r="W54" i="1"/>
  <c r="U58" i="1"/>
  <c r="N10" i="2" s="1"/>
  <c r="N14" i="3" s="1"/>
  <c r="W78" i="1"/>
  <c r="W90" i="1"/>
  <c r="W93" i="1"/>
  <c r="R93" i="1"/>
  <c r="K15" i="2" s="1"/>
  <c r="O100" i="1"/>
  <c r="H16" i="2" s="1"/>
  <c r="H18" i="3" s="1"/>
  <c r="O107" i="1"/>
  <c r="H17" i="2" s="1"/>
  <c r="H9" i="3" s="1"/>
  <c r="O205" i="1"/>
  <c r="H31" i="2" s="1"/>
  <c r="H5" i="5" s="1"/>
  <c r="R37" i="1"/>
  <c r="K7" i="2" s="1"/>
  <c r="W37" i="1"/>
  <c r="W49" i="1"/>
  <c r="W82" i="1"/>
  <c r="W95" i="1"/>
  <c r="R100" i="1"/>
  <c r="K16" i="2" s="1"/>
  <c r="K18" i="3" s="1"/>
  <c r="L107" i="1"/>
  <c r="E17" i="2" s="1"/>
  <c r="E9" i="3" s="1"/>
  <c r="W122" i="1"/>
  <c r="W127" i="1"/>
  <c r="O142" i="1"/>
  <c r="H22" i="2" s="1"/>
  <c r="H15" i="4" s="1"/>
  <c r="W198" i="1"/>
  <c r="R198" i="1"/>
  <c r="K30" i="2" s="1"/>
  <c r="K16" i="5" s="1"/>
  <c r="O282" i="1"/>
  <c r="H42" i="2" s="1"/>
  <c r="H23" i="5" s="1"/>
  <c r="W117" i="1"/>
  <c r="U135" i="1"/>
  <c r="N21" i="2" s="1"/>
  <c r="N5" i="4" s="1"/>
  <c r="W34" i="1"/>
  <c r="L58" i="1"/>
  <c r="E10" i="2" s="1"/>
  <c r="E14" i="3" s="1"/>
  <c r="O65" i="1"/>
  <c r="H11" i="2" s="1"/>
  <c r="H5" i="3" s="1"/>
  <c r="W71" i="1"/>
  <c r="W105" i="1"/>
  <c r="W116" i="1"/>
  <c r="W124" i="1"/>
  <c r="W143" i="1"/>
  <c r="U191" i="1"/>
  <c r="N29" i="2" s="1"/>
  <c r="N4" i="5" s="1"/>
  <c r="U233" i="1"/>
  <c r="N35" i="2" s="1"/>
  <c r="N7" i="5" s="1"/>
  <c r="W44" i="1"/>
  <c r="R44" i="1"/>
  <c r="K8" i="2" s="1"/>
  <c r="W72" i="1"/>
  <c r="U72" i="1"/>
  <c r="N12" i="2" s="1"/>
  <c r="N15" i="3" s="1"/>
  <c r="W114" i="1"/>
  <c r="U114" i="1"/>
  <c r="N18" i="2" s="1"/>
  <c r="N19" i="3" s="1"/>
  <c r="O128" i="1"/>
  <c r="H20" i="2" s="1"/>
  <c r="H14" i="4" s="1"/>
  <c r="W156" i="1"/>
  <c r="U156" i="1"/>
  <c r="N24" i="2" s="1"/>
  <c r="N18" i="4" s="1"/>
  <c r="O2" i="1"/>
  <c r="H2" i="2" s="1"/>
  <c r="L9" i="1"/>
  <c r="E3" i="2" s="1"/>
  <c r="W36" i="1"/>
  <c r="W46" i="1"/>
  <c r="W48" i="1"/>
  <c r="W55" i="1"/>
  <c r="W58" i="1"/>
  <c r="O72" i="1"/>
  <c r="H12" i="2" s="1"/>
  <c r="H15" i="3" s="1"/>
  <c r="W77" i="1"/>
  <c r="U93" i="1"/>
  <c r="N15" i="2" s="1"/>
  <c r="R107" i="1"/>
  <c r="K17" i="2" s="1"/>
  <c r="K9" i="3" s="1"/>
  <c r="O114" i="1"/>
  <c r="H18" i="2" s="1"/>
  <c r="H19" i="3" s="1"/>
  <c r="W120" i="1"/>
  <c r="W129" i="1"/>
  <c r="W135" i="1"/>
  <c r="O149" i="1"/>
  <c r="H23" i="2" s="1"/>
  <c r="H6" i="4" s="1"/>
  <c r="W268" i="1"/>
  <c r="U268" i="1"/>
  <c r="N40" i="2" s="1"/>
  <c r="N22" i="5" s="1"/>
  <c r="W80" i="1"/>
  <c r="U86" i="1"/>
  <c r="N14" i="2" s="1"/>
  <c r="U100" i="1"/>
  <c r="N16" i="2" s="1"/>
  <c r="N18" i="3" s="1"/>
  <c r="W108" i="1"/>
  <c r="U107" i="1"/>
  <c r="N17" i="2" s="1"/>
  <c r="N9" i="3" s="1"/>
  <c r="R121" i="1"/>
  <c r="K19" i="2" s="1"/>
  <c r="K10" i="3" s="1"/>
  <c r="W123" i="1"/>
  <c r="Q141" i="1"/>
  <c r="W141" i="1" s="1"/>
  <c r="J141" i="1"/>
  <c r="N141" i="1" s="1"/>
  <c r="W182" i="1"/>
  <c r="R177" i="1"/>
  <c r="K27" i="2" s="1"/>
  <c r="K10" i="4" s="1"/>
  <c r="Q53" i="1"/>
  <c r="W53" i="1" s="1"/>
  <c r="W100" i="1"/>
  <c r="W149" i="1"/>
  <c r="O156" i="1"/>
  <c r="H24" i="2" s="1"/>
  <c r="H18" i="4" s="1"/>
  <c r="W165" i="1"/>
  <c r="W175" i="1"/>
  <c r="W193" i="1"/>
  <c r="W261" i="1"/>
  <c r="R261" i="1"/>
  <c r="K39" i="2" s="1"/>
  <c r="K10" i="5" s="1"/>
  <c r="R268" i="1"/>
  <c r="K40" i="2" s="1"/>
  <c r="K22" i="5" s="1"/>
  <c r="W269" i="1"/>
  <c r="R58" i="1"/>
  <c r="K10" i="2" s="1"/>
  <c r="K14" i="3" s="1"/>
  <c r="W65" i="1"/>
  <c r="R114" i="1"/>
  <c r="K18" i="2" s="1"/>
  <c r="K19" i="3" s="1"/>
  <c r="L156" i="1"/>
  <c r="E24" i="2" s="1"/>
  <c r="E18" i="4" s="1"/>
  <c r="O163" i="1"/>
  <c r="H25" i="2" s="1"/>
  <c r="H9" i="4" s="1"/>
  <c r="W207" i="1"/>
  <c r="L44" i="1"/>
  <c r="E8" i="2" s="1"/>
  <c r="R79" i="1"/>
  <c r="K13" i="2" s="1"/>
  <c r="K6" i="3" s="1"/>
  <c r="O86" i="1"/>
  <c r="H14" i="2" s="1"/>
  <c r="W86" i="1"/>
  <c r="L93" i="1"/>
  <c r="E15" i="2" s="1"/>
  <c r="U128" i="1"/>
  <c r="N20" i="2" s="1"/>
  <c r="N14" i="4" s="1"/>
  <c r="U142" i="1"/>
  <c r="N22" i="2" s="1"/>
  <c r="N15" i="4" s="1"/>
  <c r="W219" i="1"/>
  <c r="U219" i="1"/>
  <c r="N33" i="2" s="1"/>
  <c r="N6" i="5" s="1"/>
  <c r="U240" i="1"/>
  <c r="N36" i="2" s="1"/>
  <c r="N20" i="5" s="1"/>
  <c r="W241" i="1"/>
  <c r="O254" i="1"/>
  <c r="H38" i="2" s="1"/>
  <c r="H21" i="5" s="1"/>
  <c r="W263" i="1"/>
  <c r="L261" i="1"/>
  <c r="E39" i="2" s="1"/>
  <c r="E10" i="5" s="1"/>
  <c r="O268" i="1"/>
  <c r="H40" i="2" s="1"/>
  <c r="H22" i="5" s="1"/>
  <c r="O275" i="1"/>
  <c r="H41" i="2" s="1"/>
  <c r="H11" i="5" s="1"/>
  <c r="W279" i="1"/>
  <c r="W285" i="1"/>
  <c r="J56" i="1"/>
  <c r="N56" i="1" s="1"/>
  <c r="W109" i="1"/>
  <c r="J137" i="1"/>
  <c r="N137" i="1" s="1"/>
  <c r="P135" i="1" s="1"/>
  <c r="I21" i="2" s="1"/>
  <c r="I5" i="4" s="1"/>
  <c r="W148" i="1"/>
  <c r="W181" i="1"/>
  <c r="W187" i="1"/>
  <c r="O191" i="1"/>
  <c r="H29" i="2" s="1"/>
  <c r="H4" i="5" s="1"/>
  <c r="W197" i="1"/>
  <c r="W204" i="1"/>
  <c r="Q215" i="1"/>
  <c r="W215" i="1" s="1"/>
  <c r="J215" i="1"/>
  <c r="N215" i="1" s="1"/>
  <c r="O219" i="1"/>
  <c r="H33" i="2" s="1"/>
  <c r="H6" i="5" s="1"/>
  <c r="W228" i="1"/>
  <c r="O240" i="1"/>
  <c r="H36" i="2" s="1"/>
  <c r="H20" i="5" s="1"/>
  <c r="U247" i="1"/>
  <c r="N37" i="2" s="1"/>
  <c r="N9" i="5" s="1"/>
  <c r="W273" i="1"/>
  <c r="L275" i="1"/>
  <c r="E41" i="2" s="1"/>
  <c r="E11" i="5" s="1"/>
  <c r="O170" i="1"/>
  <c r="H26" i="2" s="1"/>
  <c r="H19" i="4" s="1"/>
  <c r="U198" i="1"/>
  <c r="N30" i="2" s="1"/>
  <c r="N16" i="5" s="1"/>
  <c r="L219" i="1"/>
  <c r="E33" i="2" s="1"/>
  <c r="E6" i="5" s="1"/>
  <c r="W222" i="1"/>
  <c r="L254" i="1"/>
  <c r="E38" i="2" s="1"/>
  <c r="E21" i="5" s="1"/>
  <c r="R254" i="1"/>
  <c r="K38" i="2" s="1"/>
  <c r="K21" i="5" s="1"/>
  <c r="W257" i="1"/>
  <c r="W260" i="1"/>
  <c r="R275" i="1"/>
  <c r="K41" i="2" s="1"/>
  <c r="K11" i="5" s="1"/>
  <c r="O44" i="1"/>
  <c r="H8" i="2" s="1"/>
  <c r="U79" i="1"/>
  <c r="N13" i="2" s="1"/>
  <c r="N6" i="3" s="1"/>
  <c r="R86" i="1"/>
  <c r="K14" i="2" s="1"/>
  <c r="O93" i="1"/>
  <c r="H15" i="2" s="1"/>
  <c r="L100" i="1"/>
  <c r="E16" i="2" s="1"/>
  <c r="E18" i="3" s="1"/>
  <c r="W145" i="1"/>
  <c r="R149" i="1"/>
  <c r="K23" i="2" s="1"/>
  <c r="K6" i="4" s="1"/>
  <c r="W150" i="1"/>
  <c r="W153" i="1"/>
  <c r="W160" i="1"/>
  <c r="W171" i="1"/>
  <c r="U177" i="1"/>
  <c r="N27" i="2" s="1"/>
  <c r="N10" i="4" s="1"/>
  <c r="W178" i="1"/>
  <c r="U184" i="1"/>
  <c r="N28" i="2" s="1"/>
  <c r="N15" i="5" s="1"/>
  <c r="L191" i="1"/>
  <c r="E29" i="2" s="1"/>
  <c r="E4" i="5" s="1"/>
  <c r="O198" i="1"/>
  <c r="H30" i="2" s="1"/>
  <c r="H16" i="5" s="1"/>
  <c r="W199" i="1"/>
  <c r="R205" i="1"/>
  <c r="K31" i="2" s="1"/>
  <c r="K5" i="5" s="1"/>
  <c r="W206" i="1"/>
  <c r="R219" i="1"/>
  <c r="K33" i="2" s="1"/>
  <c r="K6" i="5" s="1"/>
  <c r="W238" i="1"/>
  <c r="W240" i="1"/>
  <c r="W245" i="1"/>
  <c r="U261" i="1"/>
  <c r="N39" i="2" s="1"/>
  <c r="N10" i="5" s="1"/>
  <c r="W290" i="1"/>
  <c r="O177" i="1"/>
  <c r="H27" i="2" s="1"/>
  <c r="H10" i="4" s="1"/>
  <c r="R191" i="1"/>
  <c r="K29" i="2" s="1"/>
  <c r="K4" i="5" s="1"/>
  <c r="L198" i="1"/>
  <c r="E30" i="2" s="1"/>
  <c r="E16" i="5" s="1"/>
  <c r="U212" i="1"/>
  <c r="N32" i="2" s="1"/>
  <c r="N17" i="5" s="1"/>
  <c r="Q216" i="1"/>
  <c r="W216" i="1" s="1"/>
  <c r="J216" i="1"/>
  <c r="N216" i="1" s="1"/>
  <c r="W232" i="1"/>
  <c r="R240" i="1"/>
  <c r="K36" i="2" s="1"/>
  <c r="K20" i="5" s="1"/>
  <c r="O247" i="1"/>
  <c r="H37" i="2" s="1"/>
  <c r="H9" i="5" s="1"/>
  <c r="W251" i="1"/>
  <c r="U254" i="1"/>
  <c r="N38" i="2" s="1"/>
  <c r="N21" i="5" s="1"/>
  <c r="O261" i="1"/>
  <c r="H39" i="2" s="1"/>
  <c r="H10" i="5" s="1"/>
  <c r="W262" i="1"/>
  <c r="W267" i="1"/>
  <c r="W278" i="1"/>
  <c r="W295" i="1"/>
  <c r="W226" i="1"/>
  <c r="W282" i="1"/>
  <c r="W205" i="1"/>
  <c r="R163" i="1"/>
  <c r="K25" i="2" s="1"/>
  <c r="K9" i="4" s="1"/>
  <c r="W170" i="1"/>
  <c r="L177" i="1"/>
  <c r="E27" i="2" s="1"/>
  <c r="E10" i="4" s="1"/>
  <c r="L212" i="1"/>
  <c r="E32" i="2" s="1"/>
  <c r="E17" i="5" s="1"/>
  <c r="J213" i="1"/>
  <c r="N213" i="1" s="1"/>
  <c r="R226" i="1"/>
  <c r="K34" i="2" s="1"/>
  <c r="K18" i="5" s="1"/>
  <c r="O233" i="1"/>
  <c r="H35" i="2" s="1"/>
  <c r="H7" i="5" s="1"/>
  <c r="W233" i="1"/>
  <c r="U275" i="1"/>
  <c r="N41" i="2" s="1"/>
  <c r="N11" i="5" s="1"/>
  <c r="R282" i="1"/>
  <c r="K42" i="2" s="1"/>
  <c r="K23" i="5" s="1"/>
  <c r="O289" i="1"/>
  <c r="H43" i="2" s="1"/>
  <c r="H12" i="5" s="1"/>
  <c r="W289" i="1"/>
  <c r="W191" i="1"/>
  <c r="U163" i="1"/>
  <c r="N25" i="2" s="1"/>
  <c r="N9" i="4" s="1"/>
  <c r="R170" i="1"/>
  <c r="K26" i="2" s="1"/>
  <c r="K19" i="4" s="1"/>
  <c r="L184" i="1"/>
  <c r="E28" i="2" s="1"/>
  <c r="E15" i="5" s="1"/>
  <c r="U226" i="1"/>
  <c r="N34" i="2" s="1"/>
  <c r="N18" i="5" s="1"/>
  <c r="R233" i="1"/>
  <c r="K35" i="2" s="1"/>
  <c r="K7" i="5" s="1"/>
  <c r="L247" i="1"/>
  <c r="E37" i="2" s="1"/>
  <c r="E9" i="5" s="1"/>
  <c r="U282" i="1"/>
  <c r="N42" i="2" s="1"/>
  <c r="N23" i="5" s="1"/>
  <c r="R289" i="1"/>
  <c r="K43" i="2" s="1"/>
  <c r="K12" i="5" s="1"/>
  <c r="Y247" i="1" l="1"/>
  <c r="R37" i="2" s="1"/>
  <c r="R9" i="5" s="1"/>
  <c r="H11" i="4"/>
  <c r="H13" i="5"/>
  <c r="H11" i="3"/>
  <c r="P30" i="2"/>
  <c r="P16" i="5" s="1"/>
  <c r="Y198" i="1"/>
  <c r="R30" i="2" s="1"/>
  <c r="R16" i="5" s="1"/>
  <c r="P19" i="2"/>
  <c r="P10" i="3" s="1"/>
  <c r="Y121" i="1"/>
  <c r="R19" i="2" s="1"/>
  <c r="R10" i="3" s="1"/>
  <c r="E13" i="3"/>
  <c r="E13" i="4"/>
  <c r="P35" i="2"/>
  <c r="P7" i="5" s="1"/>
  <c r="Y233" i="1"/>
  <c r="R35" i="2" s="1"/>
  <c r="R7" i="5" s="1"/>
  <c r="H8" i="4"/>
  <c r="H8" i="3"/>
  <c r="P7" i="2"/>
  <c r="Y37" i="1"/>
  <c r="R7" i="2" s="1"/>
  <c r="P43" i="2"/>
  <c r="P12" i="5" s="1"/>
  <c r="Y289" i="1"/>
  <c r="R43" i="2" s="1"/>
  <c r="R12" i="5" s="1"/>
  <c r="P31" i="2"/>
  <c r="P5" i="5" s="1"/>
  <c r="Y205" i="1"/>
  <c r="R31" i="2" s="1"/>
  <c r="R5" i="5" s="1"/>
  <c r="P14" i="2"/>
  <c r="Y86" i="1"/>
  <c r="R14" i="2" s="1"/>
  <c r="P23" i="2"/>
  <c r="P6" i="4" s="1"/>
  <c r="Y149" i="1"/>
  <c r="R23" i="2" s="1"/>
  <c r="R6" i="4" s="1"/>
  <c r="N17" i="4"/>
  <c r="N17" i="3"/>
  <c r="E2" i="5"/>
  <c r="E2" i="3"/>
  <c r="E2" i="4"/>
  <c r="P18" i="2"/>
  <c r="P19" i="3" s="1"/>
  <c r="Y114" i="1"/>
  <c r="R18" i="2" s="1"/>
  <c r="R19" i="3" s="1"/>
  <c r="N13" i="4"/>
  <c r="N13" i="3"/>
  <c r="H3" i="5"/>
  <c r="H3" i="4"/>
  <c r="H3" i="3"/>
  <c r="P4" i="2"/>
  <c r="Y16" i="1"/>
  <c r="R4" i="2" s="1"/>
  <c r="H12" i="4"/>
  <c r="H14" i="5"/>
  <c r="H12" i="3"/>
  <c r="G9" i="2"/>
  <c r="P51" i="1"/>
  <c r="I9" i="2" s="1"/>
  <c r="P17" i="2"/>
  <c r="P9" i="3" s="1"/>
  <c r="Y107" i="1"/>
  <c r="R17" i="2" s="1"/>
  <c r="R9" i="3" s="1"/>
  <c r="K3" i="5"/>
  <c r="K3" i="4"/>
  <c r="K3" i="3"/>
  <c r="P41" i="2"/>
  <c r="P11" i="5" s="1"/>
  <c r="Y275" i="1"/>
  <c r="R41" i="2" s="1"/>
  <c r="R11" i="5" s="1"/>
  <c r="L13" i="4"/>
  <c r="L13" i="3"/>
  <c r="M14" i="5"/>
  <c r="M12" i="4"/>
  <c r="M12" i="3"/>
  <c r="M8" i="5"/>
  <c r="M7" i="4"/>
  <c r="M7" i="3"/>
  <c r="P28" i="2"/>
  <c r="P15" i="5" s="1"/>
  <c r="Y184" i="1"/>
  <c r="R28" i="2" s="1"/>
  <c r="R15" i="5" s="1"/>
  <c r="J11" i="4"/>
  <c r="J13" i="5"/>
  <c r="J11" i="3"/>
  <c r="M2" i="5"/>
  <c r="M2" i="4"/>
  <c r="M2" i="3"/>
  <c r="D8" i="4"/>
  <c r="D8" i="3"/>
  <c r="F4" i="4"/>
  <c r="F4" i="3"/>
  <c r="I8" i="5"/>
  <c r="I7" i="4"/>
  <c r="I7" i="3"/>
  <c r="F14" i="5"/>
  <c r="F12" i="4"/>
  <c r="F12" i="3"/>
  <c r="G14" i="5"/>
  <c r="G12" i="4"/>
  <c r="G12" i="3"/>
  <c r="S212" i="1"/>
  <c r="L32" i="2" s="1"/>
  <c r="L17" i="5" s="1"/>
  <c r="S51" i="1"/>
  <c r="L9" i="2" s="1"/>
  <c r="L14" i="5"/>
  <c r="L12" i="4"/>
  <c r="L12" i="3"/>
  <c r="O3" i="5"/>
  <c r="O3" i="4"/>
  <c r="O3" i="3"/>
  <c r="P22" i="2"/>
  <c r="P15" i="4" s="1"/>
  <c r="Y142" i="1"/>
  <c r="R22" i="2" s="1"/>
  <c r="R15" i="4" s="1"/>
  <c r="E14" i="5"/>
  <c r="E12" i="4"/>
  <c r="E12" i="3"/>
  <c r="K14" i="5"/>
  <c r="K12" i="4"/>
  <c r="K12" i="3"/>
  <c r="O8" i="5"/>
  <c r="O7" i="4"/>
  <c r="O7" i="3"/>
  <c r="O19" i="5"/>
  <c r="O16" i="4"/>
  <c r="O16" i="3"/>
  <c r="L17" i="4"/>
  <c r="L17" i="3"/>
  <c r="D4" i="4"/>
  <c r="D4" i="3"/>
  <c r="D12" i="4"/>
  <c r="D14" i="5"/>
  <c r="D12" i="3"/>
  <c r="I14" i="5"/>
  <c r="I12" i="3"/>
  <c r="I12" i="4"/>
  <c r="J4" i="4"/>
  <c r="J4" i="3"/>
  <c r="J12" i="4"/>
  <c r="J12" i="3"/>
  <c r="J14" i="5"/>
  <c r="M3" i="5"/>
  <c r="M3" i="4"/>
  <c r="M3" i="3"/>
  <c r="P5" i="2"/>
  <c r="Y23" i="1"/>
  <c r="R5" i="2" s="1"/>
  <c r="X128" i="1"/>
  <c r="Q20" i="2" s="1"/>
  <c r="Q14" i="4" s="1"/>
  <c r="K2" i="3"/>
  <c r="K2" i="5"/>
  <c r="K2" i="4"/>
  <c r="G2" i="5"/>
  <c r="G2" i="4"/>
  <c r="G2" i="3"/>
  <c r="O8" i="4"/>
  <c r="O8" i="3"/>
  <c r="M19" i="5"/>
  <c r="M16" i="4"/>
  <c r="M16" i="3"/>
  <c r="O11" i="4"/>
  <c r="O13" i="5"/>
  <c r="O11" i="3"/>
  <c r="F17" i="4"/>
  <c r="F17" i="3"/>
  <c r="L2" i="5"/>
  <c r="L2" i="4"/>
  <c r="L2" i="3"/>
  <c r="J17" i="4"/>
  <c r="J17" i="3"/>
  <c r="E4" i="3"/>
  <c r="E4" i="4"/>
  <c r="J16" i="4"/>
  <c r="J16" i="3"/>
  <c r="J19" i="5"/>
  <c r="O13" i="4"/>
  <c r="O13" i="3"/>
  <c r="M17" i="4"/>
  <c r="M17" i="3"/>
  <c r="F2" i="5"/>
  <c r="F2" i="4"/>
  <c r="F2" i="3"/>
  <c r="I8" i="4"/>
  <c r="I8" i="3"/>
  <c r="F19" i="5"/>
  <c r="F16" i="4"/>
  <c r="F16" i="3"/>
  <c r="G17" i="4"/>
  <c r="G17" i="3"/>
  <c r="P40" i="2"/>
  <c r="P22" i="5" s="1"/>
  <c r="Y268" i="1"/>
  <c r="R40" i="2" s="1"/>
  <c r="R22" i="5" s="1"/>
  <c r="P24" i="2"/>
  <c r="P18" i="4" s="1"/>
  <c r="Y156" i="1"/>
  <c r="R24" i="2" s="1"/>
  <c r="R18" i="4" s="1"/>
  <c r="K13" i="3"/>
  <c r="K13" i="4"/>
  <c r="K8" i="3"/>
  <c r="K8" i="4"/>
  <c r="P32" i="2"/>
  <c r="P17" i="5" s="1"/>
  <c r="Y212" i="1"/>
  <c r="R32" i="2" s="1"/>
  <c r="R17" i="5" s="1"/>
  <c r="H2" i="4"/>
  <c r="H2" i="5"/>
  <c r="H2" i="3"/>
  <c r="H8" i="5"/>
  <c r="H7" i="4"/>
  <c r="H7" i="3"/>
  <c r="N2" i="4"/>
  <c r="N2" i="5"/>
  <c r="N2" i="3"/>
  <c r="N11" i="4"/>
  <c r="N13" i="5"/>
  <c r="N11" i="3"/>
  <c r="E17" i="3"/>
  <c r="E17" i="4"/>
  <c r="L8" i="5"/>
  <c r="L7" i="4"/>
  <c r="L7" i="3"/>
  <c r="M4" i="4"/>
  <c r="M4" i="3"/>
  <c r="P27" i="2"/>
  <c r="P10" i="4" s="1"/>
  <c r="Y177" i="1"/>
  <c r="R27" i="2" s="1"/>
  <c r="R10" i="4" s="1"/>
  <c r="L8" i="4"/>
  <c r="L8" i="3"/>
  <c r="F8" i="5"/>
  <c r="F7" i="4"/>
  <c r="F7" i="3"/>
  <c r="P6" i="2"/>
  <c r="Y30" i="1"/>
  <c r="R6" i="2" s="1"/>
  <c r="M13" i="5"/>
  <c r="M11" i="4"/>
  <c r="M11" i="3"/>
  <c r="D17" i="4"/>
  <c r="D17" i="3"/>
  <c r="J2" i="4"/>
  <c r="J2" i="3"/>
  <c r="J2" i="5"/>
  <c r="F13" i="4"/>
  <c r="F13" i="3"/>
  <c r="F3" i="5"/>
  <c r="F3" i="4"/>
  <c r="F3" i="3"/>
  <c r="M13" i="4"/>
  <c r="M13" i="3"/>
  <c r="O17" i="4"/>
  <c r="O17" i="3"/>
  <c r="D2" i="4"/>
  <c r="D2" i="5"/>
  <c r="D2" i="3"/>
  <c r="G8" i="4"/>
  <c r="G8" i="3"/>
  <c r="D19" i="5"/>
  <c r="D16" i="4"/>
  <c r="D16" i="3"/>
  <c r="I17" i="4"/>
  <c r="I17" i="3"/>
  <c r="P42" i="2"/>
  <c r="P23" i="5" s="1"/>
  <c r="Y282" i="1"/>
  <c r="R42" i="2" s="1"/>
  <c r="R23" i="5" s="1"/>
  <c r="H13" i="4"/>
  <c r="H13" i="3"/>
  <c r="P39" i="2"/>
  <c r="P10" i="5" s="1"/>
  <c r="Y261" i="1"/>
  <c r="R39" i="2" s="1"/>
  <c r="R10" i="5" s="1"/>
  <c r="N4" i="4"/>
  <c r="N4" i="3"/>
  <c r="J13" i="4"/>
  <c r="J13" i="3"/>
  <c r="P34" i="2"/>
  <c r="P18" i="5" s="1"/>
  <c r="Y226" i="1"/>
  <c r="R34" i="2" s="1"/>
  <c r="R18" i="5" s="1"/>
  <c r="X163" i="1"/>
  <c r="Q25" i="2" s="1"/>
  <c r="Q9" i="4" s="1"/>
  <c r="P38" i="2"/>
  <c r="P21" i="5" s="1"/>
  <c r="Y254" i="1"/>
  <c r="R38" i="2" s="1"/>
  <c r="R21" i="5" s="1"/>
  <c r="P36" i="2"/>
  <c r="P20" i="5" s="1"/>
  <c r="Y240" i="1"/>
  <c r="R36" i="2" s="1"/>
  <c r="R20" i="5" s="1"/>
  <c r="N8" i="4"/>
  <c r="N8" i="3"/>
  <c r="P8" i="2"/>
  <c r="Y44" i="1"/>
  <c r="R8" i="2" s="1"/>
  <c r="P15" i="2"/>
  <c r="Y93" i="1"/>
  <c r="R15" i="2" s="1"/>
  <c r="N14" i="5"/>
  <c r="N12" i="4"/>
  <c r="N12" i="3"/>
  <c r="G32" i="2"/>
  <c r="G17" i="5" s="1"/>
  <c r="P212" i="1"/>
  <c r="I32" i="2" s="1"/>
  <c r="I17" i="5" s="1"/>
  <c r="E8" i="5"/>
  <c r="E7" i="3"/>
  <c r="E7" i="4"/>
  <c r="P25" i="2"/>
  <c r="P9" i="4" s="1"/>
  <c r="Y163" i="1"/>
  <c r="R25" i="2" s="1"/>
  <c r="R9" i="4" s="1"/>
  <c r="S135" i="1"/>
  <c r="L21" i="2" s="1"/>
  <c r="L5" i="4" s="1"/>
  <c r="J7" i="4"/>
  <c r="J8" i="5"/>
  <c r="J7" i="3"/>
  <c r="O4" i="4"/>
  <c r="O4" i="3"/>
  <c r="J8" i="4"/>
  <c r="J8" i="3"/>
  <c r="D8" i="5"/>
  <c r="D7" i="4"/>
  <c r="D7" i="3"/>
  <c r="L3" i="5"/>
  <c r="L3" i="4"/>
  <c r="L3" i="3"/>
  <c r="D13" i="4"/>
  <c r="D13" i="3"/>
  <c r="D3" i="5"/>
  <c r="D3" i="4"/>
  <c r="D3" i="3"/>
  <c r="I19" i="5"/>
  <c r="I16" i="4"/>
  <c r="I16" i="3"/>
  <c r="G3" i="5"/>
  <c r="G3" i="4"/>
  <c r="G3" i="3"/>
  <c r="G13" i="5"/>
  <c r="G11" i="4"/>
  <c r="G11" i="3"/>
  <c r="I13" i="4"/>
  <c r="I13" i="3"/>
  <c r="H17" i="4"/>
  <c r="H17" i="3"/>
  <c r="P16" i="2"/>
  <c r="P18" i="3" s="1"/>
  <c r="Y100" i="1"/>
  <c r="R16" i="2" s="1"/>
  <c r="R18" i="3" s="1"/>
  <c r="P10" i="2"/>
  <c r="P14" i="3" s="1"/>
  <c r="Y58" i="1"/>
  <c r="R10" i="2" s="1"/>
  <c r="R14" i="3" s="1"/>
  <c r="N3" i="5"/>
  <c r="N3" i="4"/>
  <c r="N3" i="3"/>
  <c r="I2" i="4"/>
  <c r="I2" i="5"/>
  <c r="I2" i="3"/>
  <c r="M8" i="4"/>
  <c r="M8" i="3"/>
  <c r="O2" i="4"/>
  <c r="O2" i="5"/>
  <c r="O2" i="3"/>
  <c r="L19" i="5"/>
  <c r="L16" i="4"/>
  <c r="L16" i="3"/>
  <c r="P33" i="2"/>
  <c r="P6" i="5" s="1"/>
  <c r="Y219" i="1"/>
  <c r="R33" i="2" s="1"/>
  <c r="R6" i="5" s="1"/>
  <c r="P11" i="2"/>
  <c r="P5" i="3" s="1"/>
  <c r="Y65" i="1"/>
  <c r="R11" i="2" s="1"/>
  <c r="R5" i="3" s="1"/>
  <c r="P12" i="2"/>
  <c r="P15" i="3" s="1"/>
  <c r="Y72" i="1"/>
  <c r="R12" i="2" s="1"/>
  <c r="R15" i="3" s="1"/>
  <c r="P3" i="2"/>
  <c r="Y9" i="1"/>
  <c r="R3" i="2" s="1"/>
  <c r="P20" i="2"/>
  <c r="P14" i="4" s="1"/>
  <c r="Y128" i="1"/>
  <c r="R20" i="2" s="1"/>
  <c r="R14" i="4" s="1"/>
  <c r="E11" i="3"/>
  <c r="E13" i="5"/>
  <c r="E11" i="4"/>
  <c r="P26" i="2"/>
  <c r="P19" i="4" s="1"/>
  <c r="Y170" i="1"/>
  <c r="R26" i="2" s="1"/>
  <c r="R19" i="4" s="1"/>
  <c r="X121" i="1"/>
  <c r="Q19" i="2" s="1"/>
  <c r="Q10" i="3" s="1"/>
  <c r="K11" i="3"/>
  <c r="K13" i="5"/>
  <c r="K11" i="4"/>
  <c r="N8" i="5"/>
  <c r="N7" i="4"/>
  <c r="N7" i="3"/>
  <c r="P13" i="2"/>
  <c r="P6" i="3" s="1"/>
  <c r="Y79" i="1"/>
  <c r="R13" i="2" s="1"/>
  <c r="R6" i="3" s="1"/>
  <c r="P29" i="2"/>
  <c r="P4" i="5" s="1"/>
  <c r="Y191" i="1"/>
  <c r="R29" i="2" s="1"/>
  <c r="R4" i="5" s="1"/>
  <c r="K17" i="3"/>
  <c r="K17" i="4"/>
  <c r="E8" i="3"/>
  <c r="E8" i="4"/>
  <c r="P21" i="2"/>
  <c r="P5" i="4" s="1"/>
  <c r="Y135" i="1"/>
  <c r="R21" i="2" s="1"/>
  <c r="R5" i="4" s="1"/>
  <c r="K8" i="5"/>
  <c r="K7" i="4"/>
  <c r="K7" i="3"/>
  <c r="P9" i="2"/>
  <c r="Y51" i="1"/>
  <c r="R9" i="2" s="1"/>
  <c r="P2" i="2"/>
  <c r="Y2" i="1"/>
  <c r="R2" i="2" s="1"/>
  <c r="H19" i="5"/>
  <c r="H16" i="4"/>
  <c r="H16" i="3"/>
  <c r="N19" i="5"/>
  <c r="N16" i="4"/>
  <c r="N16" i="3"/>
  <c r="E19" i="5"/>
  <c r="E16" i="3"/>
  <c r="E16" i="4"/>
  <c r="O14" i="5"/>
  <c r="O12" i="4"/>
  <c r="O12" i="3"/>
  <c r="L13" i="5"/>
  <c r="L11" i="3"/>
  <c r="L11" i="4"/>
  <c r="K19" i="5"/>
  <c r="K16" i="3"/>
  <c r="K16" i="4"/>
  <c r="J3" i="4"/>
  <c r="J3" i="5"/>
  <c r="J3" i="3"/>
  <c r="F8" i="4"/>
  <c r="F8" i="3"/>
  <c r="G8" i="5"/>
  <c r="G7" i="4"/>
  <c r="G7" i="3"/>
  <c r="E3" i="5"/>
  <c r="E3" i="3"/>
  <c r="E3" i="4"/>
  <c r="G19" i="5"/>
  <c r="G16" i="4"/>
  <c r="G16" i="3"/>
  <c r="I3" i="5"/>
  <c r="I3" i="3"/>
  <c r="I3" i="4"/>
  <c r="I11" i="4"/>
  <c r="I13" i="5"/>
  <c r="I11" i="3"/>
  <c r="G13" i="4"/>
  <c r="G13" i="3"/>
  <c r="X275" i="1"/>
  <c r="Q41" i="2" s="1"/>
  <c r="Q11" i="5" s="1"/>
  <c r="R135" i="1"/>
  <c r="K21" i="2" s="1"/>
  <c r="K5" i="4" s="1"/>
  <c r="X254" i="1"/>
  <c r="Q38" i="2" s="1"/>
  <c r="Q21" i="5" s="1"/>
  <c r="X177" i="1"/>
  <c r="Q27" i="2" s="1"/>
  <c r="Q10" i="4" s="1"/>
  <c r="X170" i="1"/>
  <c r="Q26" i="2" s="1"/>
  <c r="Q19" i="4" s="1"/>
  <c r="X226" i="1"/>
  <c r="Q34" i="2" s="1"/>
  <c r="Q18" i="5" s="1"/>
  <c r="X114" i="1"/>
  <c r="Q18" i="2" s="1"/>
  <c r="Q19" i="3" s="1"/>
  <c r="O135" i="1"/>
  <c r="H21" i="2" s="1"/>
  <c r="H5" i="4" s="1"/>
  <c r="X30" i="1"/>
  <c r="Q6" i="2" s="1"/>
  <c r="X212" i="1"/>
  <c r="Q32" i="2" s="1"/>
  <c r="Q17" i="5" s="1"/>
  <c r="X261" i="1"/>
  <c r="Q39" i="2" s="1"/>
  <c r="Q10" i="5" s="1"/>
  <c r="X268" i="1"/>
  <c r="Q40" i="2" s="1"/>
  <c r="Q22" i="5" s="1"/>
  <c r="X184" i="1"/>
  <c r="Q28" i="2" s="1"/>
  <c r="Q15" i="5" s="1"/>
  <c r="X44" i="1"/>
  <c r="Q8" i="2" s="1"/>
  <c r="X79" i="1"/>
  <c r="Q13" i="2" s="1"/>
  <c r="Q6" i="3" s="1"/>
  <c r="X142" i="1"/>
  <c r="Q22" i="2" s="1"/>
  <c r="Q15" i="4" s="1"/>
  <c r="X9" i="1"/>
  <c r="Q3" i="2" s="1"/>
  <c r="X233" i="1"/>
  <c r="Q35" i="2" s="1"/>
  <c r="Q7" i="5" s="1"/>
  <c r="X247" i="1"/>
  <c r="Q37" i="2" s="1"/>
  <c r="Q9" i="5" s="1"/>
  <c r="X58" i="1"/>
  <c r="Q10" i="2" s="1"/>
  <c r="Q14" i="3" s="1"/>
  <c r="O51" i="1"/>
  <c r="H9" i="2" s="1"/>
  <c r="X51" i="1"/>
  <c r="Q9" i="2" s="1"/>
  <c r="X205" i="1"/>
  <c r="Q31" i="2" s="1"/>
  <c r="Q5" i="5" s="1"/>
  <c r="X65" i="1"/>
  <c r="Q11" i="2" s="1"/>
  <c r="Q5" i="3" s="1"/>
  <c r="O212" i="1"/>
  <c r="H32" i="2" s="1"/>
  <c r="H17" i="5" s="1"/>
  <c r="X156" i="1"/>
  <c r="Q24" i="2" s="1"/>
  <c r="Q18" i="4" s="1"/>
  <c r="X93" i="1"/>
  <c r="Q15" i="2" s="1"/>
  <c r="R51" i="1"/>
  <c r="K9" i="2" s="1"/>
  <c r="X191" i="1"/>
  <c r="Q29" i="2" s="1"/>
  <c r="Q4" i="5" s="1"/>
  <c r="X149" i="1"/>
  <c r="Q23" i="2" s="1"/>
  <c r="Q6" i="4" s="1"/>
  <c r="X135" i="1"/>
  <c r="Q21" i="2" s="1"/>
  <c r="Q5" i="4" s="1"/>
  <c r="X107" i="1"/>
  <c r="Q17" i="2" s="1"/>
  <c r="Q9" i="3" s="1"/>
  <c r="X16" i="1"/>
  <c r="Q4" i="2" s="1"/>
  <c r="X282" i="1"/>
  <c r="Q42" i="2" s="1"/>
  <c r="Q23" i="5" s="1"/>
  <c r="X240" i="1"/>
  <c r="Q36" i="2" s="1"/>
  <c r="Q20" i="5" s="1"/>
  <c r="X86" i="1"/>
  <c r="Q14" i="2" s="1"/>
  <c r="R212" i="1"/>
  <c r="K32" i="2" s="1"/>
  <c r="K17" i="5" s="1"/>
  <c r="X289" i="1"/>
  <c r="Q43" i="2" s="1"/>
  <c r="Q12" i="5" s="1"/>
  <c r="X219" i="1"/>
  <c r="Q33" i="2" s="1"/>
  <c r="Q6" i="5" s="1"/>
  <c r="X100" i="1"/>
  <c r="Q16" i="2" s="1"/>
  <c r="Q18" i="3" s="1"/>
  <c r="X72" i="1"/>
  <c r="Q12" i="2" s="1"/>
  <c r="Q15" i="3" s="1"/>
  <c r="X198" i="1"/>
  <c r="Q30" i="2" s="1"/>
  <c r="Q16" i="5" s="1"/>
  <c r="X37" i="1"/>
  <c r="Q7" i="2" s="1"/>
  <c r="X2" i="1"/>
  <c r="Q2" i="2" s="1"/>
  <c r="X23" i="1"/>
  <c r="Q5" i="2" s="1"/>
  <c r="Q8" i="3" l="1"/>
  <c r="Q8" i="4"/>
  <c r="R19" i="5"/>
  <c r="R16" i="4"/>
  <c r="R16" i="3"/>
  <c r="R14" i="5"/>
  <c r="R12" i="4"/>
  <c r="R12" i="3"/>
  <c r="Q11" i="4"/>
  <c r="Q11" i="3"/>
  <c r="Q13" i="5"/>
  <c r="Q13" i="3"/>
  <c r="Q13" i="4"/>
  <c r="R13" i="5"/>
  <c r="R11" i="4"/>
  <c r="R11" i="3"/>
  <c r="P13" i="4"/>
  <c r="P13" i="3"/>
  <c r="P16" i="4"/>
  <c r="P19" i="5"/>
  <c r="P16" i="3"/>
  <c r="R3" i="5"/>
  <c r="R3" i="4"/>
  <c r="R3" i="3"/>
  <c r="I4" i="4"/>
  <c r="I4" i="3"/>
  <c r="P12" i="4"/>
  <c r="P12" i="3"/>
  <c r="P14" i="5"/>
  <c r="G4" i="4"/>
  <c r="G4" i="3"/>
  <c r="Q17" i="3"/>
  <c r="Q17" i="4"/>
  <c r="P2" i="4"/>
  <c r="P2" i="3"/>
  <c r="P2" i="5"/>
  <c r="Q2" i="4"/>
  <c r="Q2" i="3"/>
  <c r="Q2" i="5"/>
  <c r="P4" i="4"/>
  <c r="P4" i="3"/>
  <c r="R8" i="3"/>
  <c r="R8" i="4"/>
  <c r="R17" i="4"/>
  <c r="R17" i="3"/>
  <c r="R8" i="5"/>
  <c r="R7" i="4"/>
  <c r="R7" i="3"/>
  <c r="Q8" i="5"/>
  <c r="Q7" i="4"/>
  <c r="Q7" i="3"/>
  <c r="P3" i="4"/>
  <c r="P3" i="5"/>
  <c r="P3" i="3"/>
  <c r="R4" i="4"/>
  <c r="R4" i="3"/>
  <c r="K4" i="3"/>
  <c r="K4" i="4"/>
  <c r="Q4" i="4"/>
  <c r="Q4" i="3"/>
  <c r="P8" i="4"/>
  <c r="P8" i="3"/>
  <c r="L4" i="4"/>
  <c r="L4" i="3"/>
  <c r="P17" i="4"/>
  <c r="P17" i="3"/>
  <c r="P7" i="4"/>
  <c r="P7" i="3"/>
  <c r="P8" i="5"/>
  <c r="P11" i="4"/>
  <c r="P13" i="5"/>
  <c r="P11" i="3"/>
  <c r="R2" i="5"/>
  <c r="R2" i="4"/>
  <c r="R2" i="3"/>
  <c r="Q3" i="5"/>
  <c r="Q3" i="4"/>
  <c r="Q3" i="3"/>
  <c r="Q14" i="5"/>
  <c r="Q12" i="4"/>
  <c r="Q12" i="3"/>
  <c r="H4" i="4"/>
  <c r="H4" i="3"/>
  <c r="Q19" i="5"/>
  <c r="Q16" i="4"/>
  <c r="Q16" i="3"/>
  <c r="R13" i="4"/>
  <c r="R13" i="3"/>
</calcChain>
</file>

<file path=xl/sharedStrings.xml><?xml version="1.0" encoding="utf-8"?>
<sst xmlns="http://schemas.openxmlformats.org/spreadsheetml/2006/main" count="912" uniqueCount="35">
  <si>
    <t>mouse</t>
  </si>
  <si>
    <t>Genotype</t>
  </si>
  <si>
    <t>DrugGroup</t>
  </si>
  <si>
    <t>#GoStimTrials</t>
  </si>
  <si>
    <t>CorrGo</t>
  </si>
  <si>
    <t>IncorrGo</t>
  </si>
  <si>
    <t>#NoGoStimTrials</t>
  </si>
  <si>
    <t>CorrNoGo</t>
  </si>
  <si>
    <t>IncorrNoGo</t>
  </si>
  <si>
    <t>Hits</t>
  </si>
  <si>
    <t>Group Avg</t>
  </si>
  <si>
    <t>FalseAlarms</t>
  </si>
  <si>
    <t>PNoGo</t>
  </si>
  <si>
    <t>Pomission</t>
  </si>
  <si>
    <t>Pinhibition</t>
  </si>
  <si>
    <t>+</t>
  </si>
  <si>
    <t>0Hz</t>
  </si>
  <si>
    <t>NoTreatment</t>
  </si>
  <si>
    <t>-</t>
  </si>
  <si>
    <t>5Hz</t>
  </si>
  <si>
    <t>10Hz</t>
  </si>
  <si>
    <t>Ctrl-IP</t>
  </si>
  <si>
    <t>Amph 1</t>
  </si>
  <si>
    <t>Amph 2.5</t>
  </si>
  <si>
    <t>Atom 1</t>
  </si>
  <si>
    <t>Atom 5</t>
  </si>
  <si>
    <t>Ctrl-Oral</t>
  </si>
  <si>
    <t>BI 2.5</t>
  </si>
  <si>
    <t>BI 7.5</t>
  </si>
  <si>
    <t>BI 12.5</t>
  </si>
  <si>
    <t>LaserFreq</t>
  </si>
  <si>
    <t>STDERR</t>
  </si>
  <si>
    <t>Hcrt+</t>
  </si>
  <si>
    <t>Hcrt-</t>
  </si>
  <si>
    <t>PreCue Response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</si>
</sst>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Correct Go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Amph_Plots!$A$2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Amph_Plots!$F$2:$F$10</c:f>
                <c:numCache>
                  <c:formatCode>General</c:formatCode>
                  <c:ptCount val="9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1.4262443484399593E-2</c:v>
                  </c:pt>
                  <c:pt idx="3">
                    <c:v>1.3464239658961626E-2</c:v>
                  </c:pt>
                  <c:pt idx="4">
                    <c:v>8.4575831728447293E-3</c:v>
                  </c:pt>
                  <c:pt idx="5">
                    <c:v>1.8110448315611066E-2</c:v>
                  </c:pt>
                  <c:pt idx="6">
                    <c:v>1.984938933555503E-2</c:v>
                  </c:pt>
                  <c:pt idx="7">
                    <c:v>1.0372405807135296E-2</c:v>
                  </c:pt>
                  <c:pt idx="8">
                    <c:v>1.2331976231642682E-2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Amph_Plots!$E$2:$E$10</c:f>
              <c:numCache>
                <c:formatCode>General</c:formatCode>
                <c:ptCount val="9"/>
                <c:pt idx="0">
                  <c:v>0.84523809523809523</c:v>
                </c:pt>
                <c:pt idx="1">
                  <c:v>0.85453681472589038</c:v>
                </c:pt>
                <c:pt idx="2">
                  <c:v>0.88191776710684289</c:v>
                </c:pt>
                <c:pt idx="3">
                  <c:v>0.83676470588235297</c:v>
                </c:pt>
                <c:pt idx="4">
                  <c:v>0.80157563025210077</c:v>
                </c:pt>
                <c:pt idx="5">
                  <c:v>0.83571428571428563</c:v>
                </c:pt>
                <c:pt idx="6">
                  <c:v>0.82700080032012802</c:v>
                </c:pt>
                <c:pt idx="7">
                  <c:v>0.84740896358543416</c:v>
                </c:pt>
                <c:pt idx="8">
                  <c:v>0.82783613445378157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1-4D5C-B89B-14F1E7CB568B}"/>
            </c:ext>
          </c:extLst>
        </c:ser>
        <c:ser>
          <c:idx val="1"/>
          <c:order val="1"/>
          <c:tx>
            <c:strRef>
              <c:f>Amph_Plots!$A$11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Amph_Plots!$F$11:$F$19</c:f>
                <c:numCache>
                  <c:formatCode>General</c:formatCode>
                  <c:ptCount val="9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1.7032172525374863E-2</c:v>
                  </c:pt>
                  <c:pt idx="3">
                    <c:v>1.1212888252977503E-2</c:v>
                  </c:pt>
                  <c:pt idx="4">
                    <c:v>6.8403579101654613E-3</c:v>
                  </c:pt>
                  <c:pt idx="5">
                    <c:v>1.3464239658961622E-2</c:v>
                  </c:pt>
                  <c:pt idx="6">
                    <c:v>1.0035969403039715E-2</c:v>
                  </c:pt>
                  <c:pt idx="7">
                    <c:v>1.1021667854435096E-3</c:v>
                  </c:pt>
                  <c:pt idx="8">
                    <c:v>1.1501557673897021E-2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Amph_Plots!$E$11:$E$19</c:f>
              <c:numCache>
                <c:formatCode>General</c:formatCode>
                <c:ptCount val="9"/>
                <c:pt idx="0">
                  <c:v>0.85340136054421767</c:v>
                </c:pt>
                <c:pt idx="1">
                  <c:v>0.87366946778711474</c:v>
                </c:pt>
                <c:pt idx="2">
                  <c:v>0.85280612244897969</c:v>
                </c:pt>
                <c:pt idx="3">
                  <c:v>0.82857142857142851</c:v>
                </c:pt>
                <c:pt idx="4">
                  <c:v>0.81688175270108032</c:v>
                </c:pt>
                <c:pt idx="5">
                  <c:v>0.83676470588235285</c:v>
                </c:pt>
                <c:pt idx="6">
                  <c:v>0.85340136054421767</c:v>
                </c:pt>
                <c:pt idx="7">
                  <c:v>0.87380952380952392</c:v>
                </c:pt>
                <c:pt idx="8">
                  <c:v>0.8526660664265705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1-4D5C-B89B-14F1E7CB5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Incorrect NoGo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Amph_Plots!$A$2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Amph_Plots!$F$2:$F$10</c:f>
                <c:numCache>
                  <c:formatCode>General</c:formatCode>
                  <c:ptCount val="9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1.4262443484399593E-2</c:v>
                  </c:pt>
                  <c:pt idx="3">
                    <c:v>1.3464239658961626E-2</c:v>
                  </c:pt>
                  <c:pt idx="4">
                    <c:v>8.4575831728447293E-3</c:v>
                  </c:pt>
                  <c:pt idx="5">
                    <c:v>1.8110448315611066E-2</c:v>
                  </c:pt>
                  <c:pt idx="6">
                    <c:v>1.984938933555503E-2</c:v>
                  </c:pt>
                  <c:pt idx="7">
                    <c:v>1.0372405807135296E-2</c:v>
                  </c:pt>
                  <c:pt idx="8">
                    <c:v>1.2331976231642682E-2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Amph_Plots!$H$2:$H$10</c:f>
              <c:numCache>
                <c:formatCode>General</c:formatCode>
                <c:ptCount val="9"/>
                <c:pt idx="0">
                  <c:v>0.21065426170468185</c:v>
                </c:pt>
                <c:pt idx="1">
                  <c:v>0.23333333333333334</c:v>
                </c:pt>
                <c:pt idx="2">
                  <c:v>0.24523809523809523</c:v>
                </c:pt>
                <c:pt idx="3">
                  <c:v>0.37899159663865545</c:v>
                </c:pt>
                <c:pt idx="4">
                  <c:v>0.46841736694677871</c:v>
                </c:pt>
                <c:pt idx="5">
                  <c:v>0.25476190476190474</c:v>
                </c:pt>
                <c:pt idx="6">
                  <c:v>0.22738095238095238</c:v>
                </c:pt>
                <c:pt idx="7">
                  <c:v>0.32422969187675071</c:v>
                </c:pt>
                <c:pt idx="8">
                  <c:v>0.50479691876750699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01-49A2-91C6-EF417849CA34}"/>
            </c:ext>
          </c:extLst>
        </c:ser>
        <c:ser>
          <c:idx val="1"/>
          <c:order val="1"/>
          <c:tx>
            <c:strRef>
              <c:f>Amph_Plots!$A$11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Amph_Plots!$F$11:$F$19</c:f>
                <c:numCache>
                  <c:formatCode>General</c:formatCode>
                  <c:ptCount val="9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1.7032172525374863E-2</c:v>
                  </c:pt>
                  <c:pt idx="3">
                    <c:v>1.1212888252977503E-2</c:v>
                  </c:pt>
                  <c:pt idx="4">
                    <c:v>6.8403579101654613E-3</c:v>
                  </c:pt>
                  <c:pt idx="5">
                    <c:v>1.3464239658961622E-2</c:v>
                  </c:pt>
                  <c:pt idx="6">
                    <c:v>1.0035969403039715E-2</c:v>
                  </c:pt>
                  <c:pt idx="7">
                    <c:v>1.1021667854435096E-3</c:v>
                  </c:pt>
                  <c:pt idx="8">
                    <c:v>1.1501557673897021E-2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Amph_Plots!$H$11:$H$19</c:f>
              <c:numCache>
                <c:formatCode>General</c:formatCode>
                <c:ptCount val="9"/>
                <c:pt idx="0">
                  <c:v>0.25776310524209683</c:v>
                </c:pt>
                <c:pt idx="1">
                  <c:v>0.34523809523809523</c:v>
                </c:pt>
                <c:pt idx="2">
                  <c:v>0.33368347338935578</c:v>
                </c:pt>
                <c:pt idx="3">
                  <c:v>0.36649159663865544</c:v>
                </c:pt>
                <c:pt idx="4">
                  <c:v>0.47738095238095241</c:v>
                </c:pt>
                <c:pt idx="5">
                  <c:v>0.57689075630252107</c:v>
                </c:pt>
                <c:pt idx="6">
                  <c:v>0.60308123249299717</c:v>
                </c:pt>
                <c:pt idx="7">
                  <c:v>0.60784313725490191</c:v>
                </c:pt>
                <c:pt idx="8">
                  <c:v>0.59464285714285714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01-49A2-91C6-EF417849C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P-NoGo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Amph_Plots!$A$2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Amph_Plots!$F$2:$F$10</c:f>
                <c:numCache>
                  <c:formatCode>General</c:formatCode>
                  <c:ptCount val="9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1.4262443484399593E-2</c:v>
                  </c:pt>
                  <c:pt idx="3">
                    <c:v>1.3464239658961626E-2</c:v>
                  </c:pt>
                  <c:pt idx="4">
                    <c:v>8.4575831728447293E-3</c:v>
                  </c:pt>
                  <c:pt idx="5">
                    <c:v>1.8110448315611066E-2</c:v>
                  </c:pt>
                  <c:pt idx="6">
                    <c:v>1.984938933555503E-2</c:v>
                  </c:pt>
                  <c:pt idx="7">
                    <c:v>1.0372405807135296E-2</c:v>
                  </c:pt>
                  <c:pt idx="8">
                    <c:v>1.2331976231642682E-2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Amph_Plots!$K$2:$K$10</c:f>
              <c:numCache>
                <c:formatCode>General</c:formatCode>
                <c:ptCount val="9"/>
                <c:pt idx="0">
                  <c:v>0.78934573829531807</c:v>
                </c:pt>
                <c:pt idx="1">
                  <c:v>0.76666666666666672</c:v>
                </c:pt>
                <c:pt idx="2">
                  <c:v>0.75476190476190474</c:v>
                </c:pt>
                <c:pt idx="3">
                  <c:v>0.62100840336134466</c:v>
                </c:pt>
                <c:pt idx="4">
                  <c:v>0.53158263305322129</c:v>
                </c:pt>
                <c:pt idx="5">
                  <c:v>0.74523809523809526</c:v>
                </c:pt>
                <c:pt idx="6">
                  <c:v>0.77261904761904765</c:v>
                </c:pt>
                <c:pt idx="7">
                  <c:v>0.67577030812324934</c:v>
                </c:pt>
                <c:pt idx="8">
                  <c:v>0.49520308123249296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60-4D98-85D7-FB4FD60F9DBD}"/>
            </c:ext>
          </c:extLst>
        </c:ser>
        <c:ser>
          <c:idx val="1"/>
          <c:order val="1"/>
          <c:tx>
            <c:strRef>
              <c:f>Amph_Plots!$A$11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Amph_Plots!$F$11:$F$19</c:f>
                <c:numCache>
                  <c:formatCode>General</c:formatCode>
                  <c:ptCount val="9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1.7032172525374863E-2</c:v>
                  </c:pt>
                  <c:pt idx="3">
                    <c:v>1.1212888252977503E-2</c:v>
                  </c:pt>
                  <c:pt idx="4">
                    <c:v>6.8403579101654613E-3</c:v>
                  </c:pt>
                  <c:pt idx="5">
                    <c:v>1.3464239658961622E-2</c:v>
                  </c:pt>
                  <c:pt idx="6">
                    <c:v>1.0035969403039715E-2</c:v>
                  </c:pt>
                  <c:pt idx="7">
                    <c:v>1.1021667854435096E-3</c:v>
                  </c:pt>
                  <c:pt idx="8">
                    <c:v>1.1501557673897021E-2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Amph_Plots!$K$11:$K$19</c:f>
              <c:numCache>
                <c:formatCode>General</c:formatCode>
                <c:ptCount val="9"/>
                <c:pt idx="0">
                  <c:v>0.74223689475790322</c:v>
                </c:pt>
                <c:pt idx="1">
                  <c:v>0.65476190476190477</c:v>
                </c:pt>
                <c:pt idx="2">
                  <c:v>0.66631652661064422</c:v>
                </c:pt>
                <c:pt idx="3">
                  <c:v>0.63350840336134451</c:v>
                </c:pt>
                <c:pt idx="4">
                  <c:v>0.52261904761904765</c:v>
                </c:pt>
                <c:pt idx="5">
                  <c:v>0.42310924369747893</c:v>
                </c:pt>
                <c:pt idx="6">
                  <c:v>0.39691876750700278</c:v>
                </c:pt>
                <c:pt idx="7">
                  <c:v>0.39215686274509803</c:v>
                </c:pt>
                <c:pt idx="8">
                  <c:v>0.40535714285714286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60-4D98-85D7-FB4FD60F9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POmission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Amph_Plots!$A$2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Amph_Plots!$F$2:$F$10</c:f>
                <c:numCache>
                  <c:formatCode>General</c:formatCode>
                  <c:ptCount val="9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1.4262443484399593E-2</c:v>
                  </c:pt>
                  <c:pt idx="3">
                    <c:v>1.3464239658961626E-2</c:v>
                  </c:pt>
                  <c:pt idx="4">
                    <c:v>8.4575831728447293E-3</c:v>
                  </c:pt>
                  <c:pt idx="5">
                    <c:v>1.8110448315611066E-2</c:v>
                  </c:pt>
                  <c:pt idx="6">
                    <c:v>1.984938933555503E-2</c:v>
                  </c:pt>
                  <c:pt idx="7">
                    <c:v>1.0372405807135296E-2</c:v>
                  </c:pt>
                  <c:pt idx="8">
                    <c:v>1.2331976231642682E-2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Amph_Plots!$N$2:$N$10</c:f>
              <c:numCache>
                <c:formatCode>General</c:formatCode>
                <c:ptCount val="9"/>
                <c:pt idx="0">
                  <c:v>0.15476190476190474</c:v>
                </c:pt>
                <c:pt idx="1">
                  <c:v>0.14546318527410965</c:v>
                </c:pt>
                <c:pt idx="2">
                  <c:v>0.11808223289315725</c:v>
                </c:pt>
                <c:pt idx="3">
                  <c:v>0.16323529411764706</c:v>
                </c:pt>
                <c:pt idx="4">
                  <c:v>0.19842436974789915</c:v>
                </c:pt>
                <c:pt idx="5">
                  <c:v>0.16428571428571428</c:v>
                </c:pt>
                <c:pt idx="6">
                  <c:v>0.17299919967987193</c:v>
                </c:pt>
                <c:pt idx="7">
                  <c:v>0.15259103641456581</c:v>
                </c:pt>
                <c:pt idx="8">
                  <c:v>0.17216386554621849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C-46E3-910A-BF59D77FDD37}"/>
            </c:ext>
          </c:extLst>
        </c:ser>
        <c:ser>
          <c:idx val="1"/>
          <c:order val="1"/>
          <c:tx>
            <c:strRef>
              <c:f>Amph_Plots!$A$11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Amph_Plots!$F$11:$F$19</c:f>
                <c:numCache>
                  <c:formatCode>General</c:formatCode>
                  <c:ptCount val="9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1.7032172525374863E-2</c:v>
                  </c:pt>
                  <c:pt idx="3">
                    <c:v>1.1212888252977503E-2</c:v>
                  </c:pt>
                  <c:pt idx="4">
                    <c:v>6.8403579101654613E-3</c:v>
                  </c:pt>
                  <c:pt idx="5">
                    <c:v>1.3464239658961622E-2</c:v>
                  </c:pt>
                  <c:pt idx="6">
                    <c:v>1.0035969403039715E-2</c:v>
                  </c:pt>
                  <c:pt idx="7">
                    <c:v>1.1021667854435096E-3</c:v>
                  </c:pt>
                  <c:pt idx="8">
                    <c:v>1.1501557673897021E-2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Amph_Plots!$N$11:$N$19</c:f>
              <c:numCache>
                <c:formatCode>General</c:formatCode>
                <c:ptCount val="9"/>
                <c:pt idx="0">
                  <c:v>0.1465986394557823</c:v>
                </c:pt>
                <c:pt idx="1">
                  <c:v>0.12633053221288515</c:v>
                </c:pt>
                <c:pt idx="2">
                  <c:v>0.14719387755102042</c:v>
                </c:pt>
                <c:pt idx="3">
                  <c:v>0.17142857142857143</c:v>
                </c:pt>
                <c:pt idx="4">
                  <c:v>0.18311824729891954</c:v>
                </c:pt>
                <c:pt idx="5">
                  <c:v>0.16323529411764706</c:v>
                </c:pt>
                <c:pt idx="6">
                  <c:v>0.1465986394557823</c:v>
                </c:pt>
                <c:pt idx="7">
                  <c:v>0.12619047619047619</c:v>
                </c:pt>
                <c:pt idx="8">
                  <c:v>0.14733393357342936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AC-46E3-910A-BF59D77FD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PInhibition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Amph_Plots!$A$2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Amph_Plots!$F$2:$F$10</c:f>
                <c:numCache>
                  <c:formatCode>General</c:formatCode>
                  <c:ptCount val="9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1.4262443484399593E-2</c:v>
                  </c:pt>
                  <c:pt idx="3">
                    <c:v>1.3464239658961626E-2</c:v>
                  </c:pt>
                  <c:pt idx="4">
                    <c:v>8.4575831728447293E-3</c:v>
                  </c:pt>
                  <c:pt idx="5">
                    <c:v>1.8110448315611066E-2</c:v>
                  </c:pt>
                  <c:pt idx="6">
                    <c:v>1.984938933555503E-2</c:v>
                  </c:pt>
                  <c:pt idx="7">
                    <c:v>1.0372405807135296E-2</c:v>
                  </c:pt>
                  <c:pt idx="8">
                    <c:v>1.2331976231642682E-2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Amph_Plots!$Q$2:$Q$10</c:f>
              <c:numCache>
                <c:formatCode>General</c:formatCode>
                <c:ptCount val="9"/>
                <c:pt idx="0">
                  <c:v>0.74835044157523156</c:v>
                </c:pt>
                <c:pt idx="1">
                  <c:v>0.72626896912611194</c:v>
                </c:pt>
                <c:pt idx="2">
                  <c:v>0.72232775161346585</c:v>
                </c:pt>
                <c:pt idx="3">
                  <c:v>0.54585026318219587</c:v>
                </c:pt>
                <c:pt idx="4">
                  <c:v>0.41461565395388922</c:v>
                </c:pt>
                <c:pt idx="5">
                  <c:v>0.69407378335949765</c:v>
                </c:pt>
                <c:pt idx="6">
                  <c:v>0.72479886185243314</c:v>
                </c:pt>
                <c:pt idx="7">
                  <c:v>0.61744890263797825</c:v>
                </c:pt>
                <c:pt idx="8">
                  <c:v>0.38816103364422688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F6-4233-A327-98C33A5D89F5}"/>
            </c:ext>
          </c:extLst>
        </c:ser>
        <c:ser>
          <c:idx val="1"/>
          <c:order val="1"/>
          <c:tx>
            <c:strRef>
              <c:f>Amph_Plots!$A$11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Amph_Plots!$F$11:$F$19</c:f>
                <c:numCache>
                  <c:formatCode>General</c:formatCode>
                  <c:ptCount val="9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1.7032172525374863E-2</c:v>
                  </c:pt>
                  <c:pt idx="3">
                    <c:v>1.1212888252977503E-2</c:v>
                  </c:pt>
                  <c:pt idx="4">
                    <c:v>6.8403579101654613E-3</c:v>
                  </c:pt>
                  <c:pt idx="5">
                    <c:v>1.3464239658961622E-2</c:v>
                  </c:pt>
                  <c:pt idx="6">
                    <c:v>1.0035969403039715E-2</c:v>
                  </c:pt>
                  <c:pt idx="7">
                    <c:v>1.1021667854435096E-3</c:v>
                  </c:pt>
                  <c:pt idx="8">
                    <c:v>1.1501557673897021E-2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Amph_Plots!$Q$11:$Q$19</c:f>
              <c:numCache>
                <c:formatCode>General</c:formatCode>
                <c:ptCount val="9"/>
                <c:pt idx="0">
                  <c:v>0.69786519003205683</c:v>
                </c:pt>
                <c:pt idx="1">
                  <c:v>0.60467687074829934</c:v>
                </c:pt>
                <c:pt idx="2">
                  <c:v>0.60741097721139747</c:v>
                </c:pt>
                <c:pt idx="3">
                  <c:v>0.55780802705697663</c:v>
                </c:pt>
                <c:pt idx="4">
                  <c:v>0.41498233908948196</c:v>
                </c:pt>
                <c:pt idx="5">
                  <c:v>0.30984128266691291</c:v>
                </c:pt>
                <c:pt idx="6">
                  <c:v>0.29195870655954692</c:v>
                </c:pt>
                <c:pt idx="7">
                  <c:v>0.30443908332563796</c:v>
                </c:pt>
                <c:pt idx="8">
                  <c:v>0.30090266875981164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F6-4233-A327-98C33A5D8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Incorrect NoGo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9106198096406137E-2"/>
          <c:y val="8.2854253921619769E-2"/>
          <c:w val="0.77397021312683889"/>
          <c:h val="0.855874677219914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Amph_Plots!$AJ$101</c:f>
              <c:strCache>
                <c:ptCount val="1"/>
                <c:pt idx="0">
                  <c:v>Hcrt-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Amph_Plots!$F$2:$F$10</c:f>
                <c:numCache>
                  <c:formatCode>General</c:formatCode>
                  <c:ptCount val="9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1.4262443484399593E-2</c:v>
                  </c:pt>
                  <c:pt idx="3">
                    <c:v>1.3464239658961626E-2</c:v>
                  </c:pt>
                  <c:pt idx="4">
                    <c:v>8.4575831728447293E-3</c:v>
                  </c:pt>
                  <c:pt idx="5">
                    <c:v>1.8110448315611066E-2</c:v>
                  </c:pt>
                  <c:pt idx="6">
                    <c:v>1.984938933555503E-2</c:v>
                  </c:pt>
                  <c:pt idx="7">
                    <c:v>1.0372405807135296E-2</c:v>
                  </c:pt>
                  <c:pt idx="8">
                    <c:v>1.2331976231642682E-2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Amph_Plots!$H$2:$H$10</c:f>
              <c:numCache>
                <c:formatCode>General</c:formatCode>
                <c:ptCount val="9"/>
                <c:pt idx="0">
                  <c:v>0.21065426170468185</c:v>
                </c:pt>
                <c:pt idx="1">
                  <c:v>0.23333333333333334</c:v>
                </c:pt>
                <c:pt idx="2">
                  <c:v>0.24523809523809523</c:v>
                </c:pt>
                <c:pt idx="3">
                  <c:v>0.37899159663865545</c:v>
                </c:pt>
                <c:pt idx="4">
                  <c:v>0.46841736694677871</c:v>
                </c:pt>
                <c:pt idx="5">
                  <c:v>0.25476190476190474</c:v>
                </c:pt>
                <c:pt idx="6">
                  <c:v>0.22738095238095238</c:v>
                </c:pt>
                <c:pt idx="7">
                  <c:v>0.32422969187675071</c:v>
                </c:pt>
                <c:pt idx="8">
                  <c:v>0.50479691876750699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4-4B9B-B447-93EA849FA665}"/>
            </c:ext>
          </c:extLst>
        </c:ser>
        <c:ser>
          <c:idx val="1"/>
          <c:order val="1"/>
          <c:tx>
            <c:strRef>
              <c:f>Amph_Plots!$AJ$100</c:f>
              <c:strCache>
                <c:ptCount val="1"/>
                <c:pt idx="0">
                  <c:v>Hcrt+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Amph_Plots!$F$11:$F$19</c:f>
                <c:numCache>
                  <c:formatCode>General</c:formatCode>
                  <c:ptCount val="9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1.7032172525374863E-2</c:v>
                  </c:pt>
                  <c:pt idx="3">
                    <c:v>1.1212888252977503E-2</c:v>
                  </c:pt>
                  <c:pt idx="4">
                    <c:v>6.8403579101654613E-3</c:v>
                  </c:pt>
                  <c:pt idx="5">
                    <c:v>1.3464239658961622E-2</c:v>
                  </c:pt>
                  <c:pt idx="6">
                    <c:v>1.0035969403039715E-2</c:v>
                  </c:pt>
                  <c:pt idx="7">
                    <c:v>1.1021667854435096E-3</c:v>
                  </c:pt>
                  <c:pt idx="8">
                    <c:v>1.1501557673897021E-2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Amph_Plots!$C$2:$C$10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Amph 1</c:v>
                </c:pt>
                <c:pt idx="4">
                  <c:v>Amph 2.5</c:v>
                </c:pt>
                <c:pt idx="5">
                  <c:v>NoTreatment</c:v>
                </c:pt>
                <c:pt idx="6">
                  <c:v>Ctrl-IP</c:v>
                </c:pt>
                <c:pt idx="7">
                  <c:v>Amph 1</c:v>
                </c:pt>
                <c:pt idx="8">
                  <c:v>Amph 2.5</c:v>
                </c:pt>
              </c:strCache>
            </c:strRef>
          </c:cat>
          <c:val>
            <c:numRef>
              <c:f>Amph_Plots!$H$11:$H$19</c:f>
              <c:numCache>
                <c:formatCode>General</c:formatCode>
                <c:ptCount val="9"/>
                <c:pt idx="0">
                  <c:v>0.25776310524209683</c:v>
                </c:pt>
                <c:pt idx="1">
                  <c:v>0.34523809523809523</c:v>
                </c:pt>
                <c:pt idx="2">
                  <c:v>0.33368347338935578</c:v>
                </c:pt>
                <c:pt idx="3">
                  <c:v>0.36649159663865544</c:v>
                </c:pt>
                <c:pt idx="4">
                  <c:v>0.47738095238095241</c:v>
                </c:pt>
                <c:pt idx="5">
                  <c:v>0.57689075630252107</c:v>
                </c:pt>
                <c:pt idx="6">
                  <c:v>0.60308123249299717</c:v>
                </c:pt>
                <c:pt idx="7">
                  <c:v>0.60784313725490191</c:v>
                </c:pt>
                <c:pt idx="8">
                  <c:v>0.59464285714285714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74-4B9B-B447-93EA849FA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559768367810697"/>
          <c:y val="0.36109475466533258"/>
          <c:w val="7.3587624247880359E-2"/>
          <c:h val="0.11077119891806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Correct Go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Atom_Plots!$A$2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Atom_Plots!$F$2:$F$10</c:f>
                <c:numCache>
                  <c:formatCode>General</c:formatCode>
                  <c:ptCount val="9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1.4262443484399593E-2</c:v>
                  </c:pt>
                  <c:pt idx="3">
                    <c:v>1.107107168022506E-2</c:v>
                  </c:pt>
                  <c:pt idx="4">
                    <c:v>1.7532513609665457E-2</c:v>
                  </c:pt>
                  <c:pt idx="5">
                    <c:v>1.8110448315611066E-2</c:v>
                  </c:pt>
                  <c:pt idx="6">
                    <c:v>1.984938933555503E-2</c:v>
                  </c:pt>
                  <c:pt idx="7">
                    <c:v>1.1896134380387875E-2</c:v>
                  </c:pt>
                  <c:pt idx="8">
                    <c:v>1.7670567920846578E-2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Atom_Plots!$E$2:$E$10</c:f>
              <c:numCache>
                <c:formatCode>General</c:formatCode>
                <c:ptCount val="9"/>
                <c:pt idx="0">
                  <c:v>0.84523809523809523</c:v>
                </c:pt>
                <c:pt idx="1">
                  <c:v>0.85453681472589038</c:v>
                </c:pt>
                <c:pt idx="2">
                  <c:v>0.88191776710684289</c:v>
                </c:pt>
                <c:pt idx="3">
                  <c:v>0.89977490996398568</c:v>
                </c:pt>
                <c:pt idx="4">
                  <c:v>0.88778511404561833</c:v>
                </c:pt>
                <c:pt idx="5">
                  <c:v>0.83571428571428563</c:v>
                </c:pt>
                <c:pt idx="6">
                  <c:v>0.82700080032012802</c:v>
                </c:pt>
                <c:pt idx="7">
                  <c:v>0.87164365746298511</c:v>
                </c:pt>
                <c:pt idx="8">
                  <c:v>0.90623749499799922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99-4F2A-83AA-02B314290088}"/>
            </c:ext>
          </c:extLst>
        </c:ser>
        <c:ser>
          <c:idx val="1"/>
          <c:order val="1"/>
          <c:tx>
            <c:strRef>
              <c:f>Atom_Plots!$A$11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Atom_Plots!$F$11:$F$19</c:f>
                <c:numCache>
                  <c:formatCode>General</c:formatCode>
                  <c:ptCount val="9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1.7032172525374863E-2</c:v>
                  </c:pt>
                  <c:pt idx="3">
                    <c:v>1.152953914731703E-2</c:v>
                  </c:pt>
                  <c:pt idx="4">
                    <c:v>1.1879681346013179E-2</c:v>
                  </c:pt>
                  <c:pt idx="5">
                    <c:v>1.3464239658961622E-2</c:v>
                  </c:pt>
                  <c:pt idx="6">
                    <c:v>1.0035969403039715E-2</c:v>
                  </c:pt>
                  <c:pt idx="7">
                    <c:v>1.1634002249900037E-2</c:v>
                  </c:pt>
                  <c:pt idx="8">
                    <c:v>1.1595580816948618E-2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Atom_Plots!$E$11:$E$19</c:f>
              <c:numCache>
                <c:formatCode>General</c:formatCode>
                <c:ptCount val="9"/>
                <c:pt idx="0">
                  <c:v>0.85340136054421767</c:v>
                </c:pt>
                <c:pt idx="1">
                  <c:v>0.87366946778711474</c:v>
                </c:pt>
                <c:pt idx="2">
                  <c:v>0.85280612244897969</c:v>
                </c:pt>
                <c:pt idx="3">
                  <c:v>0.83788515406162467</c:v>
                </c:pt>
                <c:pt idx="4">
                  <c:v>0.85521708683473385</c:v>
                </c:pt>
                <c:pt idx="5">
                  <c:v>0.83676470588235285</c:v>
                </c:pt>
                <c:pt idx="6">
                  <c:v>0.85340136054421767</c:v>
                </c:pt>
                <c:pt idx="7">
                  <c:v>0.89100140056022403</c:v>
                </c:pt>
                <c:pt idx="8">
                  <c:v>0.90105042016806725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99-4F2A-83AA-02B314290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Incorrect NoGo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Atom_Plots!$A$2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Atom_Plots!$I$2:$I$10</c:f>
                <c:numCache>
                  <c:formatCode>General</c:formatCode>
                  <c:ptCount val="9"/>
                  <c:pt idx="0">
                    <c:v>8.4124098392045835E-3</c:v>
                  </c:pt>
                  <c:pt idx="1">
                    <c:v>1.9938255029100259E-2</c:v>
                  </c:pt>
                  <c:pt idx="2">
                    <c:v>1.4590706868391938E-2</c:v>
                  </c:pt>
                  <c:pt idx="3">
                    <c:v>8.4575831728447605E-3</c:v>
                  </c:pt>
                  <c:pt idx="4">
                    <c:v>8.3959175714667586E-3</c:v>
                  </c:pt>
                  <c:pt idx="5">
                    <c:v>2.8457824031771269E-3</c:v>
                  </c:pt>
                  <c:pt idx="6">
                    <c:v>1.1959906295644003E-2</c:v>
                  </c:pt>
                  <c:pt idx="7">
                    <c:v>1.1924826558005558E-2</c:v>
                  </c:pt>
                  <c:pt idx="8">
                    <c:v>1.2855406751416257E-2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Atom_Plots!$H$2:$H$10</c:f>
              <c:numCache>
                <c:formatCode>General</c:formatCode>
                <c:ptCount val="9"/>
                <c:pt idx="0">
                  <c:v>0.21065426170468185</c:v>
                </c:pt>
                <c:pt idx="1">
                  <c:v>0.23333333333333334</c:v>
                </c:pt>
                <c:pt idx="2">
                  <c:v>0.24523809523809523</c:v>
                </c:pt>
                <c:pt idx="3">
                  <c:v>0.19842436974789915</c:v>
                </c:pt>
                <c:pt idx="4">
                  <c:v>0.13406862745098039</c:v>
                </c:pt>
                <c:pt idx="5">
                  <c:v>0.25476190476190474</c:v>
                </c:pt>
                <c:pt idx="6">
                  <c:v>0.22738095238095238</c:v>
                </c:pt>
                <c:pt idx="7">
                  <c:v>0.23480392156862745</c:v>
                </c:pt>
                <c:pt idx="8">
                  <c:v>0.16144957983193278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0-4C2C-8F0B-1E4132743998}"/>
            </c:ext>
          </c:extLst>
        </c:ser>
        <c:ser>
          <c:idx val="1"/>
          <c:order val="1"/>
          <c:tx>
            <c:strRef>
              <c:f>Atom_Plots!$A$11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Atom_Plots!$I$11:$I$19</c:f>
                <c:numCache>
                  <c:formatCode>General</c:formatCode>
                  <c:ptCount val="9"/>
                  <c:pt idx="0">
                    <c:v>5.7595849383062277E-3</c:v>
                  </c:pt>
                  <c:pt idx="1">
                    <c:v>2.0558192863497641E-2</c:v>
                  </c:pt>
                  <c:pt idx="2">
                    <c:v>1.0951926157443566E-2</c:v>
                  </c:pt>
                  <c:pt idx="3">
                    <c:v>2.0568856180721677E-2</c:v>
                  </c:pt>
                  <c:pt idx="4">
                    <c:v>1.2094575213502842E-2</c:v>
                  </c:pt>
                  <c:pt idx="5">
                    <c:v>6.4288068125350562E-3</c:v>
                  </c:pt>
                  <c:pt idx="6">
                    <c:v>1.1966274711609378E-2</c:v>
                  </c:pt>
                  <c:pt idx="7">
                    <c:v>1.2796621687802308E-2</c:v>
                  </c:pt>
                  <c:pt idx="8">
                    <c:v>4.2686736047656947E-3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Atom_Plots!$H$11:$H$19</c:f>
              <c:numCache>
                <c:formatCode>General</c:formatCode>
                <c:ptCount val="9"/>
                <c:pt idx="0">
                  <c:v>0.25776310524209683</c:v>
                </c:pt>
                <c:pt idx="1">
                  <c:v>0.34523809523809523</c:v>
                </c:pt>
                <c:pt idx="2">
                  <c:v>0.33368347338935578</c:v>
                </c:pt>
                <c:pt idx="3">
                  <c:v>0.27654061624649862</c:v>
                </c:pt>
                <c:pt idx="4">
                  <c:v>0.2369047619047619</c:v>
                </c:pt>
                <c:pt idx="5">
                  <c:v>0.57689075630252107</c:v>
                </c:pt>
                <c:pt idx="6">
                  <c:v>0.60308123249299717</c:v>
                </c:pt>
                <c:pt idx="7">
                  <c:v>0.46477591036414567</c:v>
                </c:pt>
                <c:pt idx="8">
                  <c:v>0.38214285714285712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70-4C2C-8F0B-1E4132743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P-NoGo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Atom_Plots!$A$2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Atom_Plots!$L$2:$L$10</c:f>
                <c:numCache>
                  <c:formatCode>General</c:formatCode>
                  <c:ptCount val="9"/>
                  <c:pt idx="0">
                    <c:v>8.4124098392045609E-3</c:v>
                  </c:pt>
                  <c:pt idx="1">
                    <c:v>1.9938255029100269E-2</c:v>
                  </c:pt>
                  <c:pt idx="2">
                    <c:v>1.4590706868391923E-2</c:v>
                  </c:pt>
                  <c:pt idx="3">
                    <c:v>8.4575831728447293E-3</c:v>
                  </c:pt>
                  <c:pt idx="4">
                    <c:v>8.3959175714667655E-3</c:v>
                  </c:pt>
                  <c:pt idx="5">
                    <c:v>2.8457824031771365E-3</c:v>
                  </c:pt>
                  <c:pt idx="6">
                    <c:v>1.1959906295643927E-2</c:v>
                  </c:pt>
                  <c:pt idx="7">
                    <c:v>1.1924826558005478E-2</c:v>
                  </c:pt>
                  <c:pt idx="8">
                    <c:v>1.2855406751416233E-2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Atom_Plots!$K$2:$K$10</c:f>
              <c:numCache>
                <c:formatCode>General</c:formatCode>
                <c:ptCount val="9"/>
                <c:pt idx="0">
                  <c:v>0.78934573829531807</c:v>
                </c:pt>
                <c:pt idx="1">
                  <c:v>0.76666666666666672</c:v>
                </c:pt>
                <c:pt idx="2">
                  <c:v>0.75476190476190474</c:v>
                </c:pt>
                <c:pt idx="3">
                  <c:v>0.80157563025210077</c:v>
                </c:pt>
                <c:pt idx="4">
                  <c:v>0.86593137254901964</c:v>
                </c:pt>
                <c:pt idx="5">
                  <c:v>0.74523809523809526</c:v>
                </c:pt>
                <c:pt idx="6">
                  <c:v>0.77261904761904765</c:v>
                </c:pt>
                <c:pt idx="7">
                  <c:v>0.76519607843137261</c:v>
                </c:pt>
                <c:pt idx="8">
                  <c:v>0.83855042016806725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74-4EF6-B766-A9DFF0B8D92E}"/>
            </c:ext>
          </c:extLst>
        </c:ser>
        <c:ser>
          <c:idx val="1"/>
          <c:order val="1"/>
          <c:tx>
            <c:strRef>
              <c:f>Atom_Plots!$A$11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Atom_Plots!$L$11:$L$19</c:f>
                <c:numCache>
                  <c:formatCode>General</c:formatCode>
                  <c:ptCount val="9"/>
                  <c:pt idx="0">
                    <c:v>5.7595849383062269E-3</c:v>
                  </c:pt>
                  <c:pt idx="1">
                    <c:v>2.0558192863497589E-2</c:v>
                  </c:pt>
                  <c:pt idx="2">
                    <c:v>1.0951926157443571E-2</c:v>
                  </c:pt>
                  <c:pt idx="3">
                    <c:v>2.0568856180721653E-2</c:v>
                  </c:pt>
                  <c:pt idx="4">
                    <c:v>1.2094575213502797E-2</c:v>
                  </c:pt>
                  <c:pt idx="5">
                    <c:v>6.4288068125350562E-3</c:v>
                  </c:pt>
                  <c:pt idx="6">
                    <c:v>1.1966274711609378E-2</c:v>
                  </c:pt>
                  <c:pt idx="7">
                    <c:v>1.2796621687802308E-2</c:v>
                  </c:pt>
                  <c:pt idx="8">
                    <c:v>4.2686736047656947E-3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Atom_Plots!$K$11:$K$19</c:f>
              <c:numCache>
                <c:formatCode>General</c:formatCode>
                <c:ptCount val="9"/>
                <c:pt idx="0">
                  <c:v>0.74223689475790322</c:v>
                </c:pt>
                <c:pt idx="1">
                  <c:v>0.65476190476190477</c:v>
                </c:pt>
                <c:pt idx="2">
                  <c:v>0.66631652661064422</c:v>
                </c:pt>
                <c:pt idx="3">
                  <c:v>0.72345938375350138</c:v>
                </c:pt>
                <c:pt idx="4">
                  <c:v>0.76309523809523816</c:v>
                </c:pt>
                <c:pt idx="5">
                  <c:v>0.42310924369747893</c:v>
                </c:pt>
                <c:pt idx="6">
                  <c:v>0.39691876750700278</c:v>
                </c:pt>
                <c:pt idx="7">
                  <c:v>0.53522408963585433</c:v>
                </c:pt>
                <c:pt idx="8">
                  <c:v>0.61785714285714288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74-4EF6-B766-A9DFF0B8D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POmission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Atom_Plots!$A$2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Atom_Plots!$O$2:$O$10</c:f>
                <c:numCache>
                  <c:formatCode>General</c:formatCode>
                  <c:ptCount val="9"/>
                  <c:pt idx="0">
                    <c:v>2.7256817099457202E-2</c:v>
                  </c:pt>
                  <c:pt idx="1">
                    <c:v>2.0032070680194681E-2</c:v>
                  </c:pt>
                  <c:pt idx="2">
                    <c:v>1.4262443484399617E-2</c:v>
                  </c:pt>
                  <c:pt idx="3">
                    <c:v>1.1071071680225067E-2</c:v>
                  </c:pt>
                  <c:pt idx="4">
                    <c:v>1.7532513609665467E-2</c:v>
                  </c:pt>
                  <c:pt idx="5">
                    <c:v>1.8110448315611091E-2</c:v>
                  </c:pt>
                  <c:pt idx="6">
                    <c:v>1.9849389335555058E-2</c:v>
                  </c:pt>
                  <c:pt idx="7">
                    <c:v>1.1896134380387885E-2</c:v>
                  </c:pt>
                  <c:pt idx="8">
                    <c:v>1.7670567920846605E-2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Atom_Plots!$N$2:$N$10</c:f>
              <c:numCache>
                <c:formatCode>General</c:formatCode>
                <c:ptCount val="9"/>
                <c:pt idx="0">
                  <c:v>0.15476190476190474</c:v>
                </c:pt>
                <c:pt idx="1">
                  <c:v>0.14546318527410965</c:v>
                </c:pt>
                <c:pt idx="2">
                  <c:v>0.11808223289315725</c:v>
                </c:pt>
                <c:pt idx="3">
                  <c:v>0.1002250900360144</c:v>
                </c:pt>
                <c:pt idx="4">
                  <c:v>0.11221488595438175</c:v>
                </c:pt>
                <c:pt idx="5">
                  <c:v>0.16428571428571428</c:v>
                </c:pt>
                <c:pt idx="6">
                  <c:v>0.17299919967987193</c:v>
                </c:pt>
                <c:pt idx="7">
                  <c:v>0.12835634253701481</c:v>
                </c:pt>
                <c:pt idx="8">
                  <c:v>9.3762505002000784E-2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B-4443-A43E-60A5AFDDE845}"/>
            </c:ext>
          </c:extLst>
        </c:ser>
        <c:ser>
          <c:idx val="1"/>
          <c:order val="1"/>
          <c:tx>
            <c:strRef>
              <c:f>Atom_Plots!$A$11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Atom_Plots!$O$11:$O$19</c:f>
                <c:numCache>
                  <c:formatCode>General</c:formatCode>
                  <c:ptCount val="9"/>
                  <c:pt idx="0">
                    <c:v>1.0035969403039744E-2</c:v>
                  </c:pt>
                  <c:pt idx="1">
                    <c:v>1.919621673221852E-3</c:v>
                  </c:pt>
                  <c:pt idx="2">
                    <c:v>1.7032172525374853E-2</c:v>
                  </c:pt>
                  <c:pt idx="3">
                    <c:v>1.1529539147317074E-2</c:v>
                  </c:pt>
                  <c:pt idx="4">
                    <c:v>1.1879681346013228E-2</c:v>
                  </c:pt>
                  <c:pt idx="5">
                    <c:v>1.3464239658961636E-2</c:v>
                  </c:pt>
                  <c:pt idx="6">
                    <c:v>1.0035969403039744E-2</c:v>
                  </c:pt>
                  <c:pt idx="7">
                    <c:v>1.1634002249900044E-2</c:v>
                  </c:pt>
                  <c:pt idx="8">
                    <c:v>1.1595580816948616E-2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Atom_Plots!$N$11:$N$19</c:f>
              <c:numCache>
                <c:formatCode>General</c:formatCode>
                <c:ptCount val="9"/>
                <c:pt idx="0">
                  <c:v>0.1465986394557823</c:v>
                </c:pt>
                <c:pt idx="1">
                  <c:v>0.12633053221288515</c:v>
                </c:pt>
                <c:pt idx="2">
                  <c:v>0.14719387755102042</c:v>
                </c:pt>
                <c:pt idx="3">
                  <c:v>0.16211484593837536</c:v>
                </c:pt>
                <c:pt idx="4">
                  <c:v>0.14478291316526609</c:v>
                </c:pt>
                <c:pt idx="5">
                  <c:v>0.16323529411764706</c:v>
                </c:pt>
                <c:pt idx="6">
                  <c:v>0.1465986394557823</c:v>
                </c:pt>
                <c:pt idx="7">
                  <c:v>0.1089985994397759</c:v>
                </c:pt>
                <c:pt idx="8">
                  <c:v>9.8949579831932769E-2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FB-4443-A43E-60A5AFDDE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PInhibition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Atom_Plots!$A$2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Atom_Plots!$R$2:$R$10</c:f>
                <c:numCache>
                  <c:formatCode>General</c:formatCode>
                  <c:ptCount val="9"/>
                  <c:pt idx="0">
                    <c:v>1.4205953685936018E-2</c:v>
                  </c:pt>
                  <c:pt idx="1">
                    <c:v>2.3498810933594579E-2</c:v>
                  </c:pt>
                  <c:pt idx="2">
                    <c:v>1.4660397537687808E-2</c:v>
                  </c:pt>
                  <c:pt idx="3">
                    <c:v>1.1553654842738008E-2</c:v>
                  </c:pt>
                  <c:pt idx="4">
                    <c:v>1.0213320701104285E-2</c:v>
                  </c:pt>
                  <c:pt idx="5">
                    <c:v>7.8663355961370359E-3</c:v>
                  </c:pt>
                  <c:pt idx="6">
                    <c:v>1.3926754531566048E-2</c:v>
                  </c:pt>
                  <c:pt idx="7">
                    <c:v>1.1680824848776311E-2</c:v>
                  </c:pt>
                  <c:pt idx="8">
                    <c:v>1.6192976759246573E-2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Atom_Plots!$Q$2:$Q$10</c:f>
              <c:numCache>
                <c:formatCode>General</c:formatCode>
                <c:ptCount val="9"/>
                <c:pt idx="0">
                  <c:v>0.74835044157523156</c:v>
                </c:pt>
                <c:pt idx="1">
                  <c:v>0.72626896912611194</c:v>
                </c:pt>
                <c:pt idx="2">
                  <c:v>0.72232775161346585</c:v>
                </c:pt>
                <c:pt idx="3">
                  <c:v>0.77870821405485269</c:v>
                </c:pt>
                <c:pt idx="4">
                  <c:v>0.84846913124224044</c:v>
                </c:pt>
                <c:pt idx="5">
                  <c:v>0.69407378335949765</c:v>
                </c:pt>
                <c:pt idx="6">
                  <c:v>0.72479886185243314</c:v>
                </c:pt>
                <c:pt idx="7">
                  <c:v>0.7311547567745047</c:v>
                </c:pt>
                <c:pt idx="8">
                  <c:v>0.82040691276510613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66-439D-95B1-C38E379C532C}"/>
            </c:ext>
          </c:extLst>
        </c:ser>
        <c:ser>
          <c:idx val="1"/>
          <c:order val="1"/>
          <c:tx>
            <c:strRef>
              <c:f>Atom_Plots!$A$11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Atom_Plots!$R$11:$R$19</c:f>
                <c:numCache>
                  <c:formatCode>General</c:formatCode>
                  <c:ptCount val="9"/>
                  <c:pt idx="0">
                    <c:v>6.2406601270252682E-3</c:v>
                  </c:pt>
                  <c:pt idx="1">
                    <c:v>2.3968052833813029E-2</c:v>
                  </c:pt>
                  <c:pt idx="2">
                    <c:v>1.6060253654955722E-2</c:v>
                  </c:pt>
                  <c:pt idx="3">
                    <c:v>2.4062057697461357E-2</c:v>
                  </c:pt>
                  <c:pt idx="4">
                    <c:v>1.3096706739034425E-2</c:v>
                  </c:pt>
                  <c:pt idx="5">
                    <c:v>8.858601539260106E-3</c:v>
                  </c:pt>
                  <c:pt idx="6">
                    <c:v>1.9995090127037783E-2</c:v>
                  </c:pt>
                  <c:pt idx="7">
                    <c:v>1.9793868448012984E-2</c:v>
                  </c:pt>
                  <c:pt idx="8">
                    <c:v>6.806901313957457E-3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Atom_Plots!$C$2:$C$10</c:f>
              <c:strCache>
                <c:ptCount val="9"/>
                <c:pt idx="0">
                  <c:v>NoTreatment</c:v>
                </c:pt>
                <c:pt idx="1">
                  <c:v>NoTreatment</c:v>
                </c:pt>
                <c:pt idx="2">
                  <c:v>Ctrl-IP</c:v>
                </c:pt>
                <c:pt idx="3">
                  <c:v>Atom 1</c:v>
                </c:pt>
                <c:pt idx="4">
                  <c:v>Atom 5</c:v>
                </c:pt>
                <c:pt idx="5">
                  <c:v>NoTreatment</c:v>
                </c:pt>
                <c:pt idx="6">
                  <c:v>Ctrl-IP</c:v>
                </c:pt>
                <c:pt idx="7">
                  <c:v>Atom 1</c:v>
                </c:pt>
                <c:pt idx="8">
                  <c:v>Atom 5</c:v>
                </c:pt>
              </c:strCache>
            </c:strRef>
          </c:cat>
          <c:val>
            <c:numRef>
              <c:f>Atom_Plots!$Q$11:$Q$19</c:f>
              <c:numCache>
                <c:formatCode>General</c:formatCode>
                <c:ptCount val="9"/>
                <c:pt idx="0">
                  <c:v>0.69786519003205683</c:v>
                </c:pt>
                <c:pt idx="1">
                  <c:v>0.60467687074829934</c:v>
                </c:pt>
                <c:pt idx="2">
                  <c:v>0.60741097721139747</c:v>
                </c:pt>
                <c:pt idx="3">
                  <c:v>0.67020423554037012</c:v>
                </c:pt>
                <c:pt idx="4">
                  <c:v>0.72318975667189966</c:v>
                </c:pt>
                <c:pt idx="5">
                  <c:v>0.30984128266691291</c:v>
                </c:pt>
                <c:pt idx="6">
                  <c:v>0.29195870655954692</c:v>
                </c:pt>
                <c:pt idx="7">
                  <c:v>0.47676178644534734</c:v>
                </c:pt>
                <c:pt idx="8">
                  <c:v>0.57544871794871788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66-439D-95B1-C38E379C5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Correct Go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BI_Plots!$A$2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BI_Plots!$F$2:$F$12</c:f>
                <c:numCache>
                  <c:formatCode>General</c:formatCode>
                  <c:ptCount val="11"/>
                  <c:pt idx="0">
                    <c:v>2.7256817099457195E-2</c:v>
                  </c:pt>
                  <c:pt idx="1">
                    <c:v>2.0032070680194674E-2</c:v>
                  </c:pt>
                  <c:pt idx="2">
                    <c:v>1.6123744556237232E-2</c:v>
                  </c:pt>
                  <c:pt idx="3">
                    <c:v>1.0236424286283045E-2</c:v>
                  </c:pt>
                  <c:pt idx="4">
                    <c:v>8.2838177387966391E-3</c:v>
                  </c:pt>
                  <c:pt idx="5">
                    <c:v>1.4228912015885587E-3</c:v>
                  </c:pt>
                  <c:pt idx="6">
                    <c:v>1.8110448315611066E-2</c:v>
                  </c:pt>
                  <c:pt idx="7">
                    <c:v>1.9196216732218451E-3</c:v>
                  </c:pt>
                  <c:pt idx="8">
                    <c:v>8.6690605064005284E-3</c:v>
                  </c:pt>
                  <c:pt idx="9">
                    <c:v>1.8304284576557313E-2</c:v>
                  </c:pt>
                  <c:pt idx="10">
                    <c:v>8.9844484157580937E-3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BI_Plots!$E$2:$E$12</c:f>
              <c:numCache>
                <c:formatCode>General</c:formatCode>
                <c:ptCount val="11"/>
                <c:pt idx="0">
                  <c:v>0.84523809523809523</c:v>
                </c:pt>
                <c:pt idx="1">
                  <c:v>0.85453681472589038</c:v>
                </c:pt>
                <c:pt idx="2">
                  <c:v>0.84800420168067236</c:v>
                </c:pt>
                <c:pt idx="3">
                  <c:v>0.84328231292516997</c:v>
                </c:pt>
                <c:pt idx="4">
                  <c:v>0.86474089635854334</c:v>
                </c:pt>
                <c:pt idx="5">
                  <c:v>0.87261904761904763</c:v>
                </c:pt>
                <c:pt idx="6">
                  <c:v>0.83571428571428563</c:v>
                </c:pt>
                <c:pt idx="7">
                  <c:v>0.87366946778711474</c:v>
                </c:pt>
                <c:pt idx="8">
                  <c:v>0.83112745098039209</c:v>
                </c:pt>
                <c:pt idx="9">
                  <c:v>0.8355042016806723</c:v>
                </c:pt>
                <c:pt idx="10">
                  <c:v>0.8210084033613444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A-4D12-ACD3-F6D33A4CEBCD}"/>
            </c:ext>
          </c:extLst>
        </c:ser>
        <c:ser>
          <c:idx val="1"/>
          <c:order val="1"/>
          <c:tx>
            <c:strRef>
              <c:f>BI_Plots!$A$13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BI_Plots!$F$13:$F$23</c:f>
                <c:numCache>
                  <c:formatCode>General</c:formatCode>
                  <c:ptCount val="11"/>
                  <c:pt idx="0">
                    <c:v>1.0035969403039715E-2</c:v>
                  </c:pt>
                  <c:pt idx="1">
                    <c:v>1.9196216732218451E-3</c:v>
                  </c:pt>
                  <c:pt idx="2">
                    <c:v>1.6408642593537155E-2</c:v>
                  </c:pt>
                  <c:pt idx="3">
                    <c:v>1.7017722702298215E-2</c:v>
                  </c:pt>
                  <c:pt idx="4">
                    <c:v>1.152953914731703E-2</c:v>
                  </c:pt>
                  <c:pt idx="5">
                    <c:v>1.259616033631096E-2</c:v>
                  </c:pt>
                  <c:pt idx="6">
                    <c:v>1.3464239658961622E-2</c:v>
                  </c:pt>
                  <c:pt idx="7">
                    <c:v>9.6649347553569159E-3</c:v>
                  </c:pt>
                  <c:pt idx="8">
                    <c:v>1.1676182800149492E-2</c:v>
                  </c:pt>
                  <c:pt idx="9">
                    <c:v>8.6838969355456513E-3</c:v>
                  </c:pt>
                  <c:pt idx="10">
                    <c:v>1.2609167992194623E-2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BI_Plots!$E$13:$E$23</c:f>
              <c:numCache>
                <c:formatCode>General</c:formatCode>
                <c:ptCount val="11"/>
                <c:pt idx="0">
                  <c:v>0.85340136054421767</c:v>
                </c:pt>
                <c:pt idx="1">
                  <c:v>0.87366946778711474</c:v>
                </c:pt>
                <c:pt idx="2">
                  <c:v>0.89212184873949585</c:v>
                </c:pt>
                <c:pt idx="3">
                  <c:v>0.84688375350140055</c:v>
                </c:pt>
                <c:pt idx="4">
                  <c:v>0.83788515406162467</c:v>
                </c:pt>
                <c:pt idx="5">
                  <c:v>0.82762605042016812</c:v>
                </c:pt>
                <c:pt idx="6">
                  <c:v>0.83676470588235285</c:v>
                </c:pt>
                <c:pt idx="7">
                  <c:v>0.85738795518207289</c:v>
                </c:pt>
                <c:pt idx="8">
                  <c:v>0.90997899159663853</c:v>
                </c:pt>
                <c:pt idx="9">
                  <c:v>0.88259803921568625</c:v>
                </c:pt>
                <c:pt idx="10">
                  <c:v>0.84628851540616246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A-4D12-ACD3-F6D33A4CE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Incorrect NoGo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BI_Plots!$A$2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BI_Plots!$I$2:$I$12</c:f>
                <c:numCache>
                  <c:formatCode>General</c:formatCode>
                  <c:ptCount val="11"/>
                  <c:pt idx="0">
                    <c:v>8.4124098392045835E-3</c:v>
                  </c:pt>
                  <c:pt idx="1">
                    <c:v>1.9938255029100259E-2</c:v>
                  </c:pt>
                  <c:pt idx="2">
                    <c:v>2.1743145721500188E-2</c:v>
                  </c:pt>
                  <c:pt idx="3">
                    <c:v>8.0582000024999548E-3</c:v>
                  </c:pt>
                  <c:pt idx="4">
                    <c:v>9.4794051986861194E-3</c:v>
                  </c:pt>
                  <c:pt idx="5">
                    <c:v>1.036857215964369E-2</c:v>
                  </c:pt>
                  <c:pt idx="6">
                    <c:v>2.8457824031771269E-3</c:v>
                  </c:pt>
                  <c:pt idx="7">
                    <c:v>1.6035169477990746E-2</c:v>
                  </c:pt>
                  <c:pt idx="8">
                    <c:v>1.3063220923228463E-2</c:v>
                  </c:pt>
                  <c:pt idx="9">
                    <c:v>1.1533320974956475E-2</c:v>
                  </c:pt>
                  <c:pt idx="10">
                    <c:v>1.3464239658961661E-2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BI_Plots!$H$2:$H$12</c:f>
              <c:numCache>
                <c:formatCode>General</c:formatCode>
                <c:ptCount val="11"/>
                <c:pt idx="0">
                  <c:v>0.21065426170468185</c:v>
                </c:pt>
                <c:pt idx="1">
                  <c:v>0.23333333333333334</c:v>
                </c:pt>
                <c:pt idx="2">
                  <c:v>0.29796918767507002</c:v>
                </c:pt>
                <c:pt idx="3">
                  <c:v>0.27237394957983191</c:v>
                </c:pt>
                <c:pt idx="4">
                  <c:v>0.24373249299719887</c:v>
                </c:pt>
                <c:pt idx="5">
                  <c:v>0.20714285714285713</c:v>
                </c:pt>
                <c:pt idx="6">
                  <c:v>0.25476190476190474</c:v>
                </c:pt>
                <c:pt idx="7">
                  <c:v>0.27261904761904759</c:v>
                </c:pt>
                <c:pt idx="8">
                  <c:v>0.23532913165266106</c:v>
                </c:pt>
                <c:pt idx="9">
                  <c:v>0.21130952380952378</c:v>
                </c:pt>
                <c:pt idx="10">
                  <c:v>0.16323529411764706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A-445B-8911-52342B21EEE9}"/>
            </c:ext>
          </c:extLst>
        </c:ser>
        <c:ser>
          <c:idx val="1"/>
          <c:order val="1"/>
          <c:tx>
            <c:strRef>
              <c:f>BI_Plots!$A$13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BI_Plots!$I$13:$I$23</c:f>
                <c:numCache>
                  <c:formatCode>General</c:formatCode>
                  <c:ptCount val="11"/>
                  <c:pt idx="0">
                    <c:v>5.7595849383062277E-3</c:v>
                  </c:pt>
                  <c:pt idx="1">
                    <c:v>2.0558192863497641E-2</c:v>
                  </c:pt>
                  <c:pt idx="2">
                    <c:v>1.5971914124998692E-2</c:v>
                  </c:pt>
                  <c:pt idx="3">
                    <c:v>1.7992682888111722E-2</c:v>
                  </c:pt>
                  <c:pt idx="4">
                    <c:v>8.9030246768444631E-3</c:v>
                  </c:pt>
                  <c:pt idx="5">
                    <c:v>1.1924826558005558E-2</c:v>
                  </c:pt>
                  <c:pt idx="6">
                    <c:v>6.4288068125350562E-3</c:v>
                  </c:pt>
                  <c:pt idx="7">
                    <c:v>1.7487434041328759E-2</c:v>
                  </c:pt>
                  <c:pt idx="8">
                    <c:v>1.0928120604575486E-2</c:v>
                  </c:pt>
                  <c:pt idx="9">
                    <c:v>1.7128736612820574E-2</c:v>
                  </c:pt>
                  <c:pt idx="10">
                    <c:v>1.7865644234847589E-2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BI_Plots!$H$13:$H$23</c:f>
              <c:numCache>
                <c:formatCode>General</c:formatCode>
                <c:ptCount val="11"/>
                <c:pt idx="0">
                  <c:v>0.25776310524209683</c:v>
                </c:pt>
                <c:pt idx="1">
                  <c:v>0.34523809523809523</c:v>
                </c:pt>
                <c:pt idx="2">
                  <c:v>0.36666666666666664</c:v>
                </c:pt>
                <c:pt idx="3">
                  <c:v>0.25238095238095237</c:v>
                </c:pt>
                <c:pt idx="4">
                  <c:v>0.24345238095238095</c:v>
                </c:pt>
                <c:pt idx="5">
                  <c:v>0.23480392156862745</c:v>
                </c:pt>
                <c:pt idx="6">
                  <c:v>0.57689075630252107</c:v>
                </c:pt>
                <c:pt idx="7">
                  <c:v>0.56796218487394967</c:v>
                </c:pt>
                <c:pt idx="8">
                  <c:v>0.43746498599439781</c:v>
                </c:pt>
                <c:pt idx="9">
                  <c:v>0.33375350140056026</c:v>
                </c:pt>
                <c:pt idx="10">
                  <c:v>0.2255952380952381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A-445B-8911-52342B21E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P-NoGo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BI_Plots!$A$2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BI_Plots!$L$2:$L$12</c:f>
                <c:numCache>
                  <c:formatCode>General</c:formatCode>
                  <c:ptCount val="11"/>
                  <c:pt idx="0">
                    <c:v>8.4124098392045609E-3</c:v>
                  </c:pt>
                  <c:pt idx="1">
                    <c:v>1.9938255029100269E-2</c:v>
                  </c:pt>
                  <c:pt idx="2">
                    <c:v>2.1743145721500181E-2</c:v>
                  </c:pt>
                  <c:pt idx="3">
                    <c:v>8.0582000024999496E-3</c:v>
                  </c:pt>
                  <c:pt idx="4">
                    <c:v>9.4794051986861038E-3</c:v>
                  </c:pt>
                  <c:pt idx="5">
                    <c:v>1.0368572159643662E-2</c:v>
                  </c:pt>
                  <c:pt idx="6">
                    <c:v>2.8457824031771365E-3</c:v>
                  </c:pt>
                  <c:pt idx="7">
                    <c:v>1.6035169477990701E-2</c:v>
                  </c:pt>
                  <c:pt idx="8">
                    <c:v>1.3063220923228419E-2</c:v>
                  </c:pt>
                  <c:pt idx="9">
                    <c:v>1.153332097495645E-2</c:v>
                  </c:pt>
                  <c:pt idx="10">
                    <c:v>1.3464239658961626E-2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BI_Plots!$K$2:$K$12</c:f>
              <c:numCache>
                <c:formatCode>General</c:formatCode>
                <c:ptCount val="11"/>
                <c:pt idx="0">
                  <c:v>0.78934573829531807</c:v>
                </c:pt>
                <c:pt idx="1">
                  <c:v>0.76666666666666672</c:v>
                </c:pt>
                <c:pt idx="2">
                  <c:v>0.70203081232493003</c:v>
                </c:pt>
                <c:pt idx="3">
                  <c:v>0.72762605042016815</c:v>
                </c:pt>
                <c:pt idx="4">
                  <c:v>0.7562675070028011</c:v>
                </c:pt>
                <c:pt idx="5">
                  <c:v>0.79285714285714282</c:v>
                </c:pt>
                <c:pt idx="6">
                  <c:v>0.74523809523809526</c:v>
                </c:pt>
                <c:pt idx="7">
                  <c:v>0.72738095238095235</c:v>
                </c:pt>
                <c:pt idx="8">
                  <c:v>0.76467086834733888</c:v>
                </c:pt>
                <c:pt idx="9">
                  <c:v>0.78869047619047616</c:v>
                </c:pt>
                <c:pt idx="10">
                  <c:v>0.83676470588235297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CE-4A15-BA2F-4F7E8B68FD32}"/>
            </c:ext>
          </c:extLst>
        </c:ser>
        <c:ser>
          <c:idx val="1"/>
          <c:order val="1"/>
          <c:tx>
            <c:strRef>
              <c:f>BI_Plots!$A$13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BI_Plots!$L$13:$L$23</c:f>
                <c:numCache>
                  <c:formatCode>General</c:formatCode>
                  <c:ptCount val="11"/>
                  <c:pt idx="0">
                    <c:v>5.7595849383062269E-3</c:v>
                  </c:pt>
                  <c:pt idx="1">
                    <c:v>2.0558192863497589E-2</c:v>
                  </c:pt>
                  <c:pt idx="2">
                    <c:v>1.5971914124998494E-2</c:v>
                  </c:pt>
                  <c:pt idx="3">
                    <c:v>1.7992682888111702E-2</c:v>
                  </c:pt>
                  <c:pt idx="4">
                    <c:v>8.9030246768444649E-3</c:v>
                  </c:pt>
                  <c:pt idx="5">
                    <c:v>1.1924826558005478E-2</c:v>
                  </c:pt>
                  <c:pt idx="6">
                    <c:v>6.4288068125350562E-3</c:v>
                  </c:pt>
                  <c:pt idx="7">
                    <c:v>1.7487434041328933E-2</c:v>
                  </c:pt>
                  <c:pt idx="8">
                    <c:v>1.0928120604575486E-2</c:v>
                  </c:pt>
                  <c:pt idx="9">
                    <c:v>1.7128736612820637E-2</c:v>
                  </c:pt>
                  <c:pt idx="10">
                    <c:v>1.7865644234847562E-2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BI_Plots!$K$13:$K$23</c:f>
              <c:numCache>
                <c:formatCode>General</c:formatCode>
                <c:ptCount val="11"/>
                <c:pt idx="0">
                  <c:v>0.74223689475790322</c:v>
                </c:pt>
                <c:pt idx="1">
                  <c:v>0.65476190476190477</c:v>
                </c:pt>
                <c:pt idx="2">
                  <c:v>0.63333333333333341</c:v>
                </c:pt>
                <c:pt idx="3">
                  <c:v>0.74761904761904763</c:v>
                </c:pt>
                <c:pt idx="4">
                  <c:v>0.75654761904761902</c:v>
                </c:pt>
                <c:pt idx="5">
                  <c:v>0.76519607843137261</c:v>
                </c:pt>
                <c:pt idx="6">
                  <c:v>0.42310924369747893</c:v>
                </c:pt>
                <c:pt idx="7">
                  <c:v>0.43203781512605038</c:v>
                </c:pt>
                <c:pt idx="8">
                  <c:v>0.56253501400560224</c:v>
                </c:pt>
                <c:pt idx="9">
                  <c:v>0.66624649859943985</c:v>
                </c:pt>
                <c:pt idx="10">
                  <c:v>0.77440476190476193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CE-4A15-BA2F-4F7E8B68F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POmission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BI_Plots!$A$2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BI_Plots!$O$2:$O$12</c:f>
                <c:numCache>
                  <c:formatCode>General</c:formatCode>
                  <c:ptCount val="11"/>
                  <c:pt idx="0">
                    <c:v>2.7256817099457202E-2</c:v>
                  </c:pt>
                  <c:pt idx="1">
                    <c:v>2.0032070680194681E-2</c:v>
                  </c:pt>
                  <c:pt idx="2">
                    <c:v>1.6123744556237239E-2</c:v>
                  </c:pt>
                  <c:pt idx="3">
                    <c:v>1.0236424286283075E-2</c:v>
                  </c:pt>
                  <c:pt idx="4">
                    <c:v>8.2838177387966512E-3</c:v>
                  </c:pt>
                  <c:pt idx="5">
                    <c:v>1.4228912015885635E-3</c:v>
                  </c:pt>
                  <c:pt idx="6">
                    <c:v>1.8110448315611091E-2</c:v>
                  </c:pt>
                  <c:pt idx="7">
                    <c:v>1.919621673221852E-3</c:v>
                  </c:pt>
                  <c:pt idx="8">
                    <c:v>8.6690605064005145E-3</c:v>
                  </c:pt>
                  <c:pt idx="9">
                    <c:v>1.8304284576557365E-2</c:v>
                  </c:pt>
                  <c:pt idx="10">
                    <c:v>8.9844484157581214E-3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BI_Plots!$N$2:$N$12</c:f>
              <c:numCache>
                <c:formatCode>General</c:formatCode>
                <c:ptCount val="11"/>
                <c:pt idx="0">
                  <c:v>0.15476190476190474</c:v>
                </c:pt>
                <c:pt idx="1">
                  <c:v>0.14546318527410965</c:v>
                </c:pt>
                <c:pt idx="2">
                  <c:v>0.15199579831932772</c:v>
                </c:pt>
                <c:pt idx="3">
                  <c:v>0.15671768707482991</c:v>
                </c:pt>
                <c:pt idx="4">
                  <c:v>0.13525910364145657</c:v>
                </c:pt>
                <c:pt idx="5">
                  <c:v>0.12738095238095237</c:v>
                </c:pt>
                <c:pt idx="6">
                  <c:v>0.16428571428571428</c:v>
                </c:pt>
                <c:pt idx="7">
                  <c:v>0.12633053221288515</c:v>
                </c:pt>
                <c:pt idx="8">
                  <c:v>0.16887254901960785</c:v>
                </c:pt>
                <c:pt idx="9">
                  <c:v>0.16449579831932773</c:v>
                </c:pt>
                <c:pt idx="10">
                  <c:v>0.17899159663865546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F-4951-9DFC-C9629FEE790B}"/>
            </c:ext>
          </c:extLst>
        </c:ser>
        <c:ser>
          <c:idx val="1"/>
          <c:order val="1"/>
          <c:tx>
            <c:strRef>
              <c:f>BI_Plots!$A$13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BI_Plots!$O$13:$O$23</c:f>
                <c:numCache>
                  <c:formatCode>General</c:formatCode>
                  <c:ptCount val="11"/>
                  <c:pt idx="0">
                    <c:v>1.0035969403039744E-2</c:v>
                  </c:pt>
                  <c:pt idx="1">
                    <c:v>1.919621673221852E-3</c:v>
                  </c:pt>
                  <c:pt idx="2">
                    <c:v>1.6408642593537158E-2</c:v>
                  </c:pt>
                  <c:pt idx="3">
                    <c:v>1.7017722702298222E-2</c:v>
                  </c:pt>
                  <c:pt idx="4">
                    <c:v>1.1529539147317074E-2</c:v>
                  </c:pt>
                  <c:pt idx="5">
                    <c:v>1.2596160336311E-2</c:v>
                  </c:pt>
                  <c:pt idx="6">
                    <c:v>1.3464239658961636E-2</c:v>
                  </c:pt>
                  <c:pt idx="7">
                    <c:v>9.6649347553569402E-3</c:v>
                  </c:pt>
                  <c:pt idx="8">
                    <c:v>1.1676182800149499E-2</c:v>
                  </c:pt>
                  <c:pt idx="9">
                    <c:v>8.6838969355456808E-3</c:v>
                  </c:pt>
                  <c:pt idx="10">
                    <c:v>1.2609167992194642E-2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BI_Plots!$N$13:$N$23</c:f>
              <c:numCache>
                <c:formatCode>General</c:formatCode>
                <c:ptCount val="11"/>
                <c:pt idx="0">
                  <c:v>0.1465986394557823</c:v>
                </c:pt>
                <c:pt idx="1">
                  <c:v>0.12633053221288515</c:v>
                </c:pt>
                <c:pt idx="2">
                  <c:v>0.10787815126050419</c:v>
                </c:pt>
                <c:pt idx="3">
                  <c:v>0.15311624649859942</c:v>
                </c:pt>
                <c:pt idx="4">
                  <c:v>0.16211484593837536</c:v>
                </c:pt>
                <c:pt idx="5">
                  <c:v>0.17237394957983193</c:v>
                </c:pt>
                <c:pt idx="6">
                  <c:v>0.16323529411764706</c:v>
                </c:pt>
                <c:pt idx="7">
                  <c:v>0.14261204481792716</c:v>
                </c:pt>
                <c:pt idx="8">
                  <c:v>9.0021008403361344E-2</c:v>
                </c:pt>
                <c:pt idx="9">
                  <c:v>0.11740196078431372</c:v>
                </c:pt>
                <c:pt idx="10">
                  <c:v>0.15371148459383752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6F-4951-9DFC-C9629FEE7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PInhibition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BI_Plots!$A$2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BI_Plots!$R$2:$R$12</c:f>
                <c:numCache>
                  <c:formatCode>General</c:formatCode>
                  <c:ptCount val="11"/>
                  <c:pt idx="0">
                    <c:v>1.4205953685936018E-2</c:v>
                  </c:pt>
                  <c:pt idx="1">
                    <c:v>2.3498810933594579E-2</c:v>
                  </c:pt>
                  <c:pt idx="2">
                    <c:v>2.8891754968490373E-2</c:v>
                  </c:pt>
                  <c:pt idx="3">
                    <c:v>1.2919149460567901E-2</c:v>
                  </c:pt>
                  <c:pt idx="4">
                    <c:v>8.8356377266812659E-3</c:v>
                  </c:pt>
                  <c:pt idx="5">
                    <c:v>1.2008131938397535E-2</c:v>
                  </c:pt>
                  <c:pt idx="6">
                    <c:v>7.8663355961370359E-3</c:v>
                  </c:pt>
                  <c:pt idx="7">
                    <c:v>1.7707138698288015E-2</c:v>
                  </c:pt>
                  <c:pt idx="8">
                    <c:v>1.6741326292268172E-2</c:v>
                  </c:pt>
                  <c:pt idx="9">
                    <c:v>1.6724084648551175E-2</c:v>
                  </c:pt>
                  <c:pt idx="10">
                    <c:v>1.5494553397844696E-2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BI_Plots!$Q$2:$Q$12</c:f>
              <c:numCache>
                <c:formatCode>General</c:formatCode>
                <c:ptCount val="11"/>
                <c:pt idx="0">
                  <c:v>0.74835044157523156</c:v>
                </c:pt>
                <c:pt idx="1">
                  <c:v>0.72626896912611194</c:v>
                </c:pt>
                <c:pt idx="2">
                  <c:v>0.64583814294948738</c:v>
                </c:pt>
                <c:pt idx="3">
                  <c:v>0.67606042416966794</c:v>
                </c:pt>
                <c:pt idx="4">
                  <c:v>0.71867208421830264</c:v>
                </c:pt>
                <c:pt idx="5">
                  <c:v>0.76257849293563584</c:v>
                </c:pt>
                <c:pt idx="6">
                  <c:v>0.69407378335949765</c:v>
                </c:pt>
                <c:pt idx="7">
                  <c:v>0.68816064887493467</c:v>
                </c:pt>
                <c:pt idx="8">
                  <c:v>0.7163492320004925</c:v>
                </c:pt>
                <c:pt idx="9">
                  <c:v>0.74546866823652536</c:v>
                </c:pt>
                <c:pt idx="10">
                  <c:v>0.80169567827130839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D-412E-963D-4F00D9A4A12C}"/>
            </c:ext>
          </c:extLst>
        </c:ser>
        <c:ser>
          <c:idx val="1"/>
          <c:order val="1"/>
          <c:tx>
            <c:strRef>
              <c:f>BI_Plots!$A$13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BI_Plots!$R$13:$R$23</c:f>
                <c:numCache>
                  <c:formatCode>General</c:formatCode>
                  <c:ptCount val="11"/>
                  <c:pt idx="0">
                    <c:v>6.2406601270252682E-3</c:v>
                  </c:pt>
                  <c:pt idx="1">
                    <c:v>2.3968052833813029E-2</c:v>
                  </c:pt>
                  <c:pt idx="2">
                    <c:v>1.8862643871167661E-2</c:v>
                  </c:pt>
                  <c:pt idx="3">
                    <c:v>2.6791561943868357E-2</c:v>
                  </c:pt>
                  <c:pt idx="4">
                    <c:v>9.8443630125446616E-3</c:v>
                  </c:pt>
                  <c:pt idx="5">
                    <c:v>1.6414805585388537E-2</c:v>
                  </c:pt>
                  <c:pt idx="6">
                    <c:v>8.858601539260106E-3</c:v>
                  </c:pt>
                  <c:pt idx="7">
                    <c:v>2.0484412688041482E-2</c:v>
                  </c:pt>
                  <c:pt idx="8">
                    <c:v>1.3350336657326866E-2</c:v>
                  </c:pt>
                  <c:pt idx="9">
                    <c:v>2.0705534974953834E-2</c:v>
                  </c:pt>
                  <c:pt idx="10">
                    <c:v>2.3368075886637932E-2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BI_Plots!$C$2:$C$12</c:f>
              <c:strCache>
                <c:ptCount val="11"/>
                <c:pt idx="0">
                  <c:v>NoTreatment</c:v>
                </c:pt>
                <c:pt idx="1">
                  <c:v>NoTreatment</c:v>
                </c:pt>
                <c:pt idx="2">
                  <c:v>Ctrl-Oral</c:v>
                </c:pt>
                <c:pt idx="3">
                  <c:v>BI 2.5</c:v>
                </c:pt>
                <c:pt idx="4">
                  <c:v>BI 7.5</c:v>
                </c:pt>
                <c:pt idx="5">
                  <c:v>BI 12.5</c:v>
                </c:pt>
                <c:pt idx="6">
                  <c:v>NoTreatment</c:v>
                </c:pt>
                <c:pt idx="7">
                  <c:v>Ctrl-Oral</c:v>
                </c:pt>
                <c:pt idx="8">
                  <c:v>BI 2.5</c:v>
                </c:pt>
                <c:pt idx="9">
                  <c:v>BI 7.5</c:v>
                </c:pt>
                <c:pt idx="10">
                  <c:v>BI 12.5</c:v>
                </c:pt>
              </c:strCache>
            </c:strRef>
          </c:cat>
          <c:val>
            <c:numRef>
              <c:f>BI_Plots!$Q$13:$Q$23</c:f>
              <c:numCache>
                <c:formatCode>General</c:formatCode>
                <c:ptCount val="11"/>
                <c:pt idx="0">
                  <c:v>0.69786519003205683</c:v>
                </c:pt>
                <c:pt idx="1">
                  <c:v>0.60467687074829934</c:v>
                </c:pt>
                <c:pt idx="2">
                  <c:v>0.58827882435025292</c:v>
                </c:pt>
                <c:pt idx="3">
                  <c:v>0.69891069248212112</c:v>
                </c:pt>
                <c:pt idx="4">
                  <c:v>0.70950418628990064</c:v>
                </c:pt>
                <c:pt idx="5">
                  <c:v>0.71529467556253279</c:v>
                </c:pt>
                <c:pt idx="6">
                  <c:v>0.30984128266691291</c:v>
                </c:pt>
                <c:pt idx="7">
                  <c:v>0.33727283220980692</c:v>
                </c:pt>
                <c:pt idx="8">
                  <c:v>0.51867326417746595</c:v>
                </c:pt>
                <c:pt idx="9">
                  <c:v>0.62129774986917841</c:v>
                </c:pt>
                <c:pt idx="10">
                  <c:v>0.73163919413919409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D-412E-963D-4F00D9A4A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039104"/>
        <c:axId val="1150374480"/>
      </c:barChart>
      <c:catAx>
        <c:axId val="11660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374480"/>
        <c:crosses val="autoZero"/>
        <c:auto val="1"/>
        <c:lblAlgn val="ctr"/>
        <c:lblOffset val="100"/>
        <c:noMultiLvlLbl val="0"/>
      </c:catAx>
      <c:valAx>
        <c:axId val="11503744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03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20</xdr:row>
      <xdr:rowOff>104774</xdr:rowOff>
    </xdr:from>
    <xdr:to>
      <xdr:col>15</xdr:col>
      <xdr:colOff>598170</xdr:colOff>
      <xdr:row>51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ADE73C-5409-482F-B5AA-226B4BB612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104775</xdr:colOff>
      <xdr:row>20</xdr:row>
      <xdr:rowOff>180975</xdr:rowOff>
    </xdr:from>
    <xdr:to>
      <xdr:col>31</xdr:col>
      <xdr:colOff>379095</xdr:colOff>
      <xdr:row>52</xdr:row>
      <xdr:rowOff>47626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983B2E7-A4D5-4CF8-8578-B09C76E06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333375</xdr:colOff>
      <xdr:row>53</xdr:row>
      <xdr:rowOff>19050</xdr:rowOff>
    </xdr:from>
    <xdr:to>
      <xdr:col>15</xdr:col>
      <xdr:colOff>607695</xdr:colOff>
      <xdr:row>84</xdr:row>
      <xdr:rowOff>76201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6CFF9DA-2F9A-4D9A-811E-A27866BDDB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152400</xdr:colOff>
      <xdr:row>53</xdr:row>
      <xdr:rowOff>133350</xdr:rowOff>
    </xdr:from>
    <xdr:to>
      <xdr:col>31</xdr:col>
      <xdr:colOff>426720</xdr:colOff>
      <xdr:row>85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1401DB8-C1F6-40E5-8987-BA0A6642E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600075</xdr:colOff>
      <xdr:row>39</xdr:row>
      <xdr:rowOff>66675</xdr:rowOff>
    </xdr:from>
    <xdr:to>
      <xdr:col>47</xdr:col>
      <xdr:colOff>264795</xdr:colOff>
      <xdr:row>70</xdr:row>
      <xdr:rowOff>123826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BA96009-2ECC-4725-A4D5-93D29316A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609599</xdr:colOff>
      <xdr:row>105</xdr:row>
      <xdr:rowOff>0</xdr:rowOff>
    </xdr:from>
    <xdr:to>
      <xdr:col>39</xdr:col>
      <xdr:colOff>523874</xdr:colOff>
      <xdr:row>136</xdr:row>
      <xdr:rowOff>57151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2EA01D3-B5C1-47F4-8F75-DE3E1F4E4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15</xdr:col>
      <xdr:colOff>274320</xdr:colOff>
      <xdr:row>52</xdr:row>
      <xdr:rowOff>57151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D8BE71-C790-499F-B714-96217B672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390525</xdr:colOff>
      <xdr:row>21</xdr:row>
      <xdr:rowOff>76201</xdr:rowOff>
    </xdr:from>
    <xdr:to>
      <xdr:col>31</xdr:col>
      <xdr:colOff>55245</xdr:colOff>
      <xdr:row>52</xdr:row>
      <xdr:rowOff>133352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FC31D3C-3857-4475-A7A8-4D7DF2626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53</xdr:row>
      <xdr:rowOff>104776</xdr:rowOff>
    </xdr:from>
    <xdr:to>
      <xdr:col>15</xdr:col>
      <xdr:colOff>283845</xdr:colOff>
      <xdr:row>84</xdr:row>
      <xdr:rowOff>161927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799F5AC-B9FE-4E81-A9C3-3C2590CE18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438150</xdr:colOff>
      <xdr:row>54</xdr:row>
      <xdr:rowOff>28576</xdr:rowOff>
    </xdr:from>
    <xdr:to>
      <xdr:col>31</xdr:col>
      <xdr:colOff>102870</xdr:colOff>
      <xdr:row>85</xdr:row>
      <xdr:rowOff>85727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C828A8A-2DE5-4C98-9653-7801A63D69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276225</xdr:colOff>
      <xdr:row>39</xdr:row>
      <xdr:rowOff>152401</xdr:rowOff>
    </xdr:from>
    <xdr:to>
      <xdr:col>46</xdr:col>
      <xdr:colOff>550545</xdr:colOff>
      <xdr:row>71</xdr:row>
      <xdr:rowOff>19052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05ED6CC-6C71-486F-A1B0-0523D7AE7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17</xdr:col>
      <xdr:colOff>518160</xdr:colOff>
      <xdr:row>57</xdr:row>
      <xdr:rowOff>57151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DBDDCE-4A6A-401F-91FE-FC08539E31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180975</xdr:colOff>
      <xdr:row>26</xdr:row>
      <xdr:rowOff>76201</xdr:rowOff>
    </xdr:from>
    <xdr:to>
      <xdr:col>36</xdr:col>
      <xdr:colOff>89535</xdr:colOff>
      <xdr:row>57</xdr:row>
      <xdr:rowOff>133352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79509E7-14E5-4AA8-9436-54958BBF4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58</xdr:row>
      <xdr:rowOff>104776</xdr:rowOff>
    </xdr:from>
    <xdr:to>
      <xdr:col>17</xdr:col>
      <xdr:colOff>527685</xdr:colOff>
      <xdr:row>89</xdr:row>
      <xdr:rowOff>161927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6F381D9-A421-4542-A9E1-F92EAAFB87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228600</xdr:colOff>
      <xdr:row>59</xdr:row>
      <xdr:rowOff>28576</xdr:rowOff>
    </xdr:from>
    <xdr:to>
      <xdr:col>36</xdr:col>
      <xdr:colOff>137160</xdr:colOff>
      <xdr:row>90</xdr:row>
      <xdr:rowOff>85727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6142574-4C57-49E5-85F8-FC873CC90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36</xdr:col>
      <xdr:colOff>285750</xdr:colOff>
      <xdr:row>44</xdr:row>
      <xdr:rowOff>161926</xdr:rowOff>
    </xdr:from>
    <xdr:to>
      <xdr:col>54</xdr:col>
      <xdr:colOff>194310</xdr:colOff>
      <xdr:row>76</xdr:row>
      <xdr:rowOff>28577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CC42DFA-E4DB-4AF3-933C-4515A48905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95"/>
  <sheetViews>
    <sheetView topLeftCell="A273" workbookViewId="0">
      <selection activeCell="AF41" sqref="AF41"/>
    </sheetView>
  </sheetViews>
  <sheetFormatPr baseColWidth="10" defaultColWidth="8.83203125" defaultRowHeight="15" x14ac:dyDescent="0.2"/>
  <cols>
    <col min="1" max="1" width="7" customWidth="1"/>
    <col min="2" max="2" width="10" customWidth="1"/>
    <col min="4" max="4" width="14" customWidth="1"/>
    <col min="5" max="5" width="12.1640625" style="7" customWidth="1"/>
    <col min="6" max="6" width="7.1640625" style="13" customWidth="1"/>
    <col min="7" max="7" width="8.6640625" style="14" customWidth="1"/>
    <col min="8" max="8" width="18.83203125" style="15" customWidth="1"/>
    <col min="9" max="9" width="14.5" style="13" customWidth="1"/>
    <col min="10" max="10" width="14.6640625" style="9" customWidth="1"/>
    <col min="11" max="11" width="10.5" style="7" customWidth="1"/>
    <col min="12" max="12" width="13" style="8" customWidth="1"/>
    <col min="13" max="13" width="12.83203125" style="9" customWidth="1"/>
    <col min="14" max="14" width="14.33203125" style="7" customWidth="1"/>
    <col min="15" max="15" width="13.6640625" style="8" customWidth="1"/>
    <col min="16" max="16" width="12.83203125" style="9" customWidth="1"/>
    <col min="17" max="17" width="10.6640625" style="7" customWidth="1"/>
    <col min="18" max="18" width="12.83203125" style="8" customWidth="1"/>
    <col min="19" max="19" width="12.83203125" style="9" customWidth="1"/>
    <col min="20" max="20" width="10.33203125" style="7" customWidth="1"/>
    <col min="21" max="21" width="14" style="8" customWidth="1"/>
    <col min="22" max="22" width="12.83203125" style="9" customWidth="1"/>
    <col min="23" max="23" width="13.5" style="7" customWidth="1"/>
    <col min="24" max="24" width="13.6640625" style="8" customWidth="1"/>
    <col min="25" max="25" width="12.83203125" style="9" customWidth="1"/>
    <col min="26" max="26" width="19.33203125" style="7" customWidth="1"/>
    <col min="27" max="27" width="13.6640625" style="8" customWidth="1"/>
    <col min="28" max="28" width="12.83203125" style="9" customWidth="1"/>
    <col min="30" max="30" width="13.5" customWidth="1"/>
    <col min="33" max="33" width="11.5" customWidth="1"/>
    <col min="37" max="37" width="11.5" customWidth="1"/>
    <col min="39" max="39" width="12" customWidth="1"/>
  </cols>
  <sheetData>
    <row r="1" spans="1:40" s="2" customFormat="1" x14ac:dyDescent="0.2">
      <c r="A1" s="2" t="s">
        <v>0</v>
      </c>
      <c r="B1" s="2" t="s">
        <v>1</v>
      </c>
      <c r="C1" s="2" t="s">
        <v>30</v>
      </c>
      <c r="D1" s="2" t="s">
        <v>2</v>
      </c>
      <c r="E1" s="11" t="s">
        <v>3</v>
      </c>
      <c r="F1" s="5" t="s">
        <v>4</v>
      </c>
      <c r="G1" s="12" t="s">
        <v>5</v>
      </c>
      <c r="H1" s="4" t="s">
        <v>6</v>
      </c>
      <c r="I1" s="5" t="s">
        <v>7</v>
      </c>
      <c r="J1" s="6" t="s">
        <v>8</v>
      </c>
      <c r="K1" s="4" t="s">
        <v>9</v>
      </c>
      <c r="L1" s="5" t="s">
        <v>10</v>
      </c>
      <c r="M1" s="6" t="s">
        <v>31</v>
      </c>
      <c r="N1" s="4" t="s">
        <v>11</v>
      </c>
      <c r="O1" s="5" t="s">
        <v>10</v>
      </c>
      <c r="P1" s="6" t="s">
        <v>31</v>
      </c>
      <c r="Q1" s="4" t="s">
        <v>12</v>
      </c>
      <c r="R1" s="5" t="s">
        <v>10</v>
      </c>
      <c r="S1" s="6" t="s">
        <v>31</v>
      </c>
      <c r="T1" s="4" t="s">
        <v>13</v>
      </c>
      <c r="U1" s="5" t="s">
        <v>10</v>
      </c>
      <c r="V1" s="6" t="s">
        <v>31</v>
      </c>
      <c r="W1" s="4" t="s">
        <v>14</v>
      </c>
      <c r="X1" s="10" t="s">
        <v>10</v>
      </c>
      <c r="Y1" s="6" t="s">
        <v>31</v>
      </c>
      <c r="Z1" s="11" t="s">
        <v>34</v>
      </c>
      <c r="AA1" s="10" t="s">
        <v>10</v>
      </c>
      <c r="AB1" s="6" t="s">
        <v>31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">
      <c r="A2">
        <v>1</v>
      </c>
      <c r="B2" t="s">
        <v>15</v>
      </c>
      <c r="C2" t="s">
        <v>16</v>
      </c>
      <c r="D2" t="s">
        <v>17</v>
      </c>
      <c r="E2" s="7">
        <v>16</v>
      </c>
      <c r="F2" s="13">
        <v>14</v>
      </c>
      <c r="G2" s="14">
        <f>E2-F2</f>
        <v>2</v>
      </c>
      <c r="H2" s="15">
        <v>17</v>
      </c>
      <c r="I2" s="13">
        <v>13</v>
      </c>
      <c r="J2" s="9">
        <f>H2-I2</f>
        <v>4</v>
      </c>
      <c r="K2" s="7">
        <f>F2/E2</f>
        <v>0.875</v>
      </c>
      <c r="L2" s="8">
        <f>AVERAGE(K2:K8)</f>
        <v>0.85340136054421767</v>
      </c>
      <c r="M2" s="9">
        <f>_xlfn.STDEV.P(K2:K8)/SQRT(7)</f>
        <v>1.0035969403039715E-2</v>
      </c>
      <c r="N2" s="7">
        <f t="shared" ref="N2:N65" si="0">J2/H2</f>
        <v>0.23529411764705882</v>
      </c>
      <c r="O2" s="8">
        <f>AVERAGE(N2:N8)</f>
        <v>0.25776310524209683</v>
      </c>
      <c r="P2" s="9">
        <f>_xlfn.STDEV.P(N2:N8)/SQRT(7)</f>
        <v>5.7595849383062277E-3</v>
      </c>
      <c r="Q2" s="7">
        <f t="shared" ref="Q2:Q65" si="1">I2/H2</f>
        <v>0.76470588235294112</v>
      </c>
      <c r="R2" s="8">
        <f>AVERAGE(Q2:Q8)</f>
        <v>0.74223689475790322</v>
      </c>
      <c r="S2" s="9">
        <f>_xlfn.STDEV.P(Q2:Q8)/SQRT(7)</f>
        <v>5.7595849383062269E-3</v>
      </c>
      <c r="T2" s="7">
        <f t="shared" ref="T2:T65" si="2">G2/E2</f>
        <v>0.125</v>
      </c>
      <c r="U2" s="8">
        <f>AVERAGE(T2:T8)</f>
        <v>0.1465986394557823</v>
      </c>
      <c r="V2" s="9">
        <f>_xlfn.STDEV.P(T2:T8)/SQRT(7)</f>
        <v>1.0035969403039744E-2</v>
      </c>
      <c r="W2" s="7">
        <f t="shared" ref="W2:W65" si="3">(Q2-T2)/(1-T2)</f>
        <v>0.73109243697478987</v>
      </c>
      <c r="X2" s="8">
        <f>AVERAGE(W2:W8)</f>
        <v>0.69786519003205683</v>
      </c>
      <c r="Y2" s="9">
        <f>_xlfn.STDEV.P(W2:W8)/SQRT(7)</f>
        <v>6.2406601270252682E-3</v>
      </c>
      <c r="Z2" s="7">
        <f>18/993</f>
        <v>1.812688821752266E-2</v>
      </c>
      <c r="AA2" s="8">
        <f>AVERAGE(Z2:Z8)</f>
        <v>1.8157228960773774E-2</v>
      </c>
      <c r="AB2" s="9">
        <f>_xlfn.STDEV.P(Z2:Z8)/SQRT(7)</f>
        <v>2.8720455834270499E-3</v>
      </c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x14ac:dyDescent="0.2">
      <c r="A3">
        <v>2</v>
      </c>
      <c r="B3" t="s">
        <v>15</v>
      </c>
      <c r="C3" t="s">
        <v>16</v>
      </c>
      <c r="D3" t="s">
        <v>17</v>
      </c>
      <c r="E3" s="7">
        <v>15</v>
      </c>
      <c r="F3" s="13">
        <v>13</v>
      </c>
      <c r="G3" s="14">
        <f t="shared" ref="G3:G66" si="4">E3-F3</f>
        <v>2</v>
      </c>
      <c r="H3" s="15">
        <v>15</v>
      </c>
      <c r="I3" s="13">
        <v>11</v>
      </c>
      <c r="J3" s="9">
        <f t="shared" ref="J3:J66" si="5">H3-I3</f>
        <v>4</v>
      </c>
      <c r="K3" s="7">
        <f t="shared" ref="K3:K65" si="6">F3/E3</f>
        <v>0.8666666666666667</v>
      </c>
      <c r="N3" s="7">
        <f t="shared" si="0"/>
        <v>0.26666666666666666</v>
      </c>
      <c r="Q3" s="7">
        <f t="shared" si="1"/>
        <v>0.73333333333333328</v>
      </c>
      <c r="T3" s="7">
        <f t="shared" si="2"/>
        <v>0.13333333333333333</v>
      </c>
      <c r="W3" s="7">
        <f t="shared" si="3"/>
        <v>0.69230769230769229</v>
      </c>
      <c r="Z3" s="7">
        <f>9/994</f>
        <v>9.0543259557344068E-3</v>
      </c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2">
      <c r="A4">
        <v>3</v>
      </c>
      <c r="B4" t="s">
        <v>15</v>
      </c>
      <c r="C4" t="s">
        <v>16</v>
      </c>
      <c r="D4" t="s">
        <v>17</v>
      </c>
      <c r="E4" s="7">
        <v>16</v>
      </c>
      <c r="F4" s="13">
        <v>14</v>
      </c>
      <c r="G4" s="14">
        <f t="shared" si="4"/>
        <v>2</v>
      </c>
      <c r="H4" s="15">
        <v>14</v>
      </c>
      <c r="I4" s="13">
        <v>10</v>
      </c>
      <c r="J4" s="9">
        <f t="shared" si="5"/>
        <v>4</v>
      </c>
      <c r="K4" s="7">
        <f t="shared" si="6"/>
        <v>0.875</v>
      </c>
      <c r="N4" s="7">
        <f t="shared" si="0"/>
        <v>0.2857142857142857</v>
      </c>
      <c r="Q4" s="7">
        <f t="shared" si="1"/>
        <v>0.7142857142857143</v>
      </c>
      <c r="T4" s="7">
        <f t="shared" si="2"/>
        <v>0.125</v>
      </c>
      <c r="W4" s="7">
        <f t="shared" si="3"/>
        <v>0.67346938775510201</v>
      </c>
      <c r="Z4" s="7">
        <f>30/1011</f>
        <v>2.967359050445104E-2</v>
      </c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">
      <c r="A5">
        <v>4</v>
      </c>
      <c r="B5" t="s">
        <v>15</v>
      </c>
      <c r="C5" t="s">
        <v>16</v>
      </c>
      <c r="D5" t="s">
        <v>17</v>
      </c>
      <c r="E5" s="7">
        <v>14</v>
      </c>
      <c r="F5" s="13">
        <v>12</v>
      </c>
      <c r="G5" s="14">
        <f t="shared" si="4"/>
        <v>2</v>
      </c>
      <c r="H5" s="15">
        <v>16</v>
      </c>
      <c r="I5" s="13">
        <v>12</v>
      </c>
      <c r="J5" s="9">
        <f t="shared" si="5"/>
        <v>4</v>
      </c>
      <c r="K5" s="7">
        <f t="shared" si="6"/>
        <v>0.8571428571428571</v>
      </c>
      <c r="N5" s="7">
        <f t="shared" si="0"/>
        <v>0.25</v>
      </c>
      <c r="Q5" s="7">
        <f t="shared" si="1"/>
        <v>0.75</v>
      </c>
      <c r="T5" s="7">
        <f t="shared" si="2"/>
        <v>0.14285714285714285</v>
      </c>
      <c r="W5" s="7">
        <f t="shared" si="3"/>
        <v>0.70833333333333337</v>
      </c>
      <c r="Z5" s="7">
        <f>29/1000</f>
        <v>2.9000000000000001E-2</v>
      </c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2">
      <c r="A6">
        <v>5</v>
      </c>
      <c r="B6" t="s">
        <v>15</v>
      </c>
      <c r="C6" t="s">
        <v>16</v>
      </c>
      <c r="D6" t="s">
        <v>17</v>
      </c>
      <c r="E6" s="7">
        <v>16</v>
      </c>
      <c r="F6" s="13">
        <v>13</v>
      </c>
      <c r="G6" s="14">
        <f t="shared" si="4"/>
        <v>3</v>
      </c>
      <c r="H6" s="15">
        <v>16</v>
      </c>
      <c r="I6" s="13">
        <v>12</v>
      </c>
      <c r="J6" s="9">
        <f t="shared" si="5"/>
        <v>4</v>
      </c>
      <c r="K6" s="7">
        <f t="shared" si="6"/>
        <v>0.8125</v>
      </c>
      <c r="N6" s="7">
        <f t="shared" si="0"/>
        <v>0.25</v>
      </c>
      <c r="Q6" s="7">
        <f t="shared" si="1"/>
        <v>0.75</v>
      </c>
      <c r="T6" s="7">
        <f t="shared" si="2"/>
        <v>0.1875</v>
      </c>
      <c r="W6" s="7">
        <f t="shared" si="3"/>
        <v>0.69230769230769229</v>
      </c>
      <c r="Z6" s="7">
        <f>11/992</f>
        <v>1.1088709677419355E-2</v>
      </c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2">
      <c r="A7">
        <v>6</v>
      </c>
      <c r="B7" t="s">
        <v>15</v>
      </c>
      <c r="C7" t="s">
        <v>16</v>
      </c>
      <c r="D7" t="s">
        <v>17</v>
      </c>
      <c r="E7" s="7">
        <v>16</v>
      </c>
      <c r="F7" s="13">
        <v>14</v>
      </c>
      <c r="G7" s="14">
        <f t="shared" si="4"/>
        <v>2</v>
      </c>
      <c r="H7" s="15">
        <v>15</v>
      </c>
      <c r="I7" s="13">
        <v>11</v>
      </c>
      <c r="J7" s="9">
        <f t="shared" si="5"/>
        <v>4</v>
      </c>
      <c r="K7" s="7">
        <f t="shared" si="6"/>
        <v>0.875</v>
      </c>
      <c r="N7" s="7">
        <f t="shared" si="0"/>
        <v>0.26666666666666666</v>
      </c>
      <c r="Q7" s="7">
        <f t="shared" si="1"/>
        <v>0.73333333333333328</v>
      </c>
      <c r="T7" s="7">
        <f t="shared" si="2"/>
        <v>0.125</v>
      </c>
      <c r="W7" s="7">
        <f t="shared" si="3"/>
        <v>0.69523809523809521</v>
      </c>
      <c r="Z7" s="7">
        <f>14/998</f>
        <v>1.4028056112224449E-2</v>
      </c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2">
      <c r="A8">
        <v>7</v>
      </c>
      <c r="B8" t="s">
        <v>15</v>
      </c>
      <c r="C8" t="s">
        <v>16</v>
      </c>
      <c r="D8" t="s">
        <v>17</v>
      </c>
      <c r="E8" s="7">
        <v>16</v>
      </c>
      <c r="F8" s="13">
        <v>13</v>
      </c>
      <c r="G8" s="14">
        <f t="shared" si="4"/>
        <v>3</v>
      </c>
      <c r="H8" s="15">
        <v>16</v>
      </c>
      <c r="I8" s="13">
        <v>12</v>
      </c>
      <c r="J8" s="9">
        <f t="shared" si="5"/>
        <v>4</v>
      </c>
      <c r="K8" s="7">
        <f t="shared" si="6"/>
        <v>0.8125</v>
      </c>
      <c r="N8" s="7">
        <f t="shared" si="0"/>
        <v>0.25</v>
      </c>
      <c r="Q8" s="7">
        <f t="shared" si="1"/>
        <v>0.75</v>
      </c>
      <c r="T8" s="7">
        <f t="shared" si="2"/>
        <v>0.1875</v>
      </c>
      <c r="W8" s="7">
        <f t="shared" si="3"/>
        <v>0.69230769230769229</v>
      </c>
      <c r="Z8" s="7">
        <f>16/992</f>
        <v>1.6129032258064516E-2</v>
      </c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2">
      <c r="A9">
        <v>8</v>
      </c>
      <c r="B9" t="s">
        <v>18</v>
      </c>
      <c r="C9" t="s">
        <v>16</v>
      </c>
      <c r="D9" t="s">
        <v>17</v>
      </c>
      <c r="E9" s="7">
        <v>15</v>
      </c>
      <c r="F9" s="13">
        <v>13</v>
      </c>
      <c r="G9" s="14">
        <f t="shared" si="4"/>
        <v>2</v>
      </c>
      <c r="H9" s="15">
        <v>16</v>
      </c>
      <c r="I9" s="13">
        <v>12</v>
      </c>
      <c r="J9" s="9">
        <f t="shared" si="5"/>
        <v>4</v>
      </c>
      <c r="K9" s="7">
        <f t="shared" si="6"/>
        <v>0.8666666666666667</v>
      </c>
      <c r="L9" s="8">
        <f>AVERAGE(K9:K15)</f>
        <v>0.84523809523809523</v>
      </c>
      <c r="M9" s="9">
        <f>_xlfn.STDEV.P(K9:K15)/SQRT(7)</f>
        <v>2.7256817099457195E-2</v>
      </c>
      <c r="N9" s="7">
        <f t="shared" si="0"/>
        <v>0.25</v>
      </c>
      <c r="O9" s="8">
        <f>AVERAGE(N9:N15)</f>
        <v>0.21065426170468185</v>
      </c>
      <c r="P9" s="9">
        <f>_xlfn.STDEV.P(N9:N15)/SQRT(7)</f>
        <v>8.4124098392045835E-3</v>
      </c>
      <c r="Q9" s="7">
        <f t="shared" si="1"/>
        <v>0.75</v>
      </c>
      <c r="R9" s="8">
        <f>AVERAGE(Q9:Q15)</f>
        <v>0.78934573829531807</v>
      </c>
      <c r="S9" s="9">
        <f>_xlfn.STDEV.P(Q9:Q15)/SQRT(7)</f>
        <v>8.4124098392045609E-3</v>
      </c>
      <c r="T9" s="7">
        <f t="shared" si="2"/>
        <v>0.13333333333333333</v>
      </c>
      <c r="U9" s="8">
        <f>AVERAGE(T9:T15)</f>
        <v>0.15476190476190474</v>
      </c>
      <c r="V9" s="9">
        <f>_xlfn.STDEV.P(T9:T15)/SQRT(7)</f>
        <v>2.7256817099457202E-2</v>
      </c>
      <c r="W9" s="7">
        <f t="shared" si="3"/>
        <v>0.71153846153846156</v>
      </c>
      <c r="X9" s="8">
        <f>AVERAGE(W9:W15)</f>
        <v>0.74835044157523156</v>
      </c>
      <c r="Y9" s="9">
        <f>_xlfn.STDEV.P(W9:W15)/SQRT(7)</f>
        <v>1.4205953685936018E-2</v>
      </c>
      <c r="Z9" s="7">
        <f>33/995</f>
        <v>3.3165829145728645E-2</v>
      </c>
      <c r="AA9" s="8">
        <f>AVERAGE(Z9:Z15)</f>
        <v>1.838032677210891E-2</v>
      </c>
      <c r="AB9" s="9">
        <f>_xlfn.STDEV.P(Z9:Z15)/SQRT(7)</f>
        <v>4.182328955323944E-3</v>
      </c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2">
      <c r="A10">
        <v>9</v>
      </c>
      <c r="B10" t="s">
        <v>18</v>
      </c>
      <c r="C10" t="s">
        <v>16</v>
      </c>
      <c r="D10" t="s">
        <v>17</v>
      </c>
      <c r="E10" s="7">
        <v>16</v>
      </c>
      <c r="F10" s="13">
        <v>14</v>
      </c>
      <c r="G10" s="14">
        <f t="shared" si="4"/>
        <v>2</v>
      </c>
      <c r="H10" s="15">
        <v>15</v>
      </c>
      <c r="I10" s="13">
        <v>12</v>
      </c>
      <c r="J10" s="9">
        <f t="shared" si="5"/>
        <v>3</v>
      </c>
      <c r="K10" s="7">
        <f t="shared" si="6"/>
        <v>0.875</v>
      </c>
      <c r="N10" s="7">
        <f t="shared" si="0"/>
        <v>0.2</v>
      </c>
      <c r="Q10" s="7">
        <f t="shared" si="1"/>
        <v>0.8</v>
      </c>
      <c r="T10" s="7">
        <f t="shared" si="2"/>
        <v>0.125</v>
      </c>
      <c r="W10" s="7">
        <f t="shared" si="3"/>
        <v>0.77142857142857146</v>
      </c>
      <c r="Z10" s="7">
        <f>8/1007</f>
        <v>7.9443892750744784E-3</v>
      </c>
    </row>
    <row r="11" spans="1:40" x14ac:dyDescent="0.2">
      <c r="A11">
        <v>10</v>
      </c>
      <c r="B11" t="s">
        <v>18</v>
      </c>
      <c r="C11" t="s">
        <v>16</v>
      </c>
      <c r="D11" t="s">
        <v>17</v>
      </c>
      <c r="E11" s="7">
        <v>15</v>
      </c>
      <c r="F11" s="13">
        <v>13</v>
      </c>
      <c r="G11" s="14">
        <f t="shared" si="4"/>
        <v>2</v>
      </c>
      <c r="H11" s="15">
        <v>17</v>
      </c>
      <c r="I11" s="13">
        <v>13</v>
      </c>
      <c r="J11" s="9">
        <f t="shared" si="5"/>
        <v>4</v>
      </c>
      <c r="K11" s="7">
        <f t="shared" si="6"/>
        <v>0.8666666666666667</v>
      </c>
      <c r="N11" s="7">
        <f t="shared" si="0"/>
        <v>0.23529411764705882</v>
      </c>
      <c r="Q11" s="7">
        <f t="shared" si="1"/>
        <v>0.76470588235294112</v>
      </c>
      <c r="T11" s="7">
        <f t="shared" si="2"/>
        <v>0.13333333333333333</v>
      </c>
      <c r="W11" s="7">
        <f t="shared" si="3"/>
        <v>0.72850678733031671</v>
      </c>
      <c r="Z11" s="7">
        <f>4/996</f>
        <v>4.0160642570281121E-3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2">
      <c r="A12">
        <v>11</v>
      </c>
      <c r="B12" t="s">
        <v>18</v>
      </c>
      <c r="C12" t="s">
        <v>16</v>
      </c>
      <c r="D12" t="s">
        <v>17</v>
      </c>
      <c r="E12" s="7">
        <v>16</v>
      </c>
      <c r="F12" s="13">
        <v>13</v>
      </c>
      <c r="G12" s="14">
        <f t="shared" si="4"/>
        <v>3</v>
      </c>
      <c r="H12" s="15">
        <v>15</v>
      </c>
      <c r="I12" s="13">
        <v>12</v>
      </c>
      <c r="J12" s="9">
        <f t="shared" si="5"/>
        <v>3</v>
      </c>
      <c r="K12" s="7">
        <f t="shared" si="6"/>
        <v>0.8125</v>
      </c>
      <c r="N12" s="7">
        <f t="shared" si="0"/>
        <v>0.2</v>
      </c>
      <c r="Q12" s="7">
        <f t="shared" si="1"/>
        <v>0.8</v>
      </c>
      <c r="T12" s="7">
        <f t="shared" si="2"/>
        <v>0.1875</v>
      </c>
      <c r="W12" s="7">
        <f t="shared" si="3"/>
        <v>0.75384615384615394</v>
      </c>
      <c r="Z12" s="7">
        <f>6/1008</f>
        <v>5.9523809523809521E-3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x14ac:dyDescent="0.2">
      <c r="A13">
        <v>12</v>
      </c>
      <c r="B13" t="s">
        <v>18</v>
      </c>
      <c r="C13" t="s">
        <v>16</v>
      </c>
      <c r="D13" t="s">
        <v>17</v>
      </c>
      <c r="E13" s="7">
        <v>16</v>
      </c>
      <c r="F13" s="13">
        <v>11</v>
      </c>
      <c r="G13" s="14">
        <f t="shared" si="4"/>
        <v>5</v>
      </c>
      <c r="H13" s="15">
        <v>14</v>
      </c>
      <c r="I13" s="13">
        <v>11</v>
      </c>
      <c r="J13" s="9">
        <f t="shared" si="5"/>
        <v>3</v>
      </c>
      <c r="K13" s="7">
        <f t="shared" si="6"/>
        <v>0.6875</v>
      </c>
      <c r="N13" s="7">
        <f t="shared" si="0"/>
        <v>0.21428571428571427</v>
      </c>
      <c r="Q13" s="7">
        <f t="shared" si="1"/>
        <v>0.7857142857142857</v>
      </c>
      <c r="T13" s="7">
        <f t="shared" si="2"/>
        <v>0.3125</v>
      </c>
      <c r="W13" s="7">
        <f t="shared" si="3"/>
        <v>0.68831168831168832</v>
      </c>
      <c r="Z13" s="7">
        <f>27/1014</f>
        <v>2.6627218934911243E-2</v>
      </c>
    </row>
    <row r="14" spans="1:40" x14ac:dyDescent="0.2">
      <c r="A14">
        <v>13</v>
      </c>
      <c r="B14" t="s">
        <v>18</v>
      </c>
      <c r="C14" t="s">
        <v>16</v>
      </c>
      <c r="D14" t="s">
        <v>17</v>
      </c>
      <c r="E14" s="7">
        <v>15</v>
      </c>
      <c r="F14" s="13">
        <v>14</v>
      </c>
      <c r="G14" s="14">
        <f t="shared" si="4"/>
        <v>1</v>
      </c>
      <c r="H14" s="15">
        <v>16</v>
      </c>
      <c r="I14" s="13">
        <v>13</v>
      </c>
      <c r="J14" s="9">
        <f t="shared" si="5"/>
        <v>3</v>
      </c>
      <c r="K14" s="7">
        <f t="shared" si="6"/>
        <v>0.93333333333333335</v>
      </c>
      <c r="N14" s="7">
        <f t="shared" si="0"/>
        <v>0.1875</v>
      </c>
      <c r="Q14" s="7">
        <f t="shared" si="1"/>
        <v>0.8125</v>
      </c>
      <c r="T14" s="7">
        <f t="shared" si="2"/>
        <v>6.6666666666666666E-2</v>
      </c>
      <c r="W14" s="7">
        <f t="shared" si="3"/>
        <v>0.7991071428571429</v>
      </c>
      <c r="Z14" s="7">
        <f>26/1016</f>
        <v>2.5590551181102362E-2</v>
      </c>
    </row>
    <row r="15" spans="1:40" x14ac:dyDescent="0.2">
      <c r="A15">
        <v>14</v>
      </c>
      <c r="B15" t="s">
        <v>18</v>
      </c>
      <c r="C15" t="s">
        <v>16</v>
      </c>
      <c r="D15" t="s">
        <v>17</v>
      </c>
      <c r="E15" s="7">
        <v>16</v>
      </c>
      <c r="F15" s="13">
        <v>14</v>
      </c>
      <c r="G15" s="14">
        <f t="shared" si="4"/>
        <v>2</v>
      </c>
      <c r="H15" s="15">
        <v>16</v>
      </c>
      <c r="I15" s="13">
        <v>13</v>
      </c>
      <c r="J15" s="9">
        <f t="shared" si="5"/>
        <v>3</v>
      </c>
      <c r="K15" s="7">
        <f t="shared" si="6"/>
        <v>0.875</v>
      </c>
      <c r="N15" s="7">
        <f t="shared" si="0"/>
        <v>0.1875</v>
      </c>
      <c r="Q15" s="7">
        <f t="shared" si="1"/>
        <v>0.8125</v>
      </c>
      <c r="T15" s="7">
        <f t="shared" si="2"/>
        <v>0.125</v>
      </c>
      <c r="W15" s="7">
        <f t="shared" si="3"/>
        <v>0.7857142857142857</v>
      </c>
      <c r="Z15" s="7">
        <f>26/1025</f>
        <v>2.5365853658536587E-2</v>
      </c>
    </row>
    <row r="16" spans="1:40" x14ac:dyDescent="0.2">
      <c r="A16">
        <v>1</v>
      </c>
      <c r="B16" t="s">
        <v>15</v>
      </c>
      <c r="C16" t="s">
        <v>19</v>
      </c>
      <c r="D16" t="s">
        <v>17</v>
      </c>
      <c r="E16" s="7">
        <v>16</v>
      </c>
      <c r="F16" s="13">
        <v>14</v>
      </c>
      <c r="G16" s="14">
        <f t="shared" si="4"/>
        <v>2</v>
      </c>
      <c r="H16" s="15">
        <v>15</v>
      </c>
      <c r="I16" s="13">
        <v>10</v>
      </c>
      <c r="J16" s="9">
        <f t="shared" si="5"/>
        <v>5</v>
      </c>
      <c r="K16" s="7">
        <f t="shared" si="6"/>
        <v>0.875</v>
      </c>
      <c r="L16" s="8">
        <f>AVERAGE(K16:K22)</f>
        <v>0.87366946778711474</v>
      </c>
      <c r="M16" s="9">
        <f>_xlfn.STDEV.P(K16:K22)/SQRT(7)</f>
        <v>1.9196216732218451E-3</v>
      </c>
      <c r="N16" s="7">
        <f t="shared" si="0"/>
        <v>0.33333333333333331</v>
      </c>
      <c r="O16" s="8">
        <f>AVERAGE(N16:N22)</f>
        <v>0.34523809523809523</v>
      </c>
      <c r="P16" s="9">
        <f>_xlfn.STDEV.P(N16:N22)/SQRT(7)</f>
        <v>2.0558192863497641E-2</v>
      </c>
      <c r="Q16" s="7">
        <f t="shared" si="1"/>
        <v>0.66666666666666663</v>
      </c>
      <c r="R16" s="8">
        <f>AVERAGE(Q16:Q22)</f>
        <v>0.65476190476190477</v>
      </c>
      <c r="S16" s="9">
        <f>_xlfn.STDEV.P(Q16:Q22)/SQRT(7)</f>
        <v>2.0558192863497589E-2</v>
      </c>
      <c r="T16" s="7">
        <f t="shared" si="2"/>
        <v>0.125</v>
      </c>
      <c r="U16" s="8">
        <f>AVERAGE(T16:T22)</f>
        <v>0.12633053221288515</v>
      </c>
      <c r="V16" s="9">
        <f>_xlfn.STDEV.P(T16:T22)/SQRT(7)</f>
        <v>1.919621673221852E-3</v>
      </c>
      <c r="W16" s="7">
        <f t="shared" si="3"/>
        <v>0.61904761904761896</v>
      </c>
      <c r="X16" s="8">
        <f>AVERAGE(W16:W22)</f>
        <v>0.60467687074829934</v>
      </c>
      <c r="Y16" s="9">
        <f>_xlfn.STDEV.P(W16:W22)/SQRT(7)</f>
        <v>2.3968052833813029E-2</v>
      </c>
      <c r="Z16" s="7">
        <f>7/987</f>
        <v>7.0921985815602835E-3</v>
      </c>
      <c r="AA16" s="8">
        <f>AVERAGE(Z16:Z22)</f>
        <v>9.750676654960334E-3</v>
      </c>
      <c r="AB16" s="9">
        <f>_xlfn.STDEV.P(Z16:Z22)/SQRT(7)</f>
        <v>2.4691928193331762E-3</v>
      </c>
    </row>
    <row r="17" spans="1:28" x14ac:dyDescent="0.2">
      <c r="A17">
        <v>2</v>
      </c>
      <c r="B17" t="s">
        <v>15</v>
      </c>
      <c r="C17" t="s">
        <v>19</v>
      </c>
      <c r="D17" t="s">
        <v>17</v>
      </c>
      <c r="E17" s="7">
        <v>17</v>
      </c>
      <c r="F17" s="13">
        <v>15</v>
      </c>
      <c r="G17" s="14">
        <f t="shared" si="4"/>
        <v>2</v>
      </c>
      <c r="H17" s="15">
        <v>16</v>
      </c>
      <c r="I17" s="13">
        <v>10</v>
      </c>
      <c r="J17" s="9">
        <f t="shared" si="5"/>
        <v>6</v>
      </c>
      <c r="K17" s="7">
        <f t="shared" si="6"/>
        <v>0.88235294117647056</v>
      </c>
      <c r="N17" s="7">
        <f t="shared" si="0"/>
        <v>0.375</v>
      </c>
      <c r="Q17" s="7">
        <f t="shared" si="1"/>
        <v>0.625</v>
      </c>
      <c r="T17" s="7">
        <f t="shared" si="2"/>
        <v>0.11764705882352941</v>
      </c>
      <c r="W17" s="7">
        <f t="shared" si="3"/>
        <v>0.57499999999999996</v>
      </c>
      <c r="Z17" s="7">
        <f>3/995</f>
        <v>3.015075376884422E-3</v>
      </c>
    </row>
    <row r="18" spans="1:28" x14ac:dyDescent="0.2">
      <c r="A18">
        <v>3</v>
      </c>
      <c r="B18" t="s">
        <v>15</v>
      </c>
      <c r="C18" t="s">
        <v>19</v>
      </c>
      <c r="D18" t="s">
        <v>17</v>
      </c>
      <c r="E18" s="7">
        <v>15</v>
      </c>
      <c r="F18" s="13">
        <v>13</v>
      </c>
      <c r="G18" s="14">
        <f t="shared" si="4"/>
        <v>2</v>
      </c>
      <c r="H18" s="15">
        <v>16</v>
      </c>
      <c r="I18" s="13">
        <v>9</v>
      </c>
      <c r="J18" s="9">
        <f t="shared" si="5"/>
        <v>7</v>
      </c>
      <c r="K18" s="7">
        <f t="shared" si="6"/>
        <v>0.8666666666666667</v>
      </c>
      <c r="N18" s="7">
        <f t="shared" si="0"/>
        <v>0.4375</v>
      </c>
      <c r="Q18" s="7">
        <f t="shared" si="1"/>
        <v>0.5625</v>
      </c>
      <c r="T18" s="7">
        <f t="shared" si="2"/>
        <v>0.13333333333333333</v>
      </c>
      <c r="W18" s="7">
        <f t="shared" si="3"/>
        <v>0.49519230769230771</v>
      </c>
      <c r="Z18" s="7">
        <f>6/1015</f>
        <v>5.9113300492610842E-3</v>
      </c>
    </row>
    <row r="19" spans="1:28" x14ac:dyDescent="0.2">
      <c r="A19">
        <v>4</v>
      </c>
      <c r="B19" t="s">
        <v>15</v>
      </c>
      <c r="C19" t="s">
        <v>19</v>
      </c>
      <c r="D19" t="s">
        <v>17</v>
      </c>
      <c r="E19" s="7">
        <v>16</v>
      </c>
      <c r="F19" s="13">
        <v>14</v>
      </c>
      <c r="G19" s="14">
        <f t="shared" si="4"/>
        <v>2</v>
      </c>
      <c r="H19" s="15">
        <v>15</v>
      </c>
      <c r="I19" s="13">
        <v>10</v>
      </c>
      <c r="J19" s="9">
        <f t="shared" si="5"/>
        <v>5</v>
      </c>
      <c r="K19" s="7">
        <f t="shared" si="6"/>
        <v>0.875</v>
      </c>
      <c r="N19" s="7">
        <f t="shared" si="0"/>
        <v>0.33333333333333331</v>
      </c>
      <c r="Q19" s="7">
        <f t="shared" si="1"/>
        <v>0.66666666666666663</v>
      </c>
      <c r="T19" s="7">
        <f t="shared" si="2"/>
        <v>0.125</v>
      </c>
      <c r="W19" s="7">
        <f t="shared" si="3"/>
        <v>0.61904761904761896</v>
      </c>
      <c r="Z19" s="7">
        <f>2/999</f>
        <v>2.002002002002002E-3</v>
      </c>
    </row>
    <row r="20" spans="1:28" x14ac:dyDescent="0.2">
      <c r="A20">
        <v>5</v>
      </c>
      <c r="B20" t="s">
        <v>15</v>
      </c>
      <c r="C20" t="s">
        <v>19</v>
      </c>
      <c r="D20" t="s">
        <v>17</v>
      </c>
      <c r="E20" s="7">
        <v>16</v>
      </c>
      <c r="F20" s="13">
        <v>14</v>
      </c>
      <c r="G20" s="14">
        <f t="shared" si="4"/>
        <v>2</v>
      </c>
      <c r="H20" s="15">
        <v>16</v>
      </c>
      <c r="I20" s="13">
        <v>11</v>
      </c>
      <c r="J20" s="9">
        <f t="shared" si="5"/>
        <v>5</v>
      </c>
      <c r="K20" s="7">
        <f t="shared" si="6"/>
        <v>0.875</v>
      </c>
      <c r="N20" s="7">
        <f t="shared" si="0"/>
        <v>0.3125</v>
      </c>
      <c r="Q20" s="7">
        <f t="shared" si="1"/>
        <v>0.6875</v>
      </c>
      <c r="T20" s="7">
        <f t="shared" si="2"/>
        <v>0.125</v>
      </c>
      <c r="W20" s="7">
        <f t="shared" si="3"/>
        <v>0.6428571428571429</v>
      </c>
      <c r="Z20" s="7">
        <f>19/1019</f>
        <v>1.8645731108930325E-2</v>
      </c>
    </row>
    <row r="21" spans="1:28" x14ac:dyDescent="0.2">
      <c r="A21">
        <v>6</v>
      </c>
      <c r="B21" t="s">
        <v>15</v>
      </c>
      <c r="C21" t="s">
        <v>19</v>
      </c>
      <c r="D21" t="s">
        <v>17</v>
      </c>
      <c r="E21" s="7">
        <v>15</v>
      </c>
      <c r="F21" s="13">
        <v>13</v>
      </c>
      <c r="G21" s="14">
        <f t="shared" si="4"/>
        <v>2</v>
      </c>
      <c r="H21" s="15">
        <v>16</v>
      </c>
      <c r="I21" s="13">
        <v>10</v>
      </c>
      <c r="J21" s="9">
        <f t="shared" si="5"/>
        <v>6</v>
      </c>
      <c r="K21" s="7">
        <f t="shared" si="6"/>
        <v>0.8666666666666667</v>
      </c>
      <c r="N21" s="7">
        <f t="shared" si="0"/>
        <v>0.375</v>
      </c>
      <c r="Q21" s="7">
        <f t="shared" si="1"/>
        <v>0.625</v>
      </c>
      <c r="T21" s="7">
        <f t="shared" si="2"/>
        <v>0.13333333333333333</v>
      </c>
      <c r="W21" s="7">
        <f t="shared" si="3"/>
        <v>0.56730769230769229</v>
      </c>
      <c r="Z21" s="7">
        <f>19/1005</f>
        <v>1.8905472636815919E-2</v>
      </c>
    </row>
    <row r="22" spans="1:28" x14ac:dyDescent="0.2">
      <c r="A22">
        <v>7</v>
      </c>
      <c r="B22" t="s">
        <v>15</v>
      </c>
      <c r="C22" t="s">
        <v>19</v>
      </c>
      <c r="D22" t="s">
        <v>17</v>
      </c>
      <c r="E22" s="7">
        <v>16</v>
      </c>
      <c r="F22" s="13">
        <v>14</v>
      </c>
      <c r="G22" s="14">
        <f t="shared" si="4"/>
        <v>2</v>
      </c>
      <c r="H22" s="15">
        <v>16</v>
      </c>
      <c r="I22" s="13">
        <v>12</v>
      </c>
      <c r="J22" s="9">
        <f t="shared" si="5"/>
        <v>4</v>
      </c>
      <c r="K22" s="7">
        <f t="shared" si="6"/>
        <v>0.875</v>
      </c>
      <c r="N22" s="7">
        <f t="shared" si="0"/>
        <v>0.25</v>
      </c>
      <c r="Q22" s="7">
        <f t="shared" si="1"/>
        <v>0.75</v>
      </c>
      <c r="T22" s="7">
        <f t="shared" si="2"/>
        <v>0.125</v>
      </c>
      <c r="W22" s="7">
        <f t="shared" si="3"/>
        <v>0.7142857142857143</v>
      </c>
      <c r="Z22" s="7">
        <f>13/1025</f>
        <v>1.2682926829268294E-2</v>
      </c>
    </row>
    <row r="23" spans="1:28" x14ac:dyDescent="0.2">
      <c r="A23">
        <v>8</v>
      </c>
      <c r="B23" t="s">
        <v>18</v>
      </c>
      <c r="C23" t="s">
        <v>19</v>
      </c>
      <c r="D23" t="s">
        <v>17</v>
      </c>
      <c r="E23" s="7">
        <v>17</v>
      </c>
      <c r="F23" s="13">
        <v>15</v>
      </c>
      <c r="G23" s="14">
        <f t="shared" si="4"/>
        <v>2</v>
      </c>
      <c r="H23" s="15">
        <v>16</v>
      </c>
      <c r="I23" s="13">
        <v>12</v>
      </c>
      <c r="J23" s="9">
        <f t="shared" si="5"/>
        <v>4</v>
      </c>
      <c r="K23" s="7">
        <f t="shared" si="6"/>
        <v>0.88235294117647056</v>
      </c>
      <c r="L23" s="8">
        <f>AVERAGE(K23:K29)</f>
        <v>0.85453681472589038</v>
      </c>
      <c r="M23" s="9">
        <f>_xlfn.STDEV.P(K23:K29)/SQRT(7)</f>
        <v>2.0032070680194674E-2</v>
      </c>
      <c r="N23" s="7">
        <f t="shared" si="0"/>
        <v>0.25</v>
      </c>
      <c r="O23" s="8">
        <f>AVERAGE(N23:N29)</f>
        <v>0.23333333333333334</v>
      </c>
      <c r="P23" s="9">
        <f>_xlfn.STDEV.P(N23:N29)/SQRT(7)</f>
        <v>1.9938255029100259E-2</v>
      </c>
      <c r="Q23" s="7">
        <f t="shared" si="1"/>
        <v>0.75</v>
      </c>
      <c r="R23" s="8">
        <f>AVERAGE(Q23:Q29)</f>
        <v>0.76666666666666672</v>
      </c>
      <c r="S23" s="9">
        <f>_xlfn.STDEV.P(Q23:Q29)/SQRT(7)</f>
        <v>1.9938255029100269E-2</v>
      </c>
      <c r="T23" s="7">
        <f t="shared" si="2"/>
        <v>0.11764705882352941</v>
      </c>
      <c r="U23" s="8">
        <f>AVERAGE(T23:T29)</f>
        <v>0.14546318527410965</v>
      </c>
      <c r="V23" s="9">
        <f>_xlfn.STDEV.P(T23:T29)/SQRT(7)</f>
        <v>2.0032070680194681E-2</v>
      </c>
      <c r="W23" s="7">
        <f t="shared" si="3"/>
        <v>0.71666666666666667</v>
      </c>
      <c r="X23" s="8">
        <f>AVERAGE(W23:W29)</f>
        <v>0.72626896912611194</v>
      </c>
      <c r="Y23" s="9">
        <f>_xlfn.STDEV.P(W23:W29)/SQRT(7)</f>
        <v>2.3498810933594579E-2</v>
      </c>
      <c r="Z23" s="7">
        <f>19/1010</f>
        <v>1.8811881188118811E-2</v>
      </c>
      <c r="AA23" s="8">
        <f>AVERAGE(Z23:Z29)</f>
        <v>1.4013207103488492E-2</v>
      </c>
      <c r="AB23" s="9">
        <f>_xlfn.STDEV.P(Z23:Z29)/SQRT(7)</f>
        <v>2.1968928537669102E-3</v>
      </c>
    </row>
    <row r="24" spans="1:28" x14ac:dyDescent="0.2">
      <c r="A24">
        <v>9</v>
      </c>
      <c r="B24" t="s">
        <v>18</v>
      </c>
      <c r="C24" t="s">
        <v>19</v>
      </c>
      <c r="D24" t="s">
        <v>17</v>
      </c>
      <c r="E24" s="7">
        <v>15</v>
      </c>
      <c r="F24" s="13">
        <v>13</v>
      </c>
      <c r="G24" s="14">
        <f t="shared" si="4"/>
        <v>2</v>
      </c>
      <c r="H24" s="15">
        <v>15</v>
      </c>
      <c r="I24" s="13">
        <v>13</v>
      </c>
      <c r="J24" s="9">
        <f t="shared" si="5"/>
        <v>2</v>
      </c>
      <c r="K24" s="7">
        <f t="shared" si="6"/>
        <v>0.8666666666666667</v>
      </c>
      <c r="N24" s="7">
        <f t="shared" si="0"/>
        <v>0.13333333333333333</v>
      </c>
      <c r="Q24" s="7">
        <f t="shared" si="1"/>
        <v>0.8666666666666667</v>
      </c>
      <c r="T24" s="7">
        <f t="shared" si="2"/>
        <v>0.13333333333333333</v>
      </c>
      <c r="W24" s="7">
        <f t="shared" si="3"/>
        <v>0.84615384615384615</v>
      </c>
      <c r="Z24" s="7">
        <f>21/1011</f>
        <v>2.0771513353115726E-2</v>
      </c>
    </row>
    <row r="25" spans="1:28" x14ac:dyDescent="0.2">
      <c r="A25">
        <v>10</v>
      </c>
      <c r="B25" t="s">
        <v>18</v>
      </c>
      <c r="C25" t="s">
        <v>19</v>
      </c>
      <c r="D25" t="s">
        <v>17</v>
      </c>
      <c r="E25" s="7">
        <v>14</v>
      </c>
      <c r="F25" s="13">
        <v>13</v>
      </c>
      <c r="G25" s="14">
        <f t="shared" si="4"/>
        <v>1</v>
      </c>
      <c r="H25" s="15">
        <v>16</v>
      </c>
      <c r="I25" s="13">
        <v>12</v>
      </c>
      <c r="J25" s="9">
        <f t="shared" si="5"/>
        <v>4</v>
      </c>
      <c r="K25" s="7">
        <f t="shared" si="6"/>
        <v>0.9285714285714286</v>
      </c>
      <c r="N25" s="7">
        <f t="shared" si="0"/>
        <v>0.25</v>
      </c>
      <c r="Q25" s="7">
        <f t="shared" si="1"/>
        <v>0.75</v>
      </c>
      <c r="T25" s="7">
        <f t="shared" si="2"/>
        <v>7.1428571428571425E-2</v>
      </c>
      <c r="W25" s="7">
        <f t="shared" si="3"/>
        <v>0.73076923076923073</v>
      </c>
      <c r="Z25" s="7">
        <f>6/980</f>
        <v>6.1224489795918364E-3</v>
      </c>
    </row>
    <row r="26" spans="1:28" x14ac:dyDescent="0.2">
      <c r="A26">
        <v>11</v>
      </c>
      <c r="B26" t="s">
        <v>18</v>
      </c>
      <c r="C26" t="s">
        <v>19</v>
      </c>
      <c r="D26" t="s">
        <v>17</v>
      </c>
      <c r="E26" s="7">
        <v>16</v>
      </c>
      <c r="F26" s="13">
        <v>13</v>
      </c>
      <c r="G26" s="14">
        <f t="shared" si="4"/>
        <v>3</v>
      </c>
      <c r="H26" s="15">
        <v>16</v>
      </c>
      <c r="I26" s="13">
        <v>13</v>
      </c>
      <c r="J26" s="9">
        <f t="shared" si="5"/>
        <v>3</v>
      </c>
      <c r="K26" s="7">
        <f t="shared" si="6"/>
        <v>0.8125</v>
      </c>
      <c r="N26" s="7">
        <f t="shared" si="0"/>
        <v>0.1875</v>
      </c>
      <c r="Q26" s="7">
        <f t="shared" si="1"/>
        <v>0.8125</v>
      </c>
      <c r="T26" s="7">
        <f t="shared" si="2"/>
        <v>0.1875</v>
      </c>
      <c r="W26" s="7">
        <f t="shared" si="3"/>
        <v>0.76923076923076927</v>
      </c>
      <c r="Z26" s="7">
        <f>6/990</f>
        <v>6.0606060606060606E-3</v>
      </c>
    </row>
    <row r="27" spans="1:28" x14ac:dyDescent="0.2">
      <c r="A27">
        <v>12</v>
      </c>
      <c r="B27" t="s">
        <v>18</v>
      </c>
      <c r="C27" t="s">
        <v>19</v>
      </c>
      <c r="D27" t="s">
        <v>17</v>
      </c>
      <c r="E27" s="7">
        <v>16</v>
      </c>
      <c r="F27" s="13">
        <v>14</v>
      </c>
      <c r="G27" s="14">
        <f t="shared" si="4"/>
        <v>2</v>
      </c>
      <c r="H27" s="15">
        <v>16</v>
      </c>
      <c r="I27" s="13">
        <v>11</v>
      </c>
      <c r="J27" s="9">
        <f t="shared" si="5"/>
        <v>5</v>
      </c>
      <c r="K27" s="7">
        <f t="shared" si="6"/>
        <v>0.875</v>
      </c>
      <c r="N27" s="7">
        <f t="shared" si="0"/>
        <v>0.3125</v>
      </c>
      <c r="Q27" s="7">
        <f t="shared" si="1"/>
        <v>0.6875</v>
      </c>
      <c r="T27" s="7">
        <f t="shared" si="2"/>
        <v>0.125</v>
      </c>
      <c r="W27" s="7">
        <f t="shared" si="3"/>
        <v>0.6428571428571429</v>
      </c>
      <c r="Z27" s="7">
        <f>13/1012</f>
        <v>1.2845849802371542E-2</v>
      </c>
    </row>
    <row r="28" spans="1:28" x14ac:dyDescent="0.2">
      <c r="A28">
        <v>13</v>
      </c>
      <c r="B28" t="s">
        <v>18</v>
      </c>
      <c r="C28" t="s">
        <v>19</v>
      </c>
      <c r="D28" t="s">
        <v>17</v>
      </c>
      <c r="E28" s="7">
        <v>15</v>
      </c>
      <c r="F28" s="13">
        <v>13</v>
      </c>
      <c r="G28" s="14">
        <f t="shared" si="4"/>
        <v>2</v>
      </c>
      <c r="H28" s="15">
        <v>16</v>
      </c>
      <c r="I28" s="13">
        <v>12</v>
      </c>
      <c r="J28" s="9">
        <f t="shared" si="5"/>
        <v>4</v>
      </c>
      <c r="K28" s="7">
        <f t="shared" si="6"/>
        <v>0.8666666666666667</v>
      </c>
      <c r="N28" s="7">
        <f t="shared" si="0"/>
        <v>0.25</v>
      </c>
      <c r="Q28" s="7">
        <f t="shared" si="1"/>
        <v>0.75</v>
      </c>
      <c r="T28" s="7">
        <f t="shared" si="2"/>
        <v>0.13333333333333333</v>
      </c>
      <c r="W28" s="7">
        <f t="shared" si="3"/>
        <v>0.71153846153846156</v>
      </c>
      <c r="Z28" s="7">
        <f>13/990</f>
        <v>1.3131313131313131E-2</v>
      </c>
    </row>
    <row r="29" spans="1:28" x14ac:dyDescent="0.2">
      <c r="A29">
        <v>14</v>
      </c>
      <c r="B29" t="s">
        <v>18</v>
      </c>
      <c r="C29" t="s">
        <v>19</v>
      </c>
      <c r="D29" t="s">
        <v>17</v>
      </c>
      <c r="E29" s="7">
        <v>16</v>
      </c>
      <c r="F29" s="13">
        <v>12</v>
      </c>
      <c r="G29" s="14">
        <f t="shared" si="4"/>
        <v>4</v>
      </c>
      <c r="H29" s="15">
        <v>16</v>
      </c>
      <c r="I29" s="13">
        <v>12</v>
      </c>
      <c r="J29" s="9">
        <f t="shared" si="5"/>
        <v>4</v>
      </c>
      <c r="K29" s="7">
        <f t="shared" si="6"/>
        <v>0.75</v>
      </c>
      <c r="N29" s="7">
        <f t="shared" si="0"/>
        <v>0.25</v>
      </c>
      <c r="Q29" s="7">
        <f t="shared" si="1"/>
        <v>0.75</v>
      </c>
      <c r="T29" s="7">
        <f t="shared" si="2"/>
        <v>0.25</v>
      </c>
      <c r="W29" s="7">
        <f t="shared" si="3"/>
        <v>0.66666666666666663</v>
      </c>
      <c r="Z29" s="7">
        <f>21/1032</f>
        <v>2.0348837209302327E-2</v>
      </c>
    </row>
    <row r="30" spans="1:28" x14ac:dyDescent="0.2">
      <c r="A30">
        <v>1</v>
      </c>
      <c r="B30" t="s">
        <v>15</v>
      </c>
      <c r="C30" t="s">
        <v>20</v>
      </c>
      <c r="D30" t="s">
        <v>17</v>
      </c>
      <c r="E30" s="7">
        <v>16</v>
      </c>
      <c r="F30" s="13">
        <v>14</v>
      </c>
      <c r="G30" s="14">
        <f t="shared" si="4"/>
        <v>2</v>
      </c>
      <c r="H30" s="15">
        <v>15</v>
      </c>
      <c r="I30" s="13">
        <v>6</v>
      </c>
      <c r="J30" s="9">
        <f t="shared" si="5"/>
        <v>9</v>
      </c>
      <c r="K30" s="7">
        <f t="shared" si="6"/>
        <v>0.875</v>
      </c>
      <c r="L30" s="8">
        <f>AVERAGE(K30:K36)</f>
        <v>0.83676470588235285</v>
      </c>
      <c r="M30" s="9">
        <f>_xlfn.STDEV.P(K30:K36)/SQRT(7)</f>
        <v>1.3464239658961622E-2</v>
      </c>
      <c r="N30" s="7">
        <f t="shared" si="0"/>
        <v>0.6</v>
      </c>
      <c r="O30" s="8">
        <f>AVERAGE(N30:N36)</f>
        <v>0.57689075630252107</v>
      </c>
      <c r="P30" s="9">
        <f>_xlfn.STDEV.P(N30:N36)/SQRT(7)</f>
        <v>6.4288068125350562E-3</v>
      </c>
      <c r="Q30" s="7">
        <f t="shared" si="1"/>
        <v>0.4</v>
      </c>
      <c r="R30" s="8">
        <f>AVERAGE(Q30:Q36)</f>
        <v>0.42310924369747893</v>
      </c>
      <c r="S30" s="9">
        <f>_xlfn.STDEV.P(Q30:Q36)/SQRT(7)</f>
        <v>6.4288068125350562E-3</v>
      </c>
      <c r="T30" s="7">
        <f t="shared" si="2"/>
        <v>0.125</v>
      </c>
      <c r="U30" s="8">
        <f>AVERAGE(T30:T36)</f>
        <v>0.16323529411764706</v>
      </c>
      <c r="V30" s="9">
        <f>_xlfn.STDEV.P(T30:T36)/SQRT(7)</f>
        <v>1.3464239658961636E-2</v>
      </c>
      <c r="W30" s="7">
        <f t="shared" si="3"/>
        <v>0.31428571428571433</v>
      </c>
      <c r="X30" s="8">
        <f>AVERAGE(W30:W36)</f>
        <v>0.30984128266691291</v>
      </c>
      <c r="Y30" s="9">
        <f>_xlfn.STDEV.P(W30:W36)/SQRT(7)</f>
        <v>8.858601539260106E-3</v>
      </c>
      <c r="Z30" s="7">
        <f>28/989</f>
        <v>2.8311425682507583E-2</v>
      </c>
      <c r="AA30" s="8">
        <f>AVERAGE(Z30:Z36)</f>
        <v>4.9836905158330502E-2</v>
      </c>
      <c r="AB30" s="9">
        <f>_xlfn.STDEV.P(Z30:Z36)/SQRT(7)</f>
        <v>1.7017013514953123E-2</v>
      </c>
    </row>
    <row r="31" spans="1:28" x14ac:dyDescent="0.2">
      <c r="A31">
        <v>2</v>
      </c>
      <c r="B31" t="s">
        <v>15</v>
      </c>
      <c r="C31" t="s">
        <v>20</v>
      </c>
      <c r="D31" t="s">
        <v>17</v>
      </c>
      <c r="E31" s="7">
        <v>15</v>
      </c>
      <c r="F31" s="13">
        <v>12</v>
      </c>
      <c r="G31" s="14">
        <f t="shared" si="4"/>
        <v>3</v>
      </c>
      <c r="H31" s="15">
        <v>16</v>
      </c>
      <c r="I31" s="13">
        <v>7</v>
      </c>
      <c r="J31" s="9">
        <f t="shared" si="5"/>
        <v>9</v>
      </c>
      <c r="K31" s="7">
        <f t="shared" si="6"/>
        <v>0.8</v>
      </c>
      <c r="N31" s="7">
        <f t="shared" si="0"/>
        <v>0.5625</v>
      </c>
      <c r="Q31" s="7">
        <f t="shared" si="1"/>
        <v>0.4375</v>
      </c>
      <c r="T31" s="7">
        <f t="shared" si="2"/>
        <v>0.2</v>
      </c>
      <c r="W31" s="7">
        <f t="shared" si="3"/>
        <v>0.29687499999999994</v>
      </c>
      <c r="Z31" s="7">
        <f>27/1035</f>
        <v>2.6086956521739129E-2</v>
      </c>
    </row>
    <row r="32" spans="1:28" x14ac:dyDescent="0.2">
      <c r="A32">
        <v>3</v>
      </c>
      <c r="B32" t="s">
        <v>15</v>
      </c>
      <c r="C32" t="s">
        <v>20</v>
      </c>
      <c r="D32" t="s">
        <v>17</v>
      </c>
      <c r="E32" s="7">
        <v>16</v>
      </c>
      <c r="F32" s="13">
        <v>13</v>
      </c>
      <c r="G32" s="14">
        <f t="shared" si="4"/>
        <v>3</v>
      </c>
      <c r="H32" s="15">
        <v>16</v>
      </c>
      <c r="I32" s="13">
        <v>7</v>
      </c>
      <c r="J32" s="9">
        <f t="shared" si="5"/>
        <v>9</v>
      </c>
      <c r="K32" s="7">
        <f t="shared" si="6"/>
        <v>0.8125</v>
      </c>
      <c r="N32" s="7">
        <f t="shared" si="0"/>
        <v>0.5625</v>
      </c>
      <c r="Q32" s="7">
        <f t="shared" si="1"/>
        <v>0.4375</v>
      </c>
      <c r="T32" s="7">
        <f t="shared" si="2"/>
        <v>0.1875</v>
      </c>
      <c r="W32" s="7">
        <f t="shared" si="3"/>
        <v>0.30769230769230771</v>
      </c>
      <c r="Z32" s="7">
        <f>58/1001</f>
        <v>5.7942057942057944E-2</v>
      </c>
    </row>
    <row r="33" spans="1:28" x14ac:dyDescent="0.2">
      <c r="A33">
        <v>4</v>
      </c>
      <c r="B33" t="s">
        <v>15</v>
      </c>
      <c r="C33" t="s">
        <v>20</v>
      </c>
      <c r="D33" t="s">
        <v>17</v>
      </c>
      <c r="E33" s="7">
        <v>16</v>
      </c>
      <c r="F33" s="13">
        <v>13</v>
      </c>
      <c r="G33" s="14">
        <f t="shared" si="4"/>
        <v>3</v>
      </c>
      <c r="H33" s="15">
        <v>17</v>
      </c>
      <c r="I33" s="13">
        <v>7</v>
      </c>
      <c r="J33" s="9">
        <f t="shared" si="5"/>
        <v>10</v>
      </c>
      <c r="K33" s="7">
        <f t="shared" si="6"/>
        <v>0.8125</v>
      </c>
      <c r="N33" s="7">
        <f t="shared" si="0"/>
        <v>0.58823529411764708</v>
      </c>
      <c r="Q33" s="7">
        <f t="shared" si="1"/>
        <v>0.41176470588235292</v>
      </c>
      <c r="T33" s="7">
        <f t="shared" si="2"/>
        <v>0.1875</v>
      </c>
      <c r="W33" s="7">
        <f t="shared" si="3"/>
        <v>0.27601809954751128</v>
      </c>
      <c r="Z33" s="7">
        <f>27/1035</f>
        <v>2.6086956521739129E-2</v>
      </c>
    </row>
    <row r="34" spans="1:28" x14ac:dyDescent="0.2">
      <c r="A34">
        <v>5</v>
      </c>
      <c r="B34" t="s">
        <v>15</v>
      </c>
      <c r="C34" t="s">
        <v>20</v>
      </c>
      <c r="D34" t="s">
        <v>17</v>
      </c>
      <c r="E34" s="7">
        <v>17</v>
      </c>
      <c r="F34" s="13">
        <v>15</v>
      </c>
      <c r="G34" s="14">
        <f t="shared" si="4"/>
        <v>2</v>
      </c>
      <c r="H34" s="15">
        <v>15</v>
      </c>
      <c r="I34" s="13">
        <v>6</v>
      </c>
      <c r="J34" s="9">
        <f t="shared" si="5"/>
        <v>9</v>
      </c>
      <c r="K34" s="7">
        <f t="shared" si="6"/>
        <v>0.88235294117647056</v>
      </c>
      <c r="N34" s="7">
        <f t="shared" si="0"/>
        <v>0.6</v>
      </c>
      <c r="Q34" s="7">
        <f t="shared" si="1"/>
        <v>0.4</v>
      </c>
      <c r="T34" s="7">
        <f t="shared" si="2"/>
        <v>0.11764705882352941</v>
      </c>
      <c r="W34" s="7">
        <f t="shared" si="3"/>
        <v>0.32</v>
      </c>
      <c r="Z34" s="7">
        <f>21/1013</f>
        <v>2.0730503455083909E-2</v>
      </c>
    </row>
    <row r="35" spans="1:28" x14ac:dyDescent="0.2">
      <c r="A35">
        <v>6</v>
      </c>
      <c r="B35" t="s">
        <v>15</v>
      </c>
      <c r="C35" t="s">
        <v>20</v>
      </c>
      <c r="D35" t="s">
        <v>17</v>
      </c>
      <c r="E35" s="7">
        <v>15</v>
      </c>
      <c r="F35" s="13">
        <v>12</v>
      </c>
      <c r="G35" s="14">
        <f t="shared" si="4"/>
        <v>3</v>
      </c>
      <c r="H35" s="15">
        <v>16</v>
      </c>
      <c r="I35" s="13">
        <v>7</v>
      </c>
      <c r="J35" s="9">
        <f t="shared" si="5"/>
        <v>9</v>
      </c>
      <c r="K35" s="7">
        <f t="shared" si="6"/>
        <v>0.8</v>
      </c>
      <c r="N35" s="7">
        <f t="shared" si="0"/>
        <v>0.5625</v>
      </c>
      <c r="Q35" s="7">
        <f t="shared" si="1"/>
        <v>0.4375</v>
      </c>
      <c r="T35" s="7">
        <f t="shared" si="2"/>
        <v>0.2</v>
      </c>
      <c r="W35" s="7">
        <f t="shared" si="3"/>
        <v>0.29687499999999994</v>
      </c>
      <c r="Z35" s="7">
        <f>156/996</f>
        <v>0.15662650602409639</v>
      </c>
    </row>
    <row r="36" spans="1:28" x14ac:dyDescent="0.2">
      <c r="A36">
        <v>7</v>
      </c>
      <c r="B36" t="s">
        <v>15</v>
      </c>
      <c r="C36" t="s">
        <v>20</v>
      </c>
      <c r="D36" t="s">
        <v>17</v>
      </c>
      <c r="E36" s="7">
        <v>16</v>
      </c>
      <c r="F36" s="13">
        <v>14</v>
      </c>
      <c r="G36" s="14">
        <f t="shared" si="4"/>
        <v>2</v>
      </c>
      <c r="H36" s="15">
        <v>16</v>
      </c>
      <c r="I36" s="13">
        <v>7</v>
      </c>
      <c r="J36" s="9">
        <f t="shared" si="5"/>
        <v>9</v>
      </c>
      <c r="K36" s="7">
        <f t="shared" si="6"/>
        <v>0.875</v>
      </c>
      <c r="N36" s="7">
        <f t="shared" si="0"/>
        <v>0.5625</v>
      </c>
      <c r="Q36" s="7">
        <f t="shared" si="1"/>
        <v>0.4375</v>
      </c>
      <c r="T36" s="7">
        <f t="shared" si="2"/>
        <v>0.125</v>
      </c>
      <c r="W36" s="7">
        <f t="shared" si="3"/>
        <v>0.35714285714285715</v>
      </c>
      <c r="Z36" s="7">
        <f>34/1028</f>
        <v>3.3073929961089495E-2</v>
      </c>
    </row>
    <row r="37" spans="1:28" x14ac:dyDescent="0.2">
      <c r="A37">
        <v>8</v>
      </c>
      <c r="B37" t="s">
        <v>18</v>
      </c>
      <c r="C37" t="s">
        <v>20</v>
      </c>
      <c r="D37" t="s">
        <v>17</v>
      </c>
      <c r="E37" s="7">
        <v>16</v>
      </c>
      <c r="F37" s="13">
        <v>13</v>
      </c>
      <c r="G37" s="14">
        <f t="shared" si="4"/>
        <v>3</v>
      </c>
      <c r="H37" s="15">
        <v>15</v>
      </c>
      <c r="I37" s="13">
        <v>11</v>
      </c>
      <c r="J37" s="9">
        <f t="shared" si="5"/>
        <v>4</v>
      </c>
      <c r="K37" s="7">
        <f t="shared" si="6"/>
        <v>0.8125</v>
      </c>
      <c r="L37" s="8">
        <f>AVERAGE(K37:K43)</f>
        <v>0.83571428571428563</v>
      </c>
      <c r="M37" s="9">
        <f>_xlfn.STDEV.P(K37:K43)/SQRT(7)</f>
        <v>1.8110448315611066E-2</v>
      </c>
      <c r="N37" s="7">
        <f t="shared" si="0"/>
        <v>0.26666666666666666</v>
      </c>
      <c r="O37" s="8">
        <f>AVERAGE(N37:N43)</f>
        <v>0.25476190476190474</v>
      </c>
      <c r="P37" s="9">
        <f>_xlfn.STDEV.P(N37:N43)/SQRT(7)</f>
        <v>2.8457824031771269E-3</v>
      </c>
      <c r="Q37" s="7">
        <f t="shared" si="1"/>
        <v>0.73333333333333328</v>
      </c>
      <c r="R37" s="8">
        <f>AVERAGE(Q37:Q43)</f>
        <v>0.74523809523809526</v>
      </c>
      <c r="S37" s="9">
        <f>_xlfn.STDEV.P(Q37:Q43)/SQRT(7)</f>
        <v>2.8457824031771365E-3</v>
      </c>
      <c r="T37" s="7">
        <f t="shared" si="2"/>
        <v>0.1875</v>
      </c>
      <c r="U37" s="8">
        <f>AVERAGE(T37:T43)</f>
        <v>0.16428571428571428</v>
      </c>
      <c r="V37" s="9">
        <f>_xlfn.STDEV.P(T37:T43)/SQRT(7)</f>
        <v>1.8110448315611091E-2</v>
      </c>
      <c r="W37" s="7">
        <f t="shared" si="3"/>
        <v>0.67179487179487174</v>
      </c>
      <c r="X37" s="8">
        <f>AVERAGE(W37:W43)</f>
        <v>0.69407378335949765</v>
      </c>
      <c r="Y37" s="9">
        <f>_xlfn.STDEV.P(W37:W43)/SQRT(7)</f>
        <v>7.8663355961370359E-3</v>
      </c>
      <c r="Z37" s="7">
        <f>33/1046</f>
        <v>3.1548757170172081E-2</v>
      </c>
      <c r="AA37" s="8">
        <f>AVERAGE(Z37:Z43)</f>
        <v>3.8216324064963759E-2</v>
      </c>
      <c r="AB37" s="9">
        <f>_xlfn.STDEV.P(Z37:Z43)/SQRT(7)</f>
        <v>2.347880952493516E-3</v>
      </c>
    </row>
    <row r="38" spans="1:28" x14ac:dyDescent="0.2">
      <c r="A38">
        <v>9</v>
      </c>
      <c r="B38" t="s">
        <v>18</v>
      </c>
      <c r="C38" t="s">
        <v>20</v>
      </c>
      <c r="D38" t="s">
        <v>17</v>
      </c>
      <c r="E38" s="7">
        <v>15</v>
      </c>
      <c r="F38" s="13">
        <v>12</v>
      </c>
      <c r="G38" s="14">
        <f t="shared" si="4"/>
        <v>3</v>
      </c>
      <c r="H38" s="15">
        <v>16</v>
      </c>
      <c r="I38" s="13">
        <v>12</v>
      </c>
      <c r="J38" s="9">
        <f t="shared" si="5"/>
        <v>4</v>
      </c>
      <c r="K38" s="7">
        <f t="shared" si="6"/>
        <v>0.8</v>
      </c>
      <c r="N38" s="7">
        <f t="shared" si="0"/>
        <v>0.25</v>
      </c>
      <c r="Q38" s="7">
        <f t="shared" si="1"/>
        <v>0.75</v>
      </c>
      <c r="T38" s="7">
        <f t="shared" si="2"/>
        <v>0.2</v>
      </c>
      <c r="W38" s="7">
        <f t="shared" si="3"/>
        <v>0.6875</v>
      </c>
      <c r="Z38" s="7">
        <f>40/1058</f>
        <v>3.780718336483932E-2</v>
      </c>
    </row>
    <row r="39" spans="1:28" x14ac:dyDescent="0.2">
      <c r="A39">
        <v>10</v>
      </c>
      <c r="B39" t="s">
        <v>18</v>
      </c>
      <c r="C39" t="s">
        <v>20</v>
      </c>
      <c r="D39" t="s">
        <v>17</v>
      </c>
      <c r="E39" s="7">
        <v>16</v>
      </c>
      <c r="F39" s="13">
        <v>15</v>
      </c>
      <c r="G39" s="14">
        <f t="shared" si="4"/>
        <v>1</v>
      </c>
      <c r="H39" s="15">
        <v>16</v>
      </c>
      <c r="I39" s="13">
        <v>12</v>
      </c>
      <c r="J39" s="9">
        <f t="shared" si="5"/>
        <v>4</v>
      </c>
      <c r="K39" s="7">
        <f t="shared" si="6"/>
        <v>0.9375</v>
      </c>
      <c r="N39" s="7">
        <f t="shared" si="0"/>
        <v>0.25</v>
      </c>
      <c r="Q39" s="7">
        <f t="shared" si="1"/>
        <v>0.75</v>
      </c>
      <c r="T39" s="7">
        <f t="shared" si="2"/>
        <v>6.25E-2</v>
      </c>
      <c r="W39" s="7">
        <f t="shared" si="3"/>
        <v>0.73333333333333328</v>
      </c>
      <c r="Z39" s="7">
        <f>53/1020</f>
        <v>5.1960784313725493E-2</v>
      </c>
    </row>
    <row r="40" spans="1:28" x14ac:dyDescent="0.2">
      <c r="A40">
        <v>11</v>
      </c>
      <c r="B40" t="s">
        <v>18</v>
      </c>
      <c r="C40" t="s">
        <v>20</v>
      </c>
      <c r="D40" t="s">
        <v>17</v>
      </c>
      <c r="E40" s="7">
        <v>16</v>
      </c>
      <c r="F40" s="13">
        <v>13</v>
      </c>
      <c r="G40" s="14">
        <f t="shared" si="4"/>
        <v>3</v>
      </c>
      <c r="H40" s="15">
        <v>16</v>
      </c>
      <c r="I40" s="13">
        <v>12</v>
      </c>
      <c r="J40" s="9">
        <f t="shared" si="5"/>
        <v>4</v>
      </c>
      <c r="K40" s="7">
        <f t="shared" si="6"/>
        <v>0.8125</v>
      </c>
      <c r="N40" s="7">
        <f t="shared" si="0"/>
        <v>0.25</v>
      </c>
      <c r="Q40" s="7">
        <f t="shared" si="1"/>
        <v>0.75</v>
      </c>
      <c r="T40" s="7">
        <f t="shared" si="2"/>
        <v>0.1875</v>
      </c>
      <c r="W40" s="7">
        <f t="shared" si="3"/>
        <v>0.69230769230769229</v>
      </c>
      <c r="Z40" s="7">
        <f>36/1036</f>
        <v>3.4749034749034749E-2</v>
      </c>
    </row>
    <row r="41" spans="1:28" x14ac:dyDescent="0.2">
      <c r="A41">
        <v>12</v>
      </c>
      <c r="B41" t="s">
        <v>18</v>
      </c>
      <c r="C41" t="s">
        <v>20</v>
      </c>
      <c r="D41" t="s">
        <v>17</v>
      </c>
      <c r="E41" s="7">
        <v>16</v>
      </c>
      <c r="F41" s="13">
        <v>14</v>
      </c>
      <c r="G41" s="14">
        <f t="shared" si="4"/>
        <v>2</v>
      </c>
      <c r="H41" s="15">
        <v>16</v>
      </c>
      <c r="I41" s="13">
        <v>12</v>
      </c>
      <c r="J41" s="9">
        <f t="shared" si="5"/>
        <v>4</v>
      </c>
      <c r="K41" s="7">
        <f t="shared" si="6"/>
        <v>0.875</v>
      </c>
      <c r="N41" s="7">
        <f t="shared" si="0"/>
        <v>0.25</v>
      </c>
      <c r="Q41" s="7">
        <f t="shared" si="1"/>
        <v>0.75</v>
      </c>
      <c r="T41" s="7">
        <f t="shared" si="2"/>
        <v>0.125</v>
      </c>
      <c r="W41" s="7">
        <f t="shared" si="3"/>
        <v>0.7142857142857143</v>
      </c>
      <c r="Z41" s="7">
        <f>42/1040</f>
        <v>4.0384615384615387E-2</v>
      </c>
    </row>
    <row r="42" spans="1:28" x14ac:dyDescent="0.2">
      <c r="A42">
        <v>13</v>
      </c>
      <c r="B42" t="s">
        <v>18</v>
      </c>
      <c r="C42" t="s">
        <v>20</v>
      </c>
      <c r="D42" t="s">
        <v>17</v>
      </c>
      <c r="E42" s="7">
        <v>16</v>
      </c>
      <c r="F42" s="13">
        <v>13</v>
      </c>
      <c r="G42" s="14">
        <f t="shared" si="4"/>
        <v>3</v>
      </c>
      <c r="H42" s="15">
        <v>15</v>
      </c>
      <c r="I42" s="13">
        <v>11</v>
      </c>
      <c r="J42" s="9">
        <f t="shared" si="5"/>
        <v>4</v>
      </c>
      <c r="K42" s="7">
        <f t="shared" si="6"/>
        <v>0.8125</v>
      </c>
      <c r="N42" s="7">
        <f t="shared" si="0"/>
        <v>0.26666666666666666</v>
      </c>
      <c r="Q42" s="7">
        <f t="shared" si="1"/>
        <v>0.73333333333333328</v>
      </c>
      <c r="T42" s="7">
        <f t="shared" si="2"/>
        <v>0.1875</v>
      </c>
      <c r="W42" s="7">
        <f t="shared" si="3"/>
        <v>0.67179487179487174</v>
      </c>
      <c r="Z42" s="7">
        <f>38/1022</f>
        <v>3.7181996086105673E-2</v>
      </c>
    </row>
    <row r="43" spans="1:28" x14ac:dyDescent="0.2">
      <c r="A43">
        <v>14</v>
      </c>
      <c r="B43" t="s">
        <v>18</v>
      </c>
      <c r="C43" t="s">
        <v>20</v>
      </c>
      <c r="D43" t="s">
        <v>17</v>
      </c>
      <c r="E43" s="7">
        <v>15</v>
      </c>
      <c r="F43" s="13">
        <v>12</v>
      </c>
      <c r="G43" s="14">
        <f t="shared" si="4"/>
        <v>3</v>
      </c>
      <c r="H43" s="15">
        <v>16</v>
      </c>
      <c r="I43" s="13">
        <v>12</v>
      </c>
      <c r="J43" s="9">
        <f t="shared" si="5"/>
        <v>4</v>
      </c>
      <c r="K43" s="7">
        <f t="shared" si="6"/>
        <v>0.8</v>
      </c>
      <c r="N43" s="7">
        <f t="shared" si="0"/>
        <v>0.25</v>
      </c>
      <c r="Q43" s="7">
        <f t="shared" si="1"/>
        <v>0.75</v>
      </c>
      <c r="T43" s="7">
        <f t="shared" si="2"/>
        <v>0.2</v>
      </c>
      <c r="W43" s="7">
        <f t="shared" si="3"/>
        <v>0.6875</v>
      </c>
      <c r="Z43" s="7">
        <f>35/1033</f>
        <v>3.3881897386253627E-2</v>
      </c>
    </row>
    <row r="44" spans="1:28" x14ac:dyDescent="0.2">
      <c r="A44">
        <v>1</v>
      </c>
      <c r="B44" t="s">
        <v>15</v>
      </c>
      <c r="C44" t="s">
        <v>19</v>
      </c>
      <c r="D44" t="s">
        <v>21</v>
      </c>
      <c r="E44" s="7">
        <v>14</v>
      </c>
      <c r="F44" s="13">
        <v>12</v>
      </c>
      <c r="G44" s="14">
        <f t="shared" si="4"/>
        <v>2</v>
      </c>
      <c r="H44" s="15">
        <v>16</v>
      </c>
      <c r="I44" s="13">
        <v>10</v>
      </c>
      <c r="J44" s="9">
        <f t="shared" si="5"/>
        <v>6</v>
      </c>
      <c r="K44" s="7">
        <f t="shared" si="6"/>
        <v>0.8571428571428571</v>
      </c>
      <c r="L44" s="8">
        <f>AVERAGE(K44:K50)</f>
        <v>0.85280612244897969</v>
      </c>
      <c r="M44" s="9">
        <f>_xlfn.STDEV.P(K44:K50)/SQRT(7)</f>
        <v>1.7032172525374863E-2</v>
      </c>
      <c r="N44" s="7">
        <f t="shared" si="0"/>
        <v>0.375</v>
      </c>
      <c r="O44" s="8">
        <f>AVERAGE(N44:N50)</f>
        <v>0.33368347338935578</v>
      </c>
      <c r="P44" s="9">
        <f>_xlfn.STDEV.P(N44:N50)/SQRT(7)</f>
        <v>1.0951926157443566E-2</v>
      </c>
      <c r="Q44" s="7">
        <f t="shared" si="1"/>
        <v>0.625</v>
      </c>
      <c r="R44" s="8">
        <f>AVERAGE(Q44:Q50)</f>
        <v>0.66631652661064422</v>
      </c>
      <c r="S44" s="9">
        <f>_xlfn.STDEV.P(Q44:Q50)/SQRT(7)</f>
        <v>1.0951926157443571E-2</v>
      </c>
      <c r="T44" s="7">
        <f t="shared" si="2"/>
        <v>0.14285714285714285</v>
      </c>
      <c r="U44" s="8">
        <f>AVERAGE(T44:T50)</f>
        <v>0.14719387755102042</v>
      </c>
      <c r="V44" s="9">
        <f>_xlfn.STDEV.P(T44:T50)/SQRT(7)</f>
        <v>1.7032172525374853E-2</v>
      </c>
      <c r="W44" s="7">
        <f t="shared" si="3"/>
        <v>0.5625</v>
      </c>
      <c r="X44" s="8">
        <f>AVERAGE(W44:W50)</f>
        <v>0.60741097721139747</v>
      </c>
      <c r="Y44" s="9">
        <f>_xlfn.STDEV.P(W44:W50)/SQRT(7)</f>
        <v>1.6060253654955722E-2</v>
      </c>
      <c r="Z44" s="7">
        <f>6/978</f>
        <v>6.1349693251533744E-3</v>
      </c>
      <c r="AA44" s="8">
        <f>AVERAGE(Z44:Z50)</f>
        <v>1.4943915254199688E-2</v>
      </c>
      <c r="AB44" s="9">
        <f>_xlfn.STDEV.P(Z44:Z50)/SQRT(7)</f>
        <v>2.5468295489234159E-3</v>
      </c>
    </row>
    <row r="45" spans="1:28" x14ac:dyDescent="0.2">
      <c r="A45">
        <v>2</v>
      </c>
      <c r="B45" t="s">
        <v>15</v>
      </c>
      <c r="C45" t="s">
        <v>19</v>
      </c>
      <c r="D45" t="s">
        <v>21</v>
      </c>
      <c r="E45" s="7">
        <v>16</v>
      </c>
      <c r="F45" s="13">
        <v>14</v>
      </c>
      <c r="G45" s="14">
        <f t="shared" si="4"/>
        <v>2</v>
      </c>
      <c r="H45" s="15">
        <v>15</v>
      </c>
      <c r="I45" s="13">
        <v>10</v>
      </c>
      <c r="J45" s="9">
        <f t="shared" si="5"/>
        <v>5</v>
      </c>
      <c r="K45" s="7">
        <f t="shared" si="6"/>
        <v>0.875</v>
      </c>
      <c r="N45" s="7">
        <f t="shared" si="0"/>
        <v>0.33333333333333331</v>
      </c>
      <c r="Q45" s="7">
        <f t="shared" si="1"/>
        <v>0.66666666666666663</v>
      </c>
      <c r="T45" s="7">
        <f t="shared" si="2"/>
        <v>0.125</v>
      </c>
      <c r="W45" s="7">
        <f t="shared" si="3"/>
        <v>0.61904761904761896</v>
      </c>
      <c r="Z45" s="7">
        <f>6/984</f>
        <v>6.0975609756097563E-3</v>
      </c>
    </row>
    <row r="46" spans="1:28" x14ac:dyDescent="0.2">
      <c r="A46">
        <v>3</v>
      </c>
      <c r="B46" t="s">
        <v>15</v>
      </c>
      <c r="C46" t="s">
        <v>19</v>
      </c>
      <c r="D46" t="s">
        <v>21</v>
      </c>
      <c r="E46" s="7">
        <v>16</v>
      </c>
      <c r="F46" s="13">
        <v>13</v>
      </c>
      <c r="G46" s="14">
        <f t="shared" si="4"/>
        <v>3</v>
      </c>
      <c r="H46" s="15">
        <v>16</v>
      </c>
      <c r="I46" s="13">
        <v>11</v>
      </c>
      <c r="J46" s="9">
        <f t="shared" si="5"/>
        <v>5</v>
      </c>
      <c r="K46" s="7">
        <f t="shared" si="6"/>
        <v>0.8125</v>
      </c>
      <c r="N46" s="7">
        <f t="shared" si="0"/>
        <v>0.3125</v>
      </c>
      <c r="Q46" s="7">
        <f t="shared" si="1"/>
        <v>0.6875</v>
      </c>
      <c r="T46" s="7">
        <f t="shared" si="2"/>
        <v>0.1875</v>
      </c>
      <c r="W46" s="7">
        <f t="shared" si="3"/>
        <v>0.61538461538461542</v>
      </c>
      <c r="Z46" s="7">
        <f>19/986</f>
        <v>1.9269776876267748E-2</v>
      </c>
    </row>
    <row r="47" spans="1:28" x14ac:dyDescent="0.2">
      <c r="A47">
        <v>4</v>
      </c>
      <c r="B47" t="s">
        <v>15</v>
      </c>
      <c r="C47" t="s">
        <v>19</v>
      </c>
      <c r="D47" t="s">
        <v>21</v>
      </c>
      <c r="E47" s="7">
        <v>15</v>
      </c>
      <c r="F47" s="13">
        <v>12</v>
      </c>
      <c r="G47" s="14">
        <f t="shared" si="4"/>
        <v>3</v>
      </c>
      <c r="H47" s="15">
        <v>16</v>
      </c>
      <c r="I47" s="13">
        <v>10</v>
      </c>
      <c r="J47" s="9">
        <f t="shared" si="5"/>
        <v>6</v>
      </c>
      <c r="K47" s="7">
        <f t="shared" si="6"/>
        <v>0.8</v>
      </c>
      <c r="N47" s="7">
        <f t="shared" si="0"/>
        <v>0.375</v>
      </c>
      <c r="Q47" s="7">
        <f t="shared" si="1"/>
        <v>0.625</v>
      </c>
      <c r="T47" s="7">
        <f t="shared" si="2"/>
        <v>0.2</v>
      </c>
      <c r="W47" s="7">
        <f t="shared" si="3"/>
        <v>0.53125</v>
      </c>
      <c r="Z47" s="7">
        <f>27/1005</f>
        <v>2.6865671641791045E-2</v>
      </c>
    </row>
    <row r="48" spans="1:28" x14ac:dyDescent="0.2">
      <c r="A48">
        <v>5</v>
      </c>
      <c r="B48" t="s">
        <v>15</v>
      </c>
      <c r="C48" t="s">
        <v>19</v>
      </c>
      <c r="D48" t="s">
        <v>21</v>
      </c>
      <c r="E48" s="7">
        <v>16</v>
      </c>
      <c r="F48" s="13">
        <v>14</v>
      </c>
      <c r="G48" s="14">
        <f t="shared" si="4"/>
        <v>2</v>
      </c>
      <c r="H48" s="15">
        <v>17</v>
      </c>
      <c r="I48" s="13">
        <v>12</v>
      </c>
      <c r="J48" s="9">
        <f t="shared" si="5"/>
        <v>5</v>
      </c>
      <c r="K48" s="7">
        <f t="shared" si="6"/>
        <v>0.875</v>
      </c>
      <c r="N48" s="7">
        <f t="shared" si="0"/>
        <v>0.29411764705882354</v>
      </c>
      <c r="Q48" s="7">
        <f t="shared" si="1"/>
        <v>0.70588235294117652</v>
      </c>
      <c r="T48" s="7">
        <f t="shared" si="2"/>
        <v>0.125</v>
      </c>
      <c r="W48" s="7">
        <f t="shared" si="3"/>
        <v>0.66386554621848748</v>
      </c>
      <c r="Z48" s="7">
        <f>16/1019</f>
        <v>1.5701668302257114E-2</v>
      </c>
    </row>
    <row r="49" spans="1:28" x14ac:dyDescent="0.2">
      <c r="A49">
        <v>6</v>
      </c>
      <c r="B49" t="s">
        <v>15</v>
      </c>
      <c r="C49" t="s">
        <v>19</v>
      </c>
      <c r="D49" t="s">
        <v>21</v>
      </c>
      <c r="E49" s="7">
        <v>16</v>
      </c>
      <c r="F49" s="13">
        <v>15</v>
      </c>
      <c r="G49" s="14">
        <f t="shared" si="4"/>
        <v>1</v>
      </c>
      <c r="H49" s="15">
        <v>15</v>
      </c>
      <c r="I49" s="13">
        <v>10</v>
      </c>
      <c r="J49" s="9">
        <f t="shared" si="5"/>
        <v>5</v>
      </c>
      <c r="K49" s="7">
        <f t="shared" si="6"/>
        <v>0.9375</v>
      </c>
      <c r="N49" s="7">
        <f t="shared" si="0"/>
        <v>0.33333333333333331</v>
      </c>
      <c r="Q49" s="7">
        <f t="shared" si="1"/>
        <v>0.66666666666666663</v>
      </c>
      <c r="T49" s="7">
        <f t="shared" si="2"/>
        <v>6.25E-2</v>
      </c>
      <c r="W49" s="7">
        <f t="shared" si="3"/>
        <v>0.64444444444444438</v>
      </c>
      <c r="Z49" s="7">
        <f>16/1020</f>
        <v>1.5686274509803921E-2</v>
      </c>
    </row>
    <row r="50" spans="1:28" x14ac:dyDescent="0.2">
      <c r="A50">
        <v>7</v>
      </c>
      <c r="B50" t="s">
        <v>15</v>
      </c>
      <c r="C50" t="s">
        <v>19</v>
      </c>
      <c r="D50" t="s">
        <v>21</v>
      </c>
      <c r="E50" s="7">
        <v>16</v>
      </c>
      <c r="F50" s="13">
        <v>13</v>
      </c>
      <c r="G50" s="14">
        <f t="shared" si="4"/>
        <v>3</v>
      </c>
      <c r="H50" s="15">
        <v>16</v>
      </c>
      <c r="I50" s="13">
        <v>11</v>
      </c>
      <c r="J50" s="9">
        <f t="shared" si="5"/>
        <v>5</v>
      </c>
      <c r="K50" s="7">
        <f t="shared" si="6"/>
        <v>0.8125</v>
      </c>
      <c r="N50" s="7">
        <f t="shared" si="0"/>
        <v>0.3125</v>
      </c>
      <c r="Q50" s="7">
        <f t="shared" si="1"/>
        <v>0.6875</v>
      </c>
      <c r="T50" s="7">
        <f t="shared" si="2"/>
        <v>0.1875</v>
      </c>
      <c r="W50" s="7">
        <f t="shared" si="3"/>
        <v>0.61538461538461542</v>
      </c>
      <c r="Z50" s="7">
        <f>15/1010</f>
        <v>1.4851485148514851E-2</v>
      </c>
    </row>
    <row r="51" spans="1:28" x14ac:dyDescent="0.2">
      <c r="A51">
        <v>8</v>
      </c>
      <c r="B51" t="s">
        <v>18</v>
      </c>
      <c r="C51" t="s">
        <v>19</v>
      </c>
      <c r="D51" t="s">
        <v>21</v>
      </c>
      <c r="E51" s="7">
        <v>16</v>
      </c>
      <c r="F51" s="13">
        <v>14</v>
      </c>
      <c r="G51" s="14">
        <f t="shared" si="4"/>
        <v>2</v>
      </c>
      <c r="H51" s="15">
        <v>16</v>
      </c>
      <c r="I51" s="13">
        <f>H51*0.75</f>
        <v>12</v>
      </c>
      <c r="J51" s="9">
        <f t="shared" si="5"/>
        <v>4</v>
      </c>
      <c r="K51" s="7">
        <f t="shared" si="6"/>
        <v>0.875</v>
      </c>
      <c r="L51" s="8">
        <f>AVERAGE(K51:K57)</f>
        <v>0.88191776710684289</v>
      </c>
      <c r="M51" s="9">
        <f>_xlfn.STDEV.P(K51:K57)/SQRT(7)</f>
        <v>1.4262443484399593E-2</v>
      </c>
      <c r="N51" s="7">
        <f t="shared" si="0"/>
        <v>0.25</v>
      </c>
      <c r="O51" s="8">
        <f>AVERAGE(N51:N57)</f>
        <v>0.24523809523809523</v>
      </c>
      <c r="P51" s="9">
        <f>_xlfn.STDEV.P(N51:N57)/SQRT(7)</f>
        <v>1.4590706868391938E-2</v>
      </c>
      <c r="Q51" s="7">
        <f t="shared" si="1"/>
        <v>0.75</v>
      </c>
      <c r="R51" s="8">
        <f>AVERAGE(Q51:Q57)</f>
        <v>0.75476190476190474</v>
      </c>
      <c r="S51" s="9">
        <f>_xlfn.STDEV.P(Q51:Q57)/SQRT(7)</f>
        <v>1.4590706868391923E-2</v>
      </c>
      <c r="T51" s="7">
        <f t="shared" si="2"/>
        <v>0.125</v>
      </c>
      <c r="U51" s="8">
        <f>AVERAGE(T51:T57)</f>
        <v>0.11808223289315725</v>
      </c>
      <c r="V51" s="9">
        <f>_xlfn.STDEV.P(T51:T57)/SQRT(7)</f>
        <v>1.4262443484399617E-2</v>
      </c>
      <c r="W51" s="7">
        <f t="shared" si="3"/>
        <v>0.7142857142857143</v>
      </c>
      <c r="X51" s="8">
        <f>AVERAGE(W51:W57)</f>
        <v>0.72232775161346585</v>
      </c>
      <c r="Y51" s="9">
        <f>_xlfn.STDEV.P(W51:W57)/SQRT(7)</f>
        <v>1.4660397537687808E-2</v>
      </c>
      <c r="Z51" s="7">
        <f>15/995</f>
        <v>1.507537688442211E-2</v>
      </c>
      <c r="AA51" s="8">
        <f>AVERAGE(Z51:Z57)</f>
        <v>1.3394228448085467E-2</v>
      </c>
      <c r="AB51" s="9">
        <f>_xlfn.STDEV.P(Z51:Z57)/SQRT(7)</f>
        <v>3.1170378809598706E-3</v>
      </c>
    </row>
    <row r="52" spans="1:28" x14ac:dyDescent="0.2">
      <c r="A52">
        <v>9</v>
      </c>
      <c r="B52" t="s">
        <v>18</v>
      </c>
      <c r="C52" t="s">
        <v>19</v>
      </c>
      <c r="D52" t="s">
        <v>21</v>
      </c>
      <c r="E52" s="7">
        <v>15</v>
      </c>
      <c r="F52" s="13">
        <v>14</v>
      </c>
      <c r="G52" s="14">
        <f t="shared" si="4"/>
        <v>1</v>
      </c>
      <c r="H52" s="15">
        <v>15</v>
      </c>
      <c r="I52" s="13">
        <v>12</v>
      </c>
      <c r="J52" s="9">
        <f t="shared" si="5"/>
        <v>3</v>
      </c>
      <c r="K52" s="7">
        <f t="shared" si="6"/>
        <v>0.93333333333333335</v>
      </c>
      <c r="N52" s="7">
        <f t="shared" si="0"/>
        <v>0.2</v>
      </c>
      <c r="Q52" s="7">
        <f t="shared" si="1"/>
        <v>0.8</v>
      </c>
      <c r="T52" s="7">
        <f t="shared" si="2"/>
        <v>6.6666666666666666E-2</v>
      </c>
      <c r="W52" s="7">
        <f t="shared" si="3"/>
        <v>0.78571428571428581</v>
      </c>
      <c r="Z52" s="7">
        <f>28/1009</f>
        <v>2.7750247770069375E-2</v>
      </c>
    </row>
    <row r="53" spans="1:28" x14ac:dyDescent="0.2">
      <c r="A53">
        <v>10</v>
      </c>
      <c r="B53" t="s">
        <v>18</v>
      </c>
      <c r="C53" t="s">
        <v>19</v>
      </c>
      <c r="D53" t="s">
        <v>21</v>
      </c>
      <c r="E53" s="7">
        <v>16</v>
      </c>
      <c r="F53" s="13">
        <v>14</v>
      </c>
      <c r="G53" s="14">
        <f t="shared" si="4"/>
        <v>2</v>
      </c>
      <c r="H53" s="15">
        <v>16</v>
      </c>
      <c r="I53" s="13">
        <f>H53*0.75</f>
        <v>12</v>
      </c>
      <c r="J53" s="9">
        <f t="shared" si="5"/>
        <v>4</v>
      </c>
      <c r="K53" s="7">
        <f t="shared" si="6"/>
        <v>0.875</v>
      </c>
      <c r="N53" s="7">
        <f t="shared" si="0"/>
        <v>0.25</v>
      </c>
      <c r="Q53" s="7">
        <f t="shared" si="1"/>
        <v>0.75</v>
      </c>
      <c r="T53" s="7">
        <f t="shared" si="2"/>
        <v>0.125</v>
      </c>
      <c r="W53" s="7">
        <f t="shared" si="3"/>
        <v>0.7142857142857143</v>
      </c>
      <c r="Z53" s="7">
        <f>21/1006</f>
        <v>2.0874751491053677E-2</v>
      </c>
    </row>
    <row r="54" spans="1:28" x14ac:dyDescent="0.2">
      <c r="A54">
        <v>11</v>
      </c>
      <c r="B54" t="s">
        <v>18</v>
      </c>
      <c r="C54" t="s">
        <v>19</v>
      </c>
      <c r="D54" t="s">
        <v>21</v>
      </c>
      <c r="E54" s="7">
        <v>16</v>
      </c>
      <c r="F54" s="13">
        <v>13</v>
      </c>
      <c r="G54" s="14">
        <f t="shared" si="4"/>
        <v>3</v>
      </c>
      <c r="H54" s="15">
        <v>16</v>
      </c>
      <c r="I54" s="13">
        <v>13</v>
      </c>
      <c r="J54" s="9">
        <f t="shared" si="5"/>
        <v>3</v>
      </c>
      <c r="K54" s="7">
        <f t="shared" si="6"/>
        <v>0.8125</v>
      </c>
      <c r="N54" s="7">
        <f t="shared" si="0"/>
        <v>0.1875</v>
      </c>
      <c r="Q54" s="7">
        <f t="shared" si="1"/>
        <v>0.8125</v>
      </c>
      <c r="T54" s="7">
        <f t="shared" si="2"/>
        <v>0.1875</v>
      </c>
      <c r="W54" s="7">
        <f t="shared" si="3"/>
        <v>0.76923076923076927</v>
      </c>
      <c r="Z54" s="7">
        <f>14/1007</f>
        <v>1.3902681231380337E-2</v>
      </c>
    </row>
    <row r="55" spans="1:28" x14ac:dyDescent="0.2">
      <c r="A55">
        <v>12</v>
      </c>
      <c r="B55" t="s">
        <v>18</v>
      </c>
      <c r="C55" t="s">
        <v>19</v>
      </c>
      <c r="D55" t="s">
        <v>21</v>
      </c>
      <c r="E55" s="7">
        <v>17</v>
      </c>
      <c r="F55" s="13">
        <v>15</v>
      </c>
      <c r="G55" s="14">
        <f t="shared" si="4"/>
        <v>2</v>
      </c>
      <c r="H55" s="15">
        <v>15</v>
      </c>
      <c r="I55" s="13">
        <v>11</v>
      </c>
      <c r="J55" s="9">
        <f t="shared" si="5"/>
        <v>4</v>
      </c>
      <c r="K55" s="7">
        <f t="shared" si="6"/>
        <v>0.88235294117647056</v>
      </c>
      <c r="N55" s="7">
        <f t="shared" si="0"/>
        <v>0.26666666666666666</v>
      </c>
      <c r="Q55" s="7">
        <f t="shared" si="1"/>
        <v>0.73333333333333328</v>
      </c>
      <c r="T55" s="7">
        <f t="shared" si="2"/>
        <v>0.11764705882352941</v>
      </c>
      <c r="W55" s="7">
        <f t="shared" si="3"/>
        <v>0.69777777777777772</v>
      </c>
      <c r="Z55" s="7">
        <f>2/990</f>
        <v>2.0202020202020202E-3</v>
      </c>
    </row>
    <row r="56" spans="1:28" x14ac:dyDescent="0.2">
      <c r="A56">
        <v>13</v>
      </c>
      <c r="B56" t="s">
        <v>18</v>
      </c>
      <c r="C56" t="s">
        <v>19</v>
      </c>
      <c r="D56" t="s">
        <v>21</v>
      </c>
      <c r="E56" s="7">
        <v>15</v>
      </c>
      <c r="F56" s="13">
        <v>13</v>
      </c>
      <c r="G56" s="14">
        <f t="shared" si="4"/>
        <v>2</v>
      </c>
      <c r="H56" s="15">
        <v>16</v>
      </c>
      <c r="I56" s="13">
        <f>H56*0.75</f>
        <v>12</v>
      </c>
      <c r="J56" s="9">
        <f t="shared" si="5"/>
        <v>4</v>
      </c>
      <c r="K56" s="7">
        <f t="shared" si="6"/>
        <v>0.8666666666666667</v>
      </c>
      <c r="N56" s="7">
        <f t="shared" si="0"/>
        <v>0.25</v>
      </c>
      <c r="Q56" s="7">
        <f t="shared" si="1"/>
        <v>0.75</v>
      </c>
      <c r="T56" s="7">
        <f t="shared" si="2"/>
        <v>0.13333333333333333</v>
      </c>
      <c r="W56" s="7">
        <f t="shared" si="3"/>
        <v>0.71153846153846156</v>
      </c>
      <c r="Z56" s="7">
        <f>8/1007</f>
        <v>7.9443892750744784E-3</v>
      </c>
    </row>
    <row r="57" spans="1:28" x14ac:dyDescent="0.2">
      <c r="A57">
        <v>14</v>
      </c>
      <c r="B57" t="s">
        <v>18</v>
      </c>
      <c r="C57" t="s">
        <v>19</v>
      </c>
      <c r="D57" t="s">
        <v>21</v>
      </c>
      <c r="E57" s="7">
        <v>14</v>
      </c>
      <c r="F57" s="13">
        <v>13</v>
      </c>
      <c r="G57" s="14">
        <f t="shared" si="4"/>
        <v>1</v>
      </c>
      <c r="H57" s="15">
        <v>16</v>
      </c>
      <c r="I57" s="13">
        <v>11</v>
      </c>
      <c r="J57" s="9">
        <f t="shared" si="5"/>
        <v>5</v>
      </c>
      <c r="K57" s="7">
        <f t="shared" si="6"/>
        <v>0.9285714285714286</v>
      </c>
      <c r="N57" s="7">
        <f t="shared" si="0"/>
        <v>0.3125</v>
      </c>
      <c r="Q57" s="7">
        <f t="shared" si="1"/>
        <v>0.6875</v>
      </c>
      <c r="T57" s="7">
        <f t="shared" si="2"/>
        <v>7.1428571428571425E-2</v>
      </c>
      <c r="W57" s="7">
        <f t="shared" si="3"/>
        <v>0.66346153846153844</v>
      </c>
      <c r="Z57" s="7">
        <f>6/969</f>
        <v>6.1919504643962852E-3</v>
      </c>
    </row>
    <row r="58" spans="1:28" x14ac:dyDescent="0.2">
      <c r="A58">
        <v>1</v>
      </c>
      <c r="B58" t="s">
        <v>15</v>
      </c>
      <c r="C58" t="s">
        <v>19</v>
      </c>
      <c r="D58" t="s">
        <v>22</v>
      </c>
      <c r="E58" s="7">
        <v>16</v>
      </c>
      <c r="F58" s="13">
        <v>13</v>
      </c>
      <c r="G58" s="14">
        <f t="shared" si="4"/>
        <v>3</v>
      </c>
      <c r="H58" s="15">
        <v>17</v>
      </c>
      <c r="I58" s="13">
        <v>11</v>
      </c>
      <c r="J58" s="9">
        <f t="shared" si="5"/>
        <v>6</v>
      </c>
      <c r="K58" s="7">
        <f t="shared" si="6"/>
        <v>0.8125</v>
      </c>
      <c r="L58" s="8">
        <f>AVERAGE(K58:K64)</f>
        <v>0.82857142857142851</v>
      </c>
      <c r="M58" s="9">
        <f>_xlfn.STDEV.P(K58:K64)/SQRT(7)</f>
        <v>1.1212888252977503E-2</v>
      </c>
      <c r="N58" s="7">
        <f t="shared" si="0"/>
        <v>0.35294117647058826</v>
      </c>
      <c r="O58" s="8">
        <f>AVERAGE(N58:N64)</f>
        <v>0.36649159663865544</v>
      </c>
      <c r="P58" s="9">
        <f>_xlfn.STDEV.P(N58:N64)/SQRT(7)</f>
        <v>9.5949510545128413E-3</v>
      </c>
      <c r="Q58" s="7">
        <f t="shared" si="1"/>
        <v>0.6470588235294118</v>
      </c>
      <c r="R58" s="8">
        <f>AVERAGE(Q58:Q64)</f>
        <v>0.63350840336134451</v>
      </c>
      <c r="S58" s="9">
        <f>_xlfn.STDEV.P(Q58:Q64)/SQRT(7)</f>
        <v>9.594951054512843E-3</v>
      </c>
      <c r="T58" s="7">
        <f t="shared" si="2"/>
        <v>0.1875</v>
      </c>
      <c r="U58" s="8">
        <f>AVERAGE(T58:T64)</f>
        <v>0.17142857142857143</v>
      </c>
      <c r="V58" s="9">
        <f>_xlfn.STDEV.P(T58:T64)/SQRT(7)</f>
        <v>1.1212888252977515E-2</v>
      </c>
      <c r="W58" s="7">
        <f t="shared" si="3"/>
        <v>0.56561085972850678</v>
      </c>
      <c r="X58" s="8">
        <f>AVERAGE(W58:W64)</f>
        <v>0.55780802705697663</v>
      </c>
      <c r="Y58" s="9">
        <f>_xlfn.STDEV.P(W58:W64)/SQRT(7)</f>
        <v>9.3152770358335708E-3</v>
      </c>
      <c r="Z58" s="7">
        <f>182/1018</f>
        <v>0.1787819253438114</v>
      </c>
      <c r="AA58" s="8">
        <f>AVERAGE(Z58:Z64)</f>
        <v>0.17236902568628215</v>
      </c>
      <c r="AB58" s="9">
        <f>_xlfn.STDEV.P(Z58:Z64)/SQRT(7)</f>
        <v>1.0152934644721633E-2</v>
      </c>
    </row>
    <row r="59" spans="1:28" x14ac:dyDescent="0.2">
      <c r="A59">
        <v>2</v>
      </c>
      <c r="B59" t="s">
        <v>15</v>
      </c>
      <c r="C59" t="s">
        <v>19</v>
      </c>
      <c r="D59" t="s">
        <v>22</v>
      </c>
      <c r="E59" s="7">
        <v>16</v>
      </c>
      <c r="F59" s="13">
        <v>13</v>
      </c>
      <c r="G59" s="14">
        <f t="shared" si="4"/>
        <v>3</v>
      </c>
      <c r="H59" s="15">
        <v>16</v>
      </c>
      <c r="I59" s="13">
        <v>10</v>
      </c>
      <c r="J59" s="9">
        <f t="shared" si="5"/>
        <v>6</v>
      </c>
      <c r="K59" s="7">
        <f t="shared" si="6"/>
        <v>0.8125</v>
      </c>
      <c r="N59" s="7">
        <f t="shared" si="0"/>
        <v>0.375</v>
      </c>
      <c r="Q59" s="7">
        <f t="shared" si="1"/>
        <v>0.625</v>
      </c>
      <c r="T59" s="7">
        <f t="shared" si="2"/>
        <v>0.1875</v>
      </c>
      <c r="W59" s="7">
        <f t="shared" si="3"/>
        <v>0.53846153846153844</v>
      </c>
      <c r="Z59" s="7">
        <f>179/1007</f>
        <v>0.17775571002979146</v>
      </c>
    </row>
    <row r="60" spans="1:28" x14ac:dyDescent="0.2">
      <c r="A60">
        <v>3</v>
      </c>
      <c r="B60" t="s">
        <v>15</v>
      </c>
      <c r="C60" t="s">
        <v>19</v>
      </c>
      <c r="D60" t="s">
        <v>22</v>
      </c>
      <c r="E60" s="7">
        <v>15</v>
      </c>
      <c r="F60" s="13">
        <v>12</v>
      </c>
      <c r="G60" s="14">
        <f t="shared" si="4"/>
        <v>3</v>
      </c>
      <c r="H60" s="15">
        <v>16</v>
      </c>
      <c r="I60" s="13">
        <v>11</v>
      </c>
      <c r="J60" s="9">
        <f t="shared" si="5"/>
        <v>5</v>
      </c>
      <c r="K60" s="7">
        <f t="shared" si="6"/>
        <v>0.8</v>
      </c>
      <c r="N60" s="7">
        <f t="shared" si="0"/>
        <v>0.3125</v>
      </c>
      <c r="Q60" s="7">
        <f t="shared" si="1"/>
        <v>0.6875</v>
      </c>
      <c r="T60" s="7">
        <f t="shared" si="2"/>
        <v>0.2</v>
      </c>
      <c r="W60" s="7">
        <f t="shared" si="3"/>
        <v>0.609375</v>
      </c>
      <c r="Z60" s="7">
        <f>226/1009</f>
        <v>0.22398414271555997</v>
      </c>
    </row>
    <row r="61" spans="1:28" x14ac:dyDescent="0.2">
      <c r="A61">
        <v>4</v>
      </c>
      <c r="B61" t="s">
        <v>15</v>
      </c>
      <c r="C61" t="s">
        <v>19</v>
      </c>
      <c r="D61" t="s">
        <v>22</v>
      </c>
      <c r="E61" s="7">
        <v>16</v>
      </c>
      <c r="F61" s="13">
        <v>14</v>
      </c>
      <c r="G61" s="14">
        <f t="shared" si="4"/>
        <v>2</v>
      </c>
      <c r="H61" s="15">
        <v>16</v>
      </c>
      <c r="I61" s="13">
        <v>10</v>
      </c>
      <c r="J61" s="9">
        <f t="shared" si="5"/>
        <v>6</v>
      </c>
      <c r="K61" s="7">
        <f t="shared" si="6"/>
        <v>0.875</v>
      </c>
      <c r="N61" s="7">
        <f t="shared" si="0"/>
        <v>0.375</v>
      </c>
      <c r="Q61" s="7">
        <f t="shared" si="1"/>
        <v>0.625</v>
      </c>
      <c r="T61" s="7">
        <f t="shared" si="2"/>
        <v>0.125</v>
      </c>
      <c r="W61" s="7">
        <f t="shared" si="3"/>
        <v>0.5714285714285714</v>
      </c>
      <c r="Z61" s="7">
        <f>172/1003</f>
        <v>0.17148554336989033</v>
      </c>
    </row>
    <row r="62" spans="1:28" x14ac:dyDescent="0.2">
      <c r="A62">
        <v>5</v>
      </c>
      <c r="B62" t="s">
        <v>15</v>
      </c>
      <c r="C62" t="s">
        <v>19</v>
      </c>
      <c r="D62" t="s">
        <v>22</v>
      </c>
      <c r="E62" s="7">
        <v>16</v>
      </c>
      <c r="F62" s="13">
        <v>13</v>
      </c>
      <c r="G62" s="14">
        <f t="shared" si="4"/>
        <v>3</v>
      </c>
      <c r="H62" s="15">
        <v>16</v>
      </c>
      <c r="I62" s="13">
        <v>10</v>
      </c>
      <c r="J62" s="9">
        <f t="shared" si="5"/>
        <v>6</v>
      </c>
      <c r="K62" s="7">
        <f t="shared" si="6"/>
        <v>0.8125</v>
      </c>
      <c r="N62" s="7">
        <f t="shared" si="0"/>
        <v>0.375</v>
      </c>
      <c r="Q62" s="7">
        <f t="shared" si="1"/>
        <v>0.625</v>
      </c>
      <c r="T62" s="7">
        <f t="shared" si="2"/>
        <v>0.1875</v>
      </c>
      <c r="W62" s="7">
        <f t="shared" si="3"/>
        <v>0.53846153846153844</v>
      </c>
      <c r="Z62" s="7">
        <f>135/1006</f>
        <v>0.13419483101391649</v>
      </c>
    </row>
    <row r="63" spans="1:28" x14ac:dyDescent="0.2">
      <c r="A63">
        <v>6</v>
      </c>
      <c r="B63" t="s">
        <v>15</v>
      </c>
      <c r="C63" t="s">
        <v>19</v>
      </c>
      <c r="D63" t="s">
        <v>22</v>
      </c>
      <c r="E63" s="7">
        <v>16</v>
      </c>
      <c r="F63" s="13">
        <v>14</v>
      </c>
      <c r="G63" s="14">
        <f t="shared" si="4"/>
        <v>2</v>
      </c>
      <c r="H63" s="15">
        <v>15</v>
      </c>
      <c r="I63" s="13">
        <v>9</v>
      </c>
      <c r="J63" s="9">
        <f t="shared" si="5"/>
        <v>6</v>
      </c>
      <c r="K63" s="7">
        <f t="shared" si="6"/>
        <v>0.875</v>
      </c>
      <c r="N63" s="7">
        <f t="shared" si="0"/>
        <v>0.4</v>
      </c>
      <c r="Q63" s="7">
        <f t="shared" si="1"/>
        <v>0.6</v>
      </c>
      <c r="T63" s="7">
        <f t="shared" si="2"/>
        <v>0.125</v>
      </c>
      <c r="W63" s="7">
        <f t="shared" si="3"/>
        <v>0.54285714285714282</v>
      </c>
      <c r="Z63" s="7">
        <f>172/972</f>
        <v>0.17695473251028807</v>
      </c>
    </row>
    <row r="64" spans="1:28" x14ac:dyDescent="0.2">
      <c r="A64">
        <v>7</v>
      </c>
      <c r="B64" t="s">
        <v>15</v>
      </c>
      <c r="C64" t="s">
        <v>19</v>
      </c>
      <c r="D64" t="s">
        <v>22</v>
      </c>
      <c r="E64" s="7">
        <v>16</v>
      </c>
      <c r="F64" s="13">
        <v>13</v>
      </c>
      <c r="G64" s="14">
        <f t="shared" si="4"/>
        <v>3</v>
      </c>
      <c r="H64" s="15">
        <v>16</v>
      </c>
      <c r="I64" s="13">
        <v>10</v>
      </c>
      <c r="J64" s="9">
        <f t="shared" si="5"/>
        <v>6</v>
      </c>
      <c r="K64" s="7">
        <f t="shared" si="6"/>
        <v>0.8125</v>
      </c>
      <c r="N64" s="7">
        <f t="shared" si="0"/>
        <v>0.375</v>
      </c>
      <c r="Q64" s="7">
        <f t="shared" si="1"/>
        <v>0.625</v>
      </c>
      <c r="T64" s="7">
        <f t="shared" si="2"/>
        <v>0.1875</v>
      </c>
      <c r="W64" s="7">
        <f t="shared" si="3"/>
        <v>0.53846153846153844</v>
      </c>
      <c r="Z64" s="7">
        <f>144/1004</f>
        <v>0.14342629482071714</v>
      </c>
    </row>
    <row r="65" spans="1:28" x14ac:dyDescent="0.2">
      <c r="A65">
        <v>8</v>
      </c>
      <c r="B65" t="s">
        <v>18</v>
      </c>
      <c r="C65" t="s">
        <v>19</v>
      </c>
      <c r="D65" t="s">
        <v>22</v>
      </c>
      <c r="E65" s="7">
        <v>15</v>
      </c>
      <c r="F65" s="13">
        <v>12</v>
      </c>
      <c r="G65" s="14">
        <f t="shared" si="4"/>
        <v>3</v>
      </c>
      <c r="H65" s="15">
        <v>16</v>
      </c>
      <c r="I65" s="13">
        <v>10</v>
      </c>
      <c r="J65" s="9">
        <f t="shared" si="5"/>
        <v>6</v>
      </c>
      <c r="K65" s="7">
        <f t="shared" si="6"/>
        <v>0.8</v>
      </c>
      <c r="L65" s="8">
        <f>AVERAGE(K65:K71)</f>
        <v>0.83676470588235297</v>
      </c>
      <c r="M65" s="9">
        <f>_xlfn.STDEV.P(K65:K71)/SQRT(7)</f>
        <v>1.3464239658961626E-2</v>
      </c>
      <c r="N65" s="7">
        <f t="shared" si="0"/>
        <v>0.375</v>
      </c>
      <c r="O65" s="8">
        <f>AVERAGE(N65:N71)</f>
        <v>0.37899159663865545</v>
      </c>
      <c r="P65" s="9">
        <f>_xlfn.STDEV.P(N65:N71)/SQRT(7)</f>
        <v>5.7588650196655575E-3</v>
      </c>
      <c r="Q65" s="7">
        <f t="shared" si="1"/>
        <v>0.625</v>
      </c>
      <c r="R65" s="8">
        <f>AVERAGE(Q65:Q71)</f>
        <v>0.62100840336134466</v>
      </c>
      <c r="S65" s="9">
        <f>_xlfn.STDEV.P(Q65:Q71)/SQRT(7)</f>
        <v>5.7588650196655627E-3</v>
      </c>
      <c r="T65" s="7">
        <f t="shared" si="2"/>
        <v>0.2</v>
      </c>
      <c r="U65" s="8">
        <f>AVERAGE(T65:T71)</f>
        <v>0.16323529411764706</v>
      </c>
      <c r="V65" s="9">
        <f>_xlfn.STDEV.P(T65:T71)/SQRT(7)</f>
        <v>1.3464239658961636E-2</v>
      </c>
      <c r="W65" s="7">
        <f t="shared" si="3"/>
        <v>0.53125</v>
      </c>
      <c r="X65" s="8">
        <f>AVERAGE(W65:W71)</f>
        <v>0.54585026318219587</v>
      </c>
      <c r="Y65" s="9">
        <f>_xlfn.STDEV.P(W65:W71)/SQRT(7)</f>
        <v>1.230713440344228E-2</v>
      </c>
      <c r="Z65" s="7">
        <f>92/999</f>
        <v>9.2092092092092098E-2</v>
      </c>
      <c r="AA65" s="8">
        <f>AVERAGE(Z65:Z71)</f>
        <v>0.1512817219290947</v>
      </c>
      <c r="AB65" s="9">
        <f>_xlfn.STDEV.P(Z65:Z71)/SQRT(7)</f>
        <v>1.2136722855666778E-2</v>
      </c>
    </row>
    <row r="66" spans="1:28" x14ac:dyDescent="0.2">
      <c r="A66">
        <v>9</v>
      </c>
      <c r="B66" t="s">
        <v>18</v>
      </c>
      <c r="C66" t="s">
        <v>19</v>
      </c>
      <c r="D66" t="s">
        <v>22</v>
      </c>
      <c r="E66" s="7">
        <v>16</v>
      </c>
      <c r="F66" s="13">
        <v>14</v>
      </c>
      <c r="G66" s="14">
        <f t="shared" si="4"/>
        <v>2</v>
      </c>
      <c r="H66" s="15">
        <v>17</v>
      </c>
      <c r="I66" s="13">
        <v>11</v>
      </c>
      <c r="J66" s="9">
        <f t="shared" si="5"/>
        <v>6</v>
      </c>
      <c r="K66" s="7">
        <f t="shared" ref="K66:K129" si="7">F66/E66</f>
        <v>0.875</v>
      </c>
      <c r="N66" s="7">
        <f t="shared" ref="N66:N129" si="8">J66/H66</f>
        <v>0.35294117647058826</v>
      </c>
      <c r="Q66" s="7">
        <f t="shared" ref="Q66:Q129" si="9">I66/H66</f>
        <v>0.6470588235294118</v>
      </c>
      <c r="T66" s="7">
        <f t="shared" ref="T66:T129" si="10">G66/E66</f>
        <v>0.125</v>
      </c>
      <c r="W66" s="7">
        <f t="shared" ref="W66:W129" si="11">(Q66-T66)/(1-T66)</f>
        <v>0.59663865546218486</v>
      </c>
      <c r="Z66" s="7">
        <f>133/1016</f>
        <v>0.13090551181102361</v>
      </c>
    </row>
    <row r="67" spans="1:28" x14ac:dyDescent="0.2">
      <c r="A67">
        <v>10</v>
      </c>
      <c r="B67" t="s">
        <v>18</v>
      </c>
      <c r="C67" t="s">
        <v>19</v>
      </c>
      <c r="D67" t="s">
        <v>22</v>
      </c>
      <c r="E67" s="7">
        <v>16</v>
      </c>
      <c r="F67" s="13">
        <v>13</v>
      </c>
      <c r="G67" s="14">
        <f t="shared" ref="G67:G127" si="12">E67-F67</f>
        <v>3</v>
      </c>
      <c r="H67" s="15">
        <v>15</v>
      </c>
      <c r="I67" s="13">
        <v>9</v>
      </c>
      <c r="J67" s="9">
        <f t="shared" ref="J67:J127" si="13">H67-I67</f>
        <v>6</v>
      </c>
      <c r="K67" s="7">
        <f t="shared" si="7"/>
        <v>0.8125</v>
      </c>
      <c r="N67" s="7">
        <f t="shared" si="8"/>
        <v>0.4</v>
      </c>
      <c r="Q67" s="7">
        <f t="shared" si="9"/>
        <v>0.6</v>
      </c>
      <c r="T67" s="7">
        <f t="shared" si="10"/>
        <v>0.1875</v>
      </c>
      <c r="W67" s="7">
        <f t="shared" si="11"/>
        <v>0.50769230769230766</v>
      </c>
      <c r="Z67" s="7">
        <f>138/997</f>
        <v>0.13841524573721165</v>
      </c>
    </row>
    <row r="68" spans="1:28" x14ac:dyDescent="0.2">
      <c r="A68">
        <v>11</v>
      </c>
      <c r="B68" t="s">
        <v>18</v>
      </c>
      <c r="C68" t="s">
        <v>19</v>
      </c>
      <c r="D68" t="s">
        <v>22</v>
      </c>
      <c r="E68" s="7">
        <v>17</v>
      </c>
      <c r="F68" s="13">
        <v>15</v>
      </c>
      <c r="G68" s="14">
        <f t="shared" si="12"/>
        <v>2</v>
      </c>
      <c r="H68" s="15">
        <v>16</v>
      </c>
      <c r="I68" s="13">
        <v>10</v>
      </c>
      <c r="J68" s="9">
        <f t="shared" si="13"/>
        <v>6</v>
      </c>
      <c r="K68" s="7">
        <f t="shared" si="7"/>
        <v>0.88235294117647056</v>
      </c>
      <c r="N68" s="7">
        <f t="shared" si="8"/>
        <v>0.375</v>
      </c>
      <c r="Q68" s="7">
        <f t="shared" si="9"/>
        <v>0.625</v>
      </c>
      <c r="T68" s="7">
        <f t="shared" si="10"/>
        <v>0.11764705882352941</v>
      </c>
      <c r="W68" s="7">
        <f t="shared" si="11"/>
        <v>0.57499999999999996</v>
      </c>
      <c r="Z68" s="7">
        <f>179/1010</f>
        <v>0.17722772277227722</v>
      </c>
    </row>
    <row r="69" spans="1:28" x14ac:dyDescent="0.2">
      <c r="A69">
        <v>12</v>
      </c>
      <c r="B69" t="s">
        <v>18</v>
      </c>
      <c r="C69" t="s">
        <v>19</v>
      </c>
      <c r="D69" t="s">
        <v>22</v>
      </c>
      <c r="E69" s="7">
        <v>15</v>
      </c>
      <c r="F69" s="13">
        <v>12</v>
      </c>
      <c r="G69" s="14">
        <f t="shared" si="12"/>
        <v>3</v>
      </c>
      <c r="H69" s="15">
        <v>16</v>
      </c>
      <c r="I69" s="13">
        <v>10</v>
      </c>
      <c r="J69" s="9">
        <f t="shared" si="13"/>
        <v>6</v>
      </c>
      <c r="K69" s="7">
        <f t="shared" si="7"/>
        <v>0.8</v>
      </c>
      <c r="N69" s="7">
        <f t="shared" si="8"/>
        <v>0.375</v>
      </c>
      <c r="Q69" s="7">
        <f t="shared" si="9"/>
        <v>0.625</v>
      </c>
      <c r="T69" s="7">
        <f t="shared" si="10"/>
        <v>0.2</v>
      </c>
      <c r="W69" s="7">
        <f t="shared" si="11"/>
        <v>0.53125</v>
      </c>
      <c r="Z69" s="7">
        <f>200/1007</f>
        <v>0.19860973187686196</v>
      </c>
    </row>
    <row r="70" spans="1:28" x14ac:dyDescent="0.2">
      <c r="A70">
        <v>13</v>
      </c>
      <c r="B70" t="s">
        <v>18</v>
      </c>
      <c r="C70" t="s">
        <v>19</v>
      </c>
      <c r="D70" t="s">
        <v>22</v>
      </c>
      <c r="E70" s="7">
        <v>16</v>
      </c>
      <c r="F70" s="13">
        <v>13</v>
      </c>
      <c r="G70" s="14">
        <f t="shared" si="12"/>
        <v>3</v>
      </c>
      <c r="H70" s="15">
        <v>15</v>
      </c>
      <c r="I70" s="13">
        <v>9</v>
      </c>
      <c r="J70" s="9">
        <f t="shared" si="13"/>
        <v>6</v>
      </c>
      <c r="K70" s="7">
        <f t="shared" si="7"/>
        <v>0.8125</v>
      </c>
      <c r="N70" s="7">
        <f t="shared" si="8"/>
        <v>0.4</v>
      </c>
      <c r="Q70" s="7">
        <f t="shared" si="9"/>
        <v>0.6</v>
      </c>
      <c r="T70" s="7">
        <f t="shared" si="10"/>
        <v>0.1875</v>
      </c>
      <c r="W70" s="7">
        <f t="shared" si="11"/>
        <v>0.50769230769230766</v>
      </c>
      <c r="Z70" s="7">
        <f>155/990</f>
        <v>0.15656565656565657</v>
      </c>
    </row>
    <row r="71" spans="1:28" x14ac:dyDescent="0.2">
      <c r="A71">
        <v>14</v>
      </c>
      <c r="B71" t="s">
        <v>18</v>
      </c>
      <c r="C71" t="s">
        <v>19</v>
      </c>
      <c r="D71" t="s">
        <v>22</v>
      </c>
      <c r="E71" s="7">
        <v>16</v>
      </c>
      <c r="F71" s="13">
        <v>14</v>
      </c>
      <c r="G71" s="14">
        <f t="shared" si="12"/>
        <v>2</v>
      </c>
      <c r="H71" s="15">
        <v>16</v>
      </c>
      <c r="I71" s="13">
        <v>10</v>
      </c>
      <c r="J71" s="9">
        <f t="shared" si="13"/>
        <v>6</v>
      </c>
      <c r="K71" s="7">
        <f t="shared" si="7"/>
        <v>0.875</v>
      </c>
      <c r="N71" s="7">
        <f t="shared" si="8"/>
        <v>0.375</v>
      </c>
      <c r="Q71" s="7">
        <f t="shared" si="9"/>
        <v>0.625</v>
      </c>
      <c r="T71" s="7">
        <f t="shared" si="10"/>
        <v>0.125</v>
      </c>
      <c r="W71" s="7">
        <f t="shared" si="11"/>
        <v>0.5714285714285714</v>
      </c>
      <c r="Z71" s="7">
        <f>164/993</f>
        <v>0.16515609264853978</v>
      </c>
    </row>
    <row r="72" spans="1:28" x14ac:dyDescent="0.2">
      <c r="A72">
        <v>1</v>
      </c>
      <c r="B72" t="s">
        <v>15</v>
      </c>
      <c r="C72" t="s">
        <v>19</v>
      </c>
      <c r="D72" t="s">
        <v>23</v>
      </c>
      <c r="E72" s="7">
        <v>15</v>
      </c>
      <c r="F72" s="13">
        <v>12</v>
      </c>
      <c r="G72" s="14">
        <f t="shared" si="12"/>
        <v>3</v>
      </c>
      <c r="H72" s="15">
        <v>16</v>
      </c>
      <c r="I72" s="13">
        <v>8</v>
      </c>
      <c r="J72" s="9">
        <f t="shared" si="13"/>
        <v>8</v>
      </c>
      <c r="K72" s="7">
        <f t="shared" si="7"/>
        <v>0.8</v>
      </c>
      <c r="L72" s="8">
        <f>AVERAGE(K72:K78)</f>
        <v>0.81688175270108032</v>
      </c>
      <c r="M72" s="9">
        <f>_xlfn.STDEV.P(K72:K78)/SQRT(7)</f>
        <v>6.8403579101654613E-3</v>
      </c>
      <c r="N72" s="7">
        <f t="shared" si="8"/>
        <v>0.5</v>
      </c>
      <c r="O72" s="8">
        <f>AVERAGE(N72:N78)</f>
        <v>0.47738095238095241</v>
      </c>
      <c r="P72" s="9">
        <f>_xlfn.STDEV.P(N72:N78)/SQRT(7)</f>
        <v>1.0441539788671315E-2</v>
      </c>
      <c r="Q72" s="7">
        <f t="shared" si="9"/>
        <v>0.5</v>
      </c>
      <c r="R72" s="8">
        <f>AVERAGE(Q72:Q78)</f>
        <v>0.52261904761904765</v>
      </c>
      <c r="S72" s="9">
        <f>_xlfn.STDEV.P(Q72:Q78)/SQRT(7)</f>
        <v>1.0441539788671315E-2</v>
      </c>
      <c r="T72" s="7">
        <f t="shared" si="10"/>
        <v>0.2</v>
      </c>
      <c r="U72" s="8">
        <f>AVERAGE(T72:T78)</f>
        <v>0.18311824729891954</v>
      </c>
      <c r="V72" s="9">
        <f>_xlfn.STDEV.P(T72:T78)/SQRT(7)</f>
        <v>6.8403579101654743E-3</v>
      </c>
      <c r="W72" s="7">
        <f t="shared" si="11"/>
        <v>0.37499999999999994</v>
      </c>
      <c r="X72" s="8">
        <f>AVERAGE(W72:W78)</f>
        <v>0.41498233908948196</v>
      </c>
      <c r="Y72" s="9">
        <f>_xlfn.STDEV.P(W72:W78)/SQRT(7)</f>
        <v>1.5431238813399653E-2</v>
      </c>
      <c r="Z72" s="7">
        <f>163/1016</f>
        <v>0.16043307086614172</v>
      </c>
      <c r="AA72" s="8">
        <f>AVERAGE(Z72:Z78)</f>
        <v>0.13851655622105663</v>
      </c>
      <c r="AB72" s="9">
        <f>_xlfn.STDEV.P(Z72:Z78)/SQRT(7)</f>
        <v>1.0241036989055796E-2</v>
      </c>
    </row>
    <row r="73" spans="1:28" x14ac:dyDescent="0.2">
      <c r="A73">
        <v>2</v>
      </c>
      <c r="B73" t="s">
        <v>15</v>
      </c>
      <c r="C73" t="s">
        <v>19</v>
      </c>
      <c r="D73" t="s">
        <v>23</v>
      </c>
      <c r="E73" s="7">
        <v>16</v>
      </c>
      <c r="F73" s="13">
        <v>13</v>
      </c>
      <c r="G73" s="14">
        <f t="shared" si="12"/>
        <v>3</v>
      </c>
      <c r="H73" s="15">
        <v>16</v>
      </c>
      <c r="I73" s="13">
        <v>9</v>
      </c>
      <c r="J73" s="9">
        <f t="shared" si="13"/>
        <v>7</v>
      </c>
      <c r="K73" s="7">
        <f t="shared" si="7"/>
        <v>0.8125</v>
      </c>
      <c r="N73" s="7">
        <f t="shared" si="8"/>
        <v>0.4375</v>
      </c>
      <c r="Q73" s="7">
        <f t="shared" si="9"/>
        <v>0.5625</v>
      </c>
      <c r="T73" s="7">
        <f t="shared" si="10"/>
        <v>0.1875</v>
      </c>
      <c r="W73" s="7">
        <f t="shared" si="11"/>
        <v>0.46153846153846156</v>
      </c>
      <c r="Z73" s="7">
        <f>119/1049</f>
        <v>0.11344137273593899</v>
      </c>
    </row>
    <row r="74" spans="1:28" x14ac:dyDescent="0.2">
      <c r="A74">
        <v>3</v>
      </c>
      <c r="B74" t="s">
        <v>15</v>
      </c>
      <c r="C74" t="s">
        <v>19</v>
      </c>
      <c r="D74" t="s">
        <v>23</v>
      </c>
      <c r="E74" s="7">
        <v>16</v>
      </c>
      <c r="F74" s="13">
        <v>13</v>
      </c>
      <c r="G74" s="14">
        <f t="shared" si="12"/>
        <v>3</v>
      </c>
      <c r="H74" s="15">
        <v>16</v>
      </c>
      <c r="I74" s="13">
        <v>8</v>
      </c>
      <c r="J74" s="9">
        <f t="shared" si="13"/>
        <v>8</v>
      </c>
      <c r="K74" s="7">
        <f t="shared" si="7"/>
        <v>0.8125</v>
      </c>
      <c r="N74" s="7">
        <f t="shared" si="8"/>
        <v>0.5</v>
      </c>
      <c r="Q74" s="7">
        <f t="shared" si="9"/>
        <v>0.5</v>
      </c>
      <c r="T74" s="7">
        <f t="shared" si="10"/>
        <v>0.1875</v>
      </c>
      <c r="W74" s="7">
        <f t="shared" si="11"/>
        <v>0.38461538461538464</v>
      </c>
      <c r="Z74" s="7">
        <f>144/1010</f>
        <v>0.14257425742574256</v>
      </c>
    </row>
    <row r="75" spans="1:28" x14ac:dyDescent="0.2">
      <c r="A75">
        <v>4</v>
      </c>
      <c r="B75" t="s">
        <v>15</v>
      </c>
      <c r="C75" t="s">
        <v>19</v>
      </c>
      <c r="D75" t="s">
        <v>23</v>
      </c>
      <c r="E75" s="7">
        <v>17</v>
      </c>
      <c r="F75" s="13">
        <v>14</v>
      </c>
      <c r="G75" s="14">
        <f t="shared" si="12"/>
        <v>3</v>
      </c>
      <c r="H75" s="15">
        <v>16</v>
      </c>
      <c r="I75" s="13">
        <v>8</v>
      </c>
      <c r="J75" s="9">
        <f t="shared" si="13"/>
        <v>8</v>
      </c>
      <c r="K75" s="7">
        <f t="shared" si="7"/>
        <v>0.82352941176470584</v>
      </c>
      <c r="N75" s="7">
        <f t="shared" si="8"/>
        <v>0.5</v>
      </c>
      <c r="Q75" s="7">
        <f t="shared" si="9"/>
        <v>0.5</v>
      </c>
      <c r="T75" s="7">
        <f t="shared" si="10"/>
        <v>0.17647058823529413</v>
      </c>
      <c r="W75" s="7">
        <f t="shared" si="11"/>
        <v>0.39285714285714285</v>
      </c>
      <c r="Z75" s="7">
        <f>187/1013</f>
        <v>0.18460019743336623</v>
      </c>
    </row>
    <row r="76" spans="1:28" x14ac:dyDescent="0.2">
      <c r="A76">
        <v>5</v>
      </c>
      <c r="B76" t="s">
        <v>15</v>
      </c>
      <c r="C76" t="s">
        <v>19</v>
      </c>
      <c r="D76" t="s">
        <v>23</v>
      </c>
      <c r="E76" s="7">
        <v>15</v>
      </c>
      <c r="F76" s="13">
        <v>12</v>
      </c>
      <c r="G76" s="14">
        <f t="shared" si="12"/>
        <v>3</v>
      </c>
      <c r="H76" s="15">
        <v>15</v>
      </c>
      <c r="I76" s="13">
        <v>8</v>
      </c>
      <c r="J76" s="9">
        <f t="shared" si="13"/>
        <v>7</v>
      </c>
      <c r="K76" s="7">
        <f t="shared" si="7"/>
        <v>0.8</v>
      </c>
      <c r="N76" s="7">
        <f t="shared" si="8"/>
        <v>0.46666666666666667</v>
      </c>
      <c r="Q76" s="7">
        <f t="shared" si="9"/>
        <v>0.53333333333333333</v>
      </c>
      <c r="T76" s="7">
        <f t="shared" si="10"/>
        <v>0.2</v>
      </c>
      <c r="W76" s="7">
        <f t="shared" si="11"/>
        <v>0.41666666666666663</v>
      </c>
      <c r="Z76" s="7">
        <f>149/999</f>
        <v>0.14914914914914915</v>
      </c>
    </row>
    <row r="77" spans="1:28" x14ac:dyDescent="0.2">
      <c r="A77">
        <v>6</v>
      </c>
      <c r="B77" t="s">
        <v>15</v>
      </c>
      <c r="C77" t="s">
        <v>19</v>
      </c>
      <c r="D77" t="s">
        <v>23</v>
      </c>
      <c r="E77" s="7">
        <v>14</v>
      </c>
      <c r="F77" s="13">
        <v>12</v>
      </c>
      <c r="G77" s="14">
        <f t="shared" si="12"/>
        <v>2</v>
      </c>
      <c r="H77" s="15">
        <v>16</v>
      </c>
      <c r="I77" s="13">
        <v>9</v>
      </c>
      <c r="J77" s="9">
        <f t="shared" si="13"/>
        <v>7</v>
      </c>
      <c r="K77" s="7">
        <f t="shared" si="7"/>
        <v>0.8571428571428571</v>
      </c>
      <c r="N77" s="7">
        <f t="shared" si="8"/>
        <v>0.4375</v>
      </c>
      <c r="Q77" s="7">
        <f t="shared" si="9"/>
        <v>0.5625</v>
      </c>
      <c r="T77" s="7">
        <f t="shared" si="10"/>
        <v>0.14285714285714285</v>
      </c>
      <c r="W77" s="7">
        <f t="shared" si="11"/>
        <v>0.48958333333333331</v>
      </c>
      <c r="Z77" s="7">
        <f>119/1014</f>
        <v>0.11735700197238659</v>
      </c>
    </row>
    <row r="78" spans="1:28" x14ac:dyDescent="0.2">
      <c r="A78">
        <v>7</v>
      </c>
      <c r="B78" t="s">
        <v>15</v>
      </c>
      <c r="C78" t="s">
        <v>19</v>
      </c>
      <c r="D78" t="s">
        <v>23</v>
      </c>
      <c r="E78" s="7">
        <v>16</v>
      </c>
      <c r="F78" s="13">
        <v>13</v>
      </c>
      <c r="G78" s="14">
        <f t="shared" si="12"/>
        <v>3</v>
      </c>
      <c r="H78" s="15">
        <v>16</v>
      </c>
      <c r="I78" s="13">
        <v>8</v>
      </c>
      <c r="J78" s="9">
        <f t="shared" si="13"/>
        <v>8</v>
      </c>
      <c r="K78" s="7">
        <f t="shared" si="7"/>
        <v>0.8125</v>
      </c>
      <c r="N78" s="7">
        <f t="shared" si="8"/>
        <v>0.5</v>
      </c>
      <c r="Q78" s="7">
        <f t="shared" si="9"/>
        <v>0.5</v>
      </c>
      <c r="T78" s="7">
        <f t="shared" si="10"/>
        <v>0.1875</v>
      </c>
      <c r="W78" s="7">
        <f t="shared" si="11"/>
        <v>0.38461538461538464</v>
      </c>
      <c r="Z78" s="7">
        <f>104/1019</f>
        <v>0.10206084396467124</v>
      </c>
    </row>
    <row r="79" spans="1:28" x14ac:dyDescent="0.2">
      <c r="A79">
        <v>8</v>
      </c>
      <c r="B79" t="s">
        <v>18</v>
      </c>
      <c r="C79" t="s">
        <v>19</v>
      </c>
      <c r="D79" t="s">
        <v>23</v>
      </c>
      <c r="E79" s="7">
        <v>15</v>
      </c>
      <c r="F79" s="13">
        <v>12</v>
      </c>
      <c r="G79" s="14">
        <f t="shared" si="12"/>
        <v>3</v>
      </c>
      <c r="H79" s="15">
        <v>17</v>
      </c>
      <c r="I79" s="13">
        <v>9</v>
      </c>
      <c r="J79" s="9">
        <f t="shared" si="13"/>
        <v>8</v>
      </c>
      <c r="K79" s="7">
        <f t="shared" si="7"/>
        <v>0.8</v>
      </c>
      <c r="L79" s="8">
        <f>AVERAGE(K79:K85)</f>
        <v>0.80157563025210077</v>
      </c>
      <c r="M79" s="9">
        <f>_xlfn.STDEV.P(K79:K85)/SQRT(7)</f>
        <v>8.4575831728447293E-3</v>
      </c>
      <c r="N79" s="7">
        <f t="shared" si="8"/>
        <v>0.47058823529411764</v>
      </c>
      <c r="O79" s="8">
        <f>AVERAGE(N79:N85)</f>
        <v>0.46841736694677871</v>
      </c>
      <c r="P79" s="9">
        <f>_xlfn.STDEV.P(N79:N85)/SQRT(7)</f>
        <v>8.9414594427096178E-3</v>
      </c>
      <c r="Q79" s="7">
        <f t="shared" si="9"/>
        <v>0.52941176470588236</v>
      </c>
      <c r="R79" s="8">
        <f>AVERAGE(Q79:Q85)</f>
        <v>0.53158263305322129</v>
      </c>
      <c r="S79" s="9">
        <f>_xlfn.STDEV.P(Q79:Q85)/SQRT(7)</f>
        <v>8.9414594427096178E-3</v>
      </c>
      <c r="T79" s="7">
        <f t="shared" si="10"/>
        <v>0.2</v>
      </c>
      <c r="U79" s="8">
        <f>AVERAGE(T79:T85)</f>
        <v>0.19842436974789915</v>
      </c>
      <c r="V79" s="9">
        <f>_xlfn.STDEV.P(T79:T85)/SQRT(7)</f>
        <v>8.4575831728447605E-3</v>
      </c>
      <c r="W79" s="7">
        <f t="shared" si="11"/>
        <v>0.41176470588235292</v>
      </c>
      <c r="X79" s="8">
        <f>AVERAGE(W79:W85)</f>
        <v>0.41461565395388922</v>
      </c>
      <c r="Y79" s="9">
        <f>_xlfn.STDEV.P(W79:W85)/SQRT(7)</f>
        <v>1.6145386956132074E-2</v>
      </c>
      <c r="Z79" s="7">
        <f>114/1002</f>
        <v>0.11377245508982035</v>
      </c>
      <c r="AA79" s="8">
        <f>AVERAGE(Z79:Z85)</f>
        <v>0.11042481412242879</v>
      </c>
      <c r="AB79" s="9">
        <f>_xlfn.STDEV.P(Z79:Z85)/SQRT(7)</f>
        <v>4.3396224587012458E-3</v>
      </c>
    </row>
    <row r="80" spans="1:28" x14ac:dyDescent="0.2">
      <c r="A80">
        <v>9</v>
      </c>
      <c r="B80" t="s">
        <v>18</v>
      </c>
      <c r="C80" t="s">
        <v>19</v>
      </c>
      <c r="D80" t="s">
        <v>23</v>
      </c>
      <c r="E80" s="7">
        <v>16</v>
      </c>
      <c r="F80" s="13">
        <v>13</v>
      </c>
      <c r="G80" s="14">
        <f t="shared" si="12"/>
        <v>3</v>
      </c>
      <c r="H80" s="15">
        <v>15</v>
      </c>
      <c r="I80" s="13">
        <v>8</v>
      </c>
      <c r="J80" s="9">
        <f t="shared" si="13"/>
        <v>7</v>
      </c>
      <c r="K80" s="7">
        <f t="shared" si="7"/>
        <v>0.8125</v>
      </c>
      <c r="N80" s="7">
        <f t="shared" si="8"/>
        <v>0.46666666666666667</v>
      </c>
      <c r="Q80" s="7">
        <f t="shared" si="9"/>
        <v>0.53333333333333333</v>
      </c>
      <c r="T80" s="7">
        <f t="shared" si="10"/>
        <v>0.1875</v>
      </c>
      <c r="W80" s="7">
        <f t="shared" si="11"/>
        <v>0.42564102564102563</v>
      </c>
      <c r="Z80" s="7">
        <f>98/1020</f>
        <v>9.6078431372549025E-2</v>
      </c>
    </row>
    <row r="81" spans="1:28" x14ac:dyDescent="0.2">
      <c r="A81">
        <v>10</v>
      </c>
      <c r="B81" t="s">
        <v>18</v>
      </c>
      <c r="C81" t="s">
        <v>19</v>
      </c>
      <c r="D81" t="s">
        <v>23</v>
      </c>
      <c r="E81" s="7">
        <v>16</v>
      </c>
      <c r="F81" s="13">
        <v>12</v>
      </c>
      <c r="G81" s="14">
        <f t="shared" si="12"/>
        <v>4</v>
      </c>
      <c r="H81" s="15">
        <v>16</v>
      </c>
      <c r="I81" s="13">
        <v>8</v>
      </c>
      <c r="J81" s="9">
        <f t="shared" si="13"/>
        <v>8</v>
      </c>
      <c r="K81" s="7">
        <f t="shared" si="7"/>
        <v>0.75</v>
      </c>
      <c r="N81" s="7">
        <f t="shared" si="8"/>
        <v>0.5</v>
      </c>
      <c r="Q81" s="7">
        <f t="shared" si="9"/>
        <v>0.5</v>
      </c>
      <c r="T81" s="7">
        <f t="shared" si="10"/>
        <v>0.25</v>
      </c>
      <c r="W81" s="7">
        <f t="shared" si="11"/>
        <v>0.33333333333333331</v>
      </c>
      <c r="Z81" s="7">
        <f>119/1025</f>
        <v>0.11609756097560976</v>
      </c>
    </row>
    <row r="82" spans="1:28" x14ac:dyDescent="0.2">
      <c r="A82">
        <v>11</v>
      </c>
      <c r="B82" t="s">
        <v>18</v>
      </c>
      <c r="C82" t="s">
        <v>19</v>
      </c>
      <c r="D82" t="s">
        <v>23</v>
      </c>
      <c r="E82" s="7">
        <v>17</v>
      </c>
      <c r="F82" s="13">
        <v>14</v>
      </c>
      <c r="G82" s="14">
        <f t="shared" si="12"/>
        <v>3</v>
      </c>
      <c r="H82" s="15">
        <v>16</v>
      </c>
      <c r="I82" s="13">
        <v>9</v>
      </c>
      <c r="J82" s="9">
        <f t="shared" si="13"/>
        <v>7</v>
      </c>
      <c r="K82" s="7">
        <f t="shared" si="7"/>
        <v>0.82352941176470584</v>
      </c>
      <c r="N82" s="7">
        <f t="shared" si="8"/>
        <v>0.4375</v>
      </c>
      <c r="Q82" s="7">
        <f t="shared" si="9"/>
        <v>0.5625</v>
      </c>
      <c r="T82" s="7">
        <f t="shared" si="10"/>
        <v>0.17647058823529413</v>
      </c>
      <c r="W82" s="7">
        <f t="shared" si="11"/>
        <v>0.46875</v>
      </c>
      <c r="Z82" s="7">
        <f>100/1036</f>
        <v>9.6525096525096526E-2</v>
      </c>
    </row>
    <row r="83" spans="1:28" x14ac:dyDescent="0.2">
      <c r="A83">
        <v>12</v>
      </c>
      <c r="B83" t="s">
        <v>18</v>
      </c>
      <c r="C83" t="s">
        <v>19</v>
      </c>
      <c r="D83" t="s">
        <v>23</v>
      </c>
      <c r="E83" s="7">
        <v>15</v>
      </c>
      <c r="F83" s="13">
        <v>12</v>
      </c>
      <c r="G83" s="14">
        <f t="shared" si="12"/>
        <v>3</v>
      </c>
      <c r="H83" s="15">
        <v>15</v>
      </c>
      <c r="I83" s="13">
        <v>8</v>
      </c>
      <c r="J83" s="9">
        <f t="shared" si="13"/>
        <v>7</v>
      </c>
      <c r="K83" s="7">
        <f t="shared" si="7"/>
        <v>0.8</v>
      </c>
      <c r="N83" s="7">
        <f t="shared" si="8"/>
        <v>0.46666666666666667</v>
      </c>
      <c r="Q83" s="7">
        <f t="shared" si="9"/>
        <v>0.53333333333333333</v>
      </c>
      <c r="T83" s="7">
        <f t="shared" si="10"/>
        <v>0.2</v>
      </c>
      <c r="W83" s="7">
        <f t="shared" si="11"/>
        <v>0.41666666666666663</v>
      </c>
      <c r="Z83" s="7">
        <f>134/1023</f>
        <v>0.13098729227761485</v>
      </c>
    </row>
    <row r="84" spans="1:28" x14ac:dyDescent="0.2">
      <c r="A84">
        <v>13</v>
      </c>
      <c r="B84" t="s">
        <v>18</v>
      </c>
      <c r="C84" t="s">
        <v>19</v>
      </c>
      <c r="D84" t="s">
        <v>23</v>
      </c>
      <c r="E84" s="7">
        <v>16</v>
      </c>
      <c r="F84" s="13">
        <v>13</v>
      </c>
      <c r="G84" s="14">
        <f t="shared" si="12"/>
        <v>3</v>
      </c>
      <c r="H84" s="15">
        <v>16</v>
      </c>
      <c r="I84" s="13">
        <v>8</v>
      </c>
      <c r="J84" s="9">
        <f t="shared" si="13"/>
        <v>8</v>
      </c>
      <c r="K84" s="7">
        <f t="shared" si="7"/>
        <v>0.8125</v>
      </c>
      <c r="N84" s="7">
        <f t="shared" si="8"/>
        <v>0.5</v>
      </c>
      <c r="Q84" s="7">
        <f t="shared" si="9"/>
        <v>0.5</v>
      </c>
      <c r="T84" s="7">
        <f t="shared" si="10"/>
        <v>0.1875</v>
      </c>
      <c r="W84" s="7">
        <f t="shared" si="11"/>
        <v>0.38461538461538464</v>
      </c>
      <c r="Z84" s="7">
        <f>106/1015</f>
        <v>0.10443349753694581</v>
      </c>
    </row>
    <row r="85" spans="1:28" x14ac:dyDescent="0.2">
      <c r="A85">
        <v>14</v>
      </c>
      <c r="B85" t="s">
        <v>18</v>
      </c>
      <c r="C85" t="s">
        <v>19</v>
      </c>
      <c r="D85" t="s">
        <v>23</v>
      </c>
      <c r="E85" s="7">
        <v>16</v>
      </c>
      <c r="F85" s="13">
        <v>13</v>
      </c>
      <c r="G85" s="14">
        <f t="shared" si="12"/>
        <v>3</v>
      </c>
      <c r="H85" s="15">
        <v>16</v>
      </c>
      <c r="I85" s="13">
        <v>9</v>
      </c>
      <c r="J85" s="9">
        <f t="shared" si="13"/>
        <v>7</v>
      </c>
      <c r="K85" s="7">
        <f t="shared" si="7"/>
        <v>0.8125</v>
      </c>
      <c r="N85" s="7">
        <f t="shared" si="8"/>
        <v>0.4375</v>
      </c>
      <c r="Q85" s="7">
        <f t="shared" si="9"/>
        <v>0.5625</v>
      </c>
      <c r="T85" s="7">
        <f t="shared" si="10"/>
        <v>0.1875</v>
      </c>
      <c r="W85" s="7">
        <f t="shared" si="11"/>
        <v>0.46153846153846156</v>
      </c>
      <c r="Z85" s="7">
        <f>116/1008</f>
        <v>0.11507936507936507</v>
      </c>
    </row>
    <row r="86" spans="1:28" x14ac:dyDescent="0.2">
      <c r="A86">
        <v>1</v>
      </c>
      <c r="B86" t="s">
        <v>15</v>
      </c>
      <c r="C86" t="s">
        <v>20</v>
      </c>
      <c r="D86" t="s">
        <v>21</v>
      </c>
      <c r="E86" s="7">
        <v>14</v>
      </c>
      <c r="F86" s="13">
        <v>12</v>
      </c>
      <c r="G86" s="14">
        <f t="shared" si="12"/>
        <v>2</v>
      </c>
      <c r="H86" s="15">
        <v>16</v>
      </c>
      <c r="I86" s="13">
        <v>6</v>
      </c>
      <c r="J86" s="9">
        <f t="shared" si="13"/>
        <v>10</v>
      </c>
      <c r="K86" s="7">
        <f t="shared" si="7"/>
        <v>0.8571428571428571</v>
      </c>
      <c r="L86" s="8">
        <f>AVERAGE(K86:K92)</f>
        <v>0.85340136054421767</v>
      </c>
      <c r="M86" s="9">
        <f>_xlfn.STDEV.P(K86:K92)/SQRT(7)</f>
        <v>1.0035969403039715E-2</v>
      </c>
      <c r="N86" s="7">
        <f t="shared" si="8"/>
        <v>0.625</v>
      </c>
      <c r="O86" s="8">
        <f>AVERAGE(N86:N92)</f>
        <v>0.60308123249299717</v>
      </c>
      <c r="P86" s="9">
        <f>_xlfn.STDEV.P(N86:N92)/SQRT(7)</f>
        <v>1.1966274711609378E-2</v>
      </c>
      <c r="Q86" s="7">
        <f t="shared" si="9"/>
        <v>0.375</v>
      </c>
      <c r="R86" s="8">
        <f>AVERAGE(Q86:Q92)</f>
        <v>0.39691876750700278</v>
      </c>
      <c r="S86" s="9">
        <f>_xlfn.STDEV.P(Q86:Q92)/SQRT(7)</f>
        <v>1.1966274711609378E-2</v>
      </c>
      <c r="T86" s="7">
        <f t="shared" si="10"/>
        <v>0.14285714285714285</v>
      </c>
      <c r="U86" s="8">
        <f>AVERAGE(T86:T92)</f>
        <v>0.1465986394557823</v>
      </c>
      <c r="V86" s="9">
        <f>_xlfn.STDEV.P(T86:T92)/SQRT(7)</f>
        <v>1.0035969403039744E-2</v>
      </c>
      <c r="W86" s="7">
        <f t="shared" si="11"/>
        <v>0.27083333333333331</v>
      </c>
      <c r="X86" s="8">
        <f>AVERAGE(W86:W92)</f>
        <v>0.29195870655954692</v>
      </c>
      <c r="Y86" s="9">
        <f>_xlfn.STDEV.P(W86:W92)/SQRT(7)</f>
        <v>1.9995090127037783E-2</v>
      </c>
      <c r="Z86" s="7">
        <f>12/983</f>
        <v>1.2207527975584944E-2</v>
      </c>
      <c r="AA86" s="8">
        <f>AVERAGE(Z86:Z92)</f>
        <v>1.5478208891489629E-2</v>
      </c>
      <c r="AB86" s="9">
        <f>_xlfn.STDEV.P(Z86:Z92)/SQRT(7)</f>
        <v>6.2159421970681252E-3</v>
      </c>
    </row>
    <row r="87" spans="1:28" x14ac:dyDescent="0.2">
      <c r="A87">
        <v>2</v>
      </c>
      <c r="B87" t="s">
        <v>15</v>
      </c>
      <c r="C87" t="s">
        <v>20</v>
      </c>
      <c r="D87" t="s">
        <v>21</v>
      </c>
      <c r="E87" s="7">
        <v>16</v>
      </c>
      <c r="F87" s="13">
        <v>14</v>
      </c>
      <c r="G87" s="14">
        <f t="shared" si="12"/>
        <v>2</v>
      </c>
      <c r="H87" s="15">
        <v>15</v>
      </c>
      <c r="I87" s="13">
        <v>7</v>
      </c>
      <c r="J87" s="9">
        <f t="shared" si="13"/>
        <v>8</v>
      </c>
      <c r="K87" s="7">
        <f t="shared" si="7"/>
        <v>0.875</v>
      </c>
      <c r="N87" s="7">
        <f t="shared" si="8"/>
        <v>0.53333333333333333</v>
      </c>
      <c r="Q87" s="7">
        <f t="shared" si="9"/>
        <v>0.46666666666666667</v>
      </c>
      <c r="T87" s="7">
        <f t="shared" si="10"/>
        <v>0.125</v>
      </c>
      <c r="W87" s="7">
        <f t="shared" si="11"/>
        <v>0.39047619047619048</v>
      </c>
      <c r="Z87" s="7">
        <f>1/970</f>
        <v>1.0309278350515464E-3</v>
      </c>
    </row>
    <row r="88" spans="1:28" x14ac:dyDescent="0.2">
      <c r="A88">
        <v>3</v>
      </c>
      <c r="B88" t="s">
        <v>15</v>
      </c>
      <c r="C88" t="s">
        <v>20</v>
      </c>
      <c r="D88" t="s">
        <v>21</v>
      </c>
      <c r="E88" s="7">
        <v>16</v>
      </c>
      <c r="F88" s="13">
        <v>13</v>
      </c>
      <c r="G88" s="14">
        <f t="shared" si="12"/>
        <v>3</v>
      </c>
      <c r="H88" s="15">
        <v>16</v>
      </c>
      <c r="I88" s="13">
        <v>6</v>
      </c>
      <c r="J88" s="9">
        <f t="shared" si="13"/>
        <v>10</v>
      </c>
      <c r="K88" s="7">
        <f t="shared" si="7"/>
        <v>0.8125</v>
      </c>
      <c r="N88" s="7">
        <f t="shared" si="8"/>
        <v>0.625</v>
      </c>
      <c r="Q88" s="7">
        <f t="shared" si="9"/>
        <v>0.375</v>
      </c>
      <c r="T88" s="7">
        <f t="shared" si="10"/>
        <v>0.1875</v>
      </c>
      <c r="W88" s="7">
        <f t="shared" si="11"/>
        <v>0.23076923076923078</v>
      </c>
      <c r="Z88" s="7">
        <f>54/994</f>
        <v>5.4325955734406441E-2</v>
      </c>
    </row>
    <row r="89" spans="1:28" x14ac:dyDescent="0.2">
      <c r="A89">
        <v>4</v>
      </c>
      <c r="B89" t="s">
        <v>15</v>
      </c>
      <c r="C89" t="s">
        <v>20</v>
      </c>
      <c r="D89" t="s">
        <v>21</v>
      </c>
      <c r="E89" s="7">
        <v>15</v>
      </c>
      <c r="F89" s="13">
        <v>13</v>
      </c>
      <c r="G89" s="14">
        <f t="shared" si="12"/>
        <v>2</v>
      </c>
      <c r="H89" s="15">
        <v>16</v>
      </c>
      <c r="I89" s="13">
        <v>6</v>
      </c>
      <c r="J89" s="9">
        <f t="shared" si="13"/>
        <v>10</v>
      </c>
      <c r="K89" s="7">
        <f t="shared" si="7"/>
        <v>0.8666666666666667</v>
      </c>
      <c r="N89" s="7">
        <f t="shared" si="8"/>
        <v>0.625</v>
      </c>
      <c r="Q89" s="7">
        <f t="shared" si="9"/>
        <v>0.375</v>
      </c>
      <c r="T89" s="7">
        <f t="shared" si="10"/>
        <v>0.13333333333333333</v>
      </c>
      <c r="W89" s="7">
        <f t="shared" si="11"/>
        <v>0.27884615384615385</v>
      </c>
      <c r="Z89" s="7">
        <f>14/968</f>
        <v>1.4462809917355372E-2</v>
      </c>
    </row>
    <row r="90" spans="1:28" x14ac:dyDescent="0.2">
      <c r="A90">
        <v>5</v>
      </c>
      <c r="B90" t="s">
        <v>15</v>
      </c>
      <c r="C90" t="s">
        <v>20</v>
      </c>
      <c r="D90" t="s">
        <v>21</v>
      </c>
      <c r="E90" s="7">
        <v>16</v>
      </c>
      <c r="F90" s="13">
        <v>14</v>
      </c>
      <c r="G90" s="14">
        <f t="shared" si="12"/>
        <v>2</v>
      </c>
      <c r="H90" s="15">
        <v>17</v>
      </c>
      <c r="I90" s="13">
        <v>7</v>
      </c>
      <c r="J90" s="9">
        <f t="shared" si="13"/>
        <v>10</v>
      </c>
      <c r="K90" s="7">
        <f t="shared" si="7"/>
        <v>0.875</v>
      </c>
      <c r="N90" s="7">
        <f t="shared" si="8"/>
        <v>0.58823529411764708</v>
      </c>
      <c r="Q90" s="7">
        <f t="shared" si="9"/>
        <v>0.41176470588235292</v>
      </c>
      <c r="T90" s="7">
        <f t="shared" si="10"/>
        <v>0.125</v>
      </c>
      <c r="W90" s="7">
        <f t="shared" si="11"/>
        <v>0.32773109243697479</v>
      </c>
      <c r="Z90" s="7">
        <f>6/982</f>
        <v>6.1099796334012219E-3</v>
      </c>
    </row>
    <row r="91" spans="1:28" x14ac:dyDescent="0.2">
      <c r="A91">
        <v>6</v>
      </c>
      <c r="B91" t="s">
        <v>15</v>
      </c>
      <c r="C91" t="s">
        <v>20</v>
      </c>
      <c r="D91" t="s">
        <v>21</v>
      </c>
      <c r="E91" s="7">
        <v>16</v>
      </c>
      <c r="F91" s="13">
        <v>14</v>
      </c>
      <c r="G91" s="14">
        <f t="shared" si="12"/>
        <v>2</v>
      </c>
      <c r="H91" s="15">
        <v>15</v>
      </c>
      <c r="I91" s="13">
        <v>6</v>
      </c>
      <c r="J91" s="9">
        <f t="shared" si="13"/>
        <v>9</v>
      </c>
      <c r="K91" s="7">
        <f t="shared" si="7"/>
        <v>0.875</v>
      </c>
      <c r="N91" s="7">
        <f t="shared" si="8"/>
        <v>0.6</v>
      </c>
      <c r="Q91" s="7">
        <f t="shared" si="9"/>
        <v>0.4</v>
      </c>
      <c r="T91" s="7">
        <f t="shared" si="10"/>
        <v>0.125</v>
      </c>
      <c r="W91" s="7">
        <f t="shared" si="11"/>
        <v>0.31428571428571433</v>
      </c>
      <c r="Z91" s="7">
        <f>7/987</f>
        <v>7.0921985815602835E-3</v>
      </c>
    </row>
    <row r="92" spans="1:28" x14ac:dyDescent="0.2">
      <c r="A92">
        <v>7</v>
      </c>
      <c r="B92" t="s">
        <v>15</v>
      </c>
      <c r="C92" t="s">
        <v>20</v>
      </c>
      <c r="D92" t="s">
        <v>21</v>
      </c>
      <c r="E92" s="7">
        <v>16</v>
      </c>
      <c r="F92" s="13">
        <v>13</v>
      </c>
      <c r="G92" s="14">
        <f t="shared" si="12"/>
        <v>3</v>
      </c>
      <c r="H92" s="15">
        <v>16</v>
      </c>
      <c r="I92" s="13">
        <v>6</v>
      </c>
      <c r="J92" s="9">
        <f t="shared" si="13"/>
        <v>10</v>
      </c>
      <c r="K92" s="7">
        <f t="shared" si="7"/>
        <v>0.8125</v>
      </c>
      <c r="N92" s="7">
        <f t="shared" si="8"/>
        <v>0.625</v>
      </c>
      <c r="Q92" s="7">
        <f t="shared" si="9"/>
        <v>0.375</v>
      </c>
      <c r="T92" s="7">
        <f t="shared" si="10"/>
        <v>0.1875</v>
      </c>
      <c r="W92" s="7">
        <f t="shared" si="11"/>
        <v>0.23076923076923078</v>
      </c>
      <c r="Z92" s="7">
        <f>13/991</f>
        <v>1.3118062563067608E-2</v>
      </c>
    </row>
    <row r="93" spans="1:28" x14ac:dyDescent="0.2">
      <c r="A93">
        <v>8</v>
      </c>
      <c r="B93" t="s">
        <v>18</v>
      </c>
      <c r="C93" t="s">
        <v>20</v>
      </c>
      <c r="D93" t="s">
        <v>21</v>
      </c>
      <c r="E93" s="7">
        <v>16</v>
      </c>
      <c r="F93" s="13">
        <v>12</v>
      </c>
      <c r="G93" s="14">
        <f t="shared" si="12"/>
        <v>4</v>
      </c>
      <c r="H93" s="15">
        <v>16</v>
      </c>
      <c r="I93" s="13">
        <v>12</v>
      </c>
      <c r="J93" s="9">
        <f t="shared" si="13"/>
        <v>4</v>
      </c>
      <c r="K93" s="7">
        <f t="shared" si="7"/>
        <v>0.75</v>
      </c>
      <c r="L93" s="8">
        <f>AVERAGE(K93:K99)</f>
        <v>0.82700080032012802</v>
      </c>
      <c r="M93" s="9">
        <f>_xlfn.STDEV.P(K93:K99)/SQRT(7)</f>
        <v>1.984938933555503E-2</v>
      </c>
      <c r="N93" s="7">
        <f t="shared" si="8"/>
        <v>0.25</v>
      </c>
      <c r="O93" s="8">
        <f>AVERAGE(N93:N99)</f>
        <v>0.22738095238095238</v>
      </c>
      <c r="P93" s="9">
        <f>_xlfn.STDEV.P(N93:N99)/SQRT(7)</f>
        <v>1.1959906295644003E-2</v>
      </c>
      <c r="Q93" s="7">
        <f t="shared" si="9"/>
        <v>0.75</v>
      </c>
      <c r="R93" s="8">
        <f>AVERAGE(Q93:Q99)</f>
        <v>0.77261904761904765</v>
      </c>
      <c r="S93" s="9">
        <f>_xlfn.STDEV.P(Q93:Q99)/SQRT(7)</f>
        <v>1.1959906295643927E-2</v>
      </c>
      <c r="T93" s="7">
        <f t="shared" si="10"/>
        <v>0.25</v>
      </c>
      <c r="U93" s="8">
        <f>AVERAGE(T93:T99)</f>
        <v>0.17299919967987193</v>
      </c>
      <c r="V93" s="9">
        <f>_xlfn.STDEV.P(T93:T99)/SQRT(7)</f>
        <v>1.9849389335555058E-2</v>
      </c>
      <c r="W93" s="7">
        <f t="shared" si="11"/>
        <v>0.66666666666666663</v>
      </c>
      <c r="X93" s="8">
        <f>AVERAGE(W93:W99)</f>
        <v>0.72479886185243314</v>
      </c>
      <c r="Y93" s="9">
        <f>_xlfn.STDEV.P(W93:W99)/SQRT(7)</f>
        <v>1.3926754531566048E-2</v>
      </c>
      <c r="Z93" s="7">
        <f>10/984</f>
        <v>1.016260162601626E-2</v>
      </c>
      <c r="AA93" s="8">
        <f>AVERAGE(Z93:Z99)</f>
        <v>7.5697521733767261E-3</v>
      </c>
      <c r="AB93" s="9">
        <f>_xlfn.STDEV.P(Z93:Z99)/SQRT(7)</f>
        <v>2.3671934292733765E-3</v>
      </c>
    </row>
    <row r="94" spans="1:28" x14ac:dyDescent="0.2">
      <c r="A94">
        <v>9</v>
      </c>
      <c r="B94" t="s">
        <v>18</v>
      </c>
      <c r="C94" t="s">
        <v>20</v>
      </c>
      <c r="D94" t="s">
        <v>21</v>
      </c>
      <c r="E94" s="7">
        <v>15</v>
      </c>
      <c r="F94" s="13">
        <v>14</v>
      </c>
      <c r="G94" s="14">
        <f t="shared" si="12"/>
        <v>1</v>
      </c>
      <c r="H94" s="15">
        <v>15</v>
      </c>
      <c r="I94" s="13">
        <v>11</v>
      </c>
      <c r="J94" s="9">
        <f t="shared" si="13"/>
        <v>4</v>
      </c>
      <c r="K94" s="7">
        <f t="shared" si="7"/>
        <v>0.93333333333333335</v>
      </c>
      <c r="N94" s="7">
        <f t="shared" si="8"/>
        <v>0.26666666666666666</v>
      </c>
      <c r="Q94" s="7">
        <f t="shared" si="9"/>
        <v>0.73333333333333328</v>
      </c>
      <c r="T94" s="7">
        <f t="shared" si="10"/>
        <v>6.6666666666666666E-2</v>
      </c>
      <c r="W94" s="7">
        <f t="shared" si="11"/>
        <v>0.71428571428571419</v>
      </c>
      <c r="Z94" s="7">
        <f>6/961</f>
        <v>6.2434963579604576E-3</v>
      </c>
    </row>
    <row r="95" spans="1:28" x14ac:dyDescent="0.2">
      <c r="A95">
        <v>10</v>
      </c>
      <c r="B95" t="s">
        <v>18</v>
      </c>
      <c r="C95" t="s">
        <v>20</v>
      </c>
      <c r="D95" t="s">
        <v>21</v>
      </c>
      <c r="E95" s="7">
        <v>16</v>
      </c>
      <c r="F95" s="13">
        <v>13</v>
      </c>
      <c r="G95" s="14">
        <f t="shared" si="12"/>
        <v>3</v>
      </c>
      <c r="H95" s="15">
        <v>16</v>
      </c>
      <c r="I95" s="13">
        <v>13</v>
      </c>
      <c r="J95" s="9">
        <f t="shared" si="13"/>
        <v>3</v>
      </c>
      <c r="K95" s="7">
        <f t="shared" si="7"/>
        <v>0.8125</v>
      </c>
      <c r="N95" s="7">
        <f t="shared" si="8"/>
        <v>0.1875</v>
      </c>
      <c r="Q95" s="7">
        <f t="shared" si="9"/>
        <v>0.8125</v>
      </c>
      <c r="T95" s="7">
        <f t="shared" si="10"/>
        <v>0.1875</v>
      </c>
      <c r="W95" s="7">
        <f t="shared" si="11"/>
        <v>0.76923076923076927</v>
      </c>
      <c r="Z95" s="7">
        <f>6/989</f>
        <v>6.0667340748230538E-3</v>
      </c>
    </row>
    <row r="96" spans="1:28" x14ac:dyDescent="0.2">
      <c r="A96">
        <v>11</v>
      </c>
      <c r="B96" t="s">
        <v>18</v>
      </c>
      <c r="C96" t="s">
        <v>20</v>
      </c>
      <c r="D96" t="s">
        <v>21</v>
      </c>
      <c r="E96" s="7">
        <v>16</v>
      </c>
      <c r="F96" s="13">
        <v>13</v>
      </c>
      <c r="G96" s="14">
        <f t="shared" si="12"/>
        <v>3</v>
      </c>
      <c r="H96" s="15">
        <v>16</v>
      </c>
      <c r="I96" s="13">
        <v>12</v>
      </c>
      <c r="J96" s="9">
        <f t="shared" si="13"/>
        <v>4</v>
      </c>
      <c r="K96" s="7">
        <f t="shared" si="7"/>
        <v>0.8125</v>
      </c>
      <c r="N96" s="7">
        <f t="shared" si="8"/>
        <v>0.25</v>
      </c>
      <c r="Q96" s="7">
        <f t="shared" si="9"/>
        <v>0.75</v>
      </c>
      <c r="T96" s="7">
        <f t="shared" si="10"/>
        <v>0.1875</v>
      </c>
      <c r="W96" s="7">
        <f t="shared" si="11"/>
        <v>0.69230769230769229</v>
      </c>
      <c r="Z96" s="7">
        <f>2/982</f>
        <v>2.0366598778004071E-3</v>
      </c>
    </row>
    <row r="97" spans="1:28" x14ac:dyDescent="0.2">
      <c r="A97">
        <v>12</v>
      </c>
      <c r="B97" t="s">
        <v>18</v>
      </c>
      <c r="C97" t="s">
        <v>20</v>
      </c>
      <c r="D97" t="s">
        <v>21</v>
      </c>
      <c r="E97" s="7">
        <v>17</v>
      </c>
      <c r="F97" s="13">
        <v>14</v>
      </c>
      <c r="G97" s="14">
        <f t="shared" si="12"/>
        <v>3</v>
      </c>
      <c r="H97" s="15">
        <v>15</v>
      </c>
      <c r="I97" s="13">
        <v>12</v>
      </c>
      <c r="J97" s="9">
        <f t="shared" si="13"/>
        <v>3</v>
      </c>
      <c r="K97" s="7">
        <f t="shared" si="7"/>
        <v>0.82352941176470584</v>
      </c>
      <c r="N97" s="7">
        <f t="shared" si="8"/>
        <v>0.2</v>
      </c>
      <c r="Q97" s="7">
        <f t="shared" si="9"/>
        <v>0.8</v>
      </c>
      <c r="T97" s="7">
        <f t="shared" si="10"/>
        <v>0.17647058823529413</v>
      </c>
      <c r="W97" s="7">
        <f t="shared" si="11"/>
        <v>0.75714285714285723</v>
      </c>
      <c r="Z97" s="7">
        <f>6/976</f>
        <v>6.1475409836065573E-3</v>
      </c>
    </row>
    <row r="98" spans="1:28" x14ac:dyDescent="0.2">
      <c r="A98">
        <v>13</v>
      </c>
      <c r="B98" t="s">
        <v>18</v>
      </c>
      <c r="C98" t="s">
        <v>20</v>
      </c>
      <c r="D98" t="s">
        <v>21</v>
      </c>
      <c r="E98" s="7">
        <v>15</v>
      </c>
      <c r="F98" s="13">
        <v>12</v>
      </c>
      <c r="G98" s="14">
        <f t="shared" si="12"/>
        <v>3</v>
      </c>
      <c r="H98" s="15">
        <v>16</v>
      </c>
      <c r="I98" s="13">
        <v>13</v>
      </c>
      <c r="J98" s="9">
        <f t="shared" si="13"/>
        <v>3</v>
      </c>
      <c r="K98" s="7">
        <f t="shared" si="7"/>
        <v>0.8</v>
      </c>
      <c r="N98" s="7">
        <f t="shared" si="8"/>
        <v>0.1875</v>
      </c>
      <c r="Q98" s="7">
        <f t="shared" si="9"/>
        <v>0.8125</v>
      </c>
      <c r="T98" s="7">
        <f t="shared" si="10"/>
        <v>0.2</v>
      </c>
      <c r="W98" s="7">
        <f t="shared" si="11"/>
        <v>0.765625</v>
      </c>
      <c r="Z98" s="7">
        <f>1/968</f>
        <v>1.0330578512396695E-3</v>
      </c>
    </row>
    <row r="99" spans="1:28" x14ac:dyDescent="0.2">
      <c r="A99">
        <v>14</v>
      </c>
      <c r="B99" t="s">
        <v>18</v>
      </c>
      <c r="C99" t="s">
        <v>20</v>
      </c>
      <c r="D99" t="s">
        <v>21</v>
      </c>
      <c r="E99" s="7">
        <v>14</v>
      </c>
      <c r="F99" s="13">
        <v>12</v>
      </c>
      <c r="G99" s="14">
        <f t="shared" si="12"/>
        <v>2</v>
      </c>
      <c r="H99" s="15">
        <v>16</v>
      </c>
      <c r="I99" s="13">
        <v>12</v>
      </c>
      <c r="J99" s="9">
        <f t="shared" si="13"/>
        <v>4</v>
      </c>
      <c r="K99" s="7">
        <f t="shared" si="7"/>
        <v>0.8571428571428571</v>
      </c>
      <c r="N99" s="7">
        <f t="shared" si="8"/>
        <v>0.25</v>
      </c>
      <c r="Q99" s="7">
        <f t="shared" si="9"/>
        <v>0.75</v>
      </c>
      <c r="T99" s="7">
        <f t="shared" si="10"/>
        <v>0.14285714285714285</v>
      </c>
      <c r="W99" s="7">
        <f t="shared" si="11"/>
        <v>0.70833333333333337</v>
      </c>
      <c r="Z99" s="7">
        <f>21/986</f>
        <v>2.1298174442190669E-2</v>
      </c>
    </row>
    <row r="100" spans="1:28" x14ac:dyDescent="0.2">
      <c r="A100">
        <v>1</v>
      </c>
      <c r="B100" t="s">
        <v>15</v>
      </c>
      <c r="C100" t="s">
        <v>20</v>
      </c>
      <c r="D100" t="s">
        <v>22</v>
      </c>
      <c r="E100" s="7">
        <v>16</v>
      </c>
      <c r="F100" s="13">
        <v>14</v>
      </c>
      <c r="G100" s="14">
        <f t="shared" si="12"/>
        <v>2</v>
      </c>
      <c r="H100" s="15">
        <v>17</v>
      </c>
      <c r="I100" s="13">
        <v>7</v>
      </c>
      <c r="J100" s="9">
        <f t="shared" si="13"/>
        <v>10</v>
      </c>
      <c r="K100" s="7">
        <f t="shared" si="7"/>
        <v>0.875</v>
      </c>
      <c r="L100" s="8">
        <f>AVERAGE(K100:K106)</f>
        <v>0.87380952380952392</v>
      </c>
      <c r="M100" s="9">
        <f>_xlfn.STDEV.P(K100:K106)/SQRT(7)</f>
        <v>1.1021667854435096E-3</v>
      </c>
      <c r="N100" s="7">
        <f t="shared" si="8"/>
        <v>0.58823529411764708</v>
      </c>
      <c r="O100" s="8">
        <f>AVERAGE(N100:N106)</f>
        <v>0.60784313725490191</v>
      </c>
      <c r="P100" s="9">
        <f>_xlfn.STDEV.P(N100:N106)/SQRT(7)</f>
        <v>1.3431420013176909E-2</v>
      </c>
      <c r="Q100" s="7">
        <f t="shared" si="9"/>
        <v>0.41176470588235292</v>
      </c>
      <c r="R100" s="8">
        <f>AVERAGE(Q100:Q106)</f>
        <v>0.39215686274509803</v>
      </c>
      <c r="S100" s="9">
        <f>_xlfn.STDEV.P(Q100:Q106)/SQRT(7)</f>
        <v>1.3431420013176914E-2</v>
      </c>
      <c r="T100" s="7">
        <f t="shared" si="10"/>
        <v>0.125</v>
      </c>
      <c r="U100" s="8">
        <f>AVERAGE(T100:T106)</f>
        <v>0.12619047619047619</v>
      </c>
      <c r="V100" s="9">
        <f>_xlfn.STDEV.P(T100:T106)/SQRT(7)</f>
        <v>1.1021667854435133E-3</v>
      </c>
      <c r="W100" s="7">
        <f t="shared" si="11"/>
        <v>0.32773109243697479</v>
      </c>
      <c r="X100" s="8">
        <f>AVERAGE(W100:W106)</f>
        <v>0.30443908332563796</v>
      </c>
      <c r="Y100" s="9">
        <f>_xlfn.STDEV.P(W100:W106)/SQRT(7)</f>
        <v>1.4940633699373965E-2</v>
      </c>
      <c r="Z100" s="7">
        <f>14/981</f>
        <v>1.4271151885830785E-2</v>
      </c>
      <c r="AA100" s="8">
        <f>AVERAGE(Z100:Z106)</f>
        <v>5.4078511081025434E-3</v>
      </c>
      <c r="AB100" s="9">
        <f>_xlfn.STDEV.P(Z100:Z106)/SQRT(7)</f>
        <v>1.9364732650688455E-3</v>
      </c>
    </row>
    <row r="101" spans="1:28" x14ac:dyDescent="0.2">
      <c r="A101">
        <v>2</v>
      </c>
      <c r="B101" t="s">
        <v>15</v>
      </c>
      <c r="C101" t="s">
        <v>20</v>
      </c>
      <c r="D101" t="s">
        <v>22</v>
      </c>
      <c r="E101" s="7">
        <v>16</v>
      </c>
      <c r="F101" s="13">
        <v>14</v>
      </c>
      <c r="G101" s="14">
        <f t="shared" si="12"/>
        <v>2</v>
      </c>
      <c r="H101" s="15">
        <v>16</v>
      </c>
      <c r="I101" s="13">
        <v>6</v>
      </c>
      <c r="J101" s="9">
        <f t="shared" si="13"/>
        <v>10</v>
      </c>
      <c r="K101" s="7">
        <f t="shared" si="7"/>
        <v>0.875</v>
      </c>
      <c r="N101" s="7">
        <f t="shared" si="8"/>
        <v>0.625</v>
      </c>
      <c r="Q101" s="7">
        <f t="shared" si="9"/>
        <v>0.375</v>
      </c>
      <c r="T101" s="7">
        <f t="shared" si="10"/>
        <v>0.125</v>
      </c>
      <c r="W101" s="7">
        <f t="shared" si="11"/>
        <v>0.2857142857142857</v>
      </c>
      <c r="Z101" s="7">
        <f>2/984</f>
        <v>2.0325203252032522E-3</v>
      </c>
    </row>
    <row r="102" spans="1:28" x14ac:dyDescent="0.2">
      <c r="A102">
        <v>3</v>
      </c>
      <c r="B102" t="s">
        <v>15</v>
      </c>
      <c r="C102" t="s">
        <v>20</v>
      </c>
      <c r="D102" t="s">
        <v>22</v>
      </c>
      <c r="E102" s="7">
        <v>15</v>
      </c>
      <c r="F102" s="13">
        <v>13</v>
      </c>
      <c r="G102" s="14">
        <f t="shared" si="12"/>
        <v>2</v>
      </c>
      <c r="H102" s="15">
        <v>16</v>
      </c>
      <c r="I102" s="13">
        <v>7</v>
      </c>
      <c r="J102" s="9">
        <f t="shared" si="13"/>
        <v>9</v>
      </c>
      <c r="K102" s="7">
        <f t="shared" si="7"/>
        <v>0.8666666666666667</v>
      </c>
      <c r="N102" s="7">
        <f t="shared" si="8"/>
        <v>0.5625</v>
      </c>
      <c r="Q102" s="7">
        <f t="shared" si="9"/>
        <v>0.4375</v>
      </c>
      <c r="T102" s="7">
        <f t="shared" si="10"/>
        <v>0.13333333333333333</v>
      </c>
      <c r="W102" s="7">
        <f t="shared" si="11"/>
        <v>0.35096153846153849</v>
      </c>
      <c r="Z102" s="7">
        <f>3/976</f>
        <v>3.0737704918032786E-3</v>
      </c>
    </row>
    <row r="103" spans="1:28" x14ac:dyDescent="0.2">
      <c r="A103">
        <v>4</v>
      </c>
      <c r="B103" t="s">
        <v>15</v>
      </c>
      <c r="C103" t="s">
        <v>20</v>
      </c>
      <c r="D103" t="s">
        <v>22</v>
      </c>
      <c r="E103" s="7">
        <v>16</v>
      </c>
      <c r="F103" s="13">
        <v>14</v>
      </c>
      <c r="G103" s="14">
        <f t="shared" si="12"/>
        <v>2</v>
      </c>
      <c r="H103" s="15">
        <v>16</v>
      </c>
      <c r="I103" s="13">
        <v>6</v>
      </c>
      <c r="J103" s="9">
        <f t="shared" si="13"/>
        <v>10</v>
      </c>
      <c r="K103" s="7">
        <f t="shared" si="7"/>
        <v>0.875</v>
      </c>
      <c r="N103" s="7">
        <f t="shared" si="8"/>
        <v>0.625</v>
      </c>
      <c r="Q103" s="7">
        <f t="shared" si="9"/>
        <v>0.375</v>
      </c>
      <c r="T103" s="7">
        <f t="shared" si="10"/>
        <v>0.125</v>
      </c>
      <c r="W103" s="7">
        <f t="shared" si="11"/>
        <v>0.2857142857142857</v>
      </c>
      <c r="Z103" s="7">
        <f>3/978</f>
        <v>3.0674846625766872E-3</v>
      </c>
    </row>
    <row r="104" spans="1:28" x14ac:dyDescent="0.2">
      <c r="A104">
        <v>5</v>
      </c>
      <c r="B104" t="s">
        <v>15</v>
      </c>
      <c r="C104" t="s">
        <v>20</v>
      </c>
      <c r="D104" t="s">
        <v>22</v>
      </c>
      <c r="E104" s="7">
        <v>16</v>
      </c>
      <c r="F104" s="13">
        <v>14</v>
      </c>
      <c r="G104" s="14">
        <f t="shared" si="12"/>
        <v>2</v>
      </c>
      <c r="H104" s="15">
        <v>16</v>
      </c>
      <c r="I104" s="13">
        <v>7</v>
      </c>
      <c r="J104" s="9">
        <f t="shared" si="13"/>
        <v>9</v>
      </c>
      <c r="K104" s="7">
        <f t="shared" si="7"/>
        <v>0.875</v>
      </c>
      <c r="N104" s="7">
        <f t="shared" si="8"/>
        <v>0.5625</v>
      </c>
      <c r="Q104" s="7">
        <f t="shared" si="9"/>
        <v>0.4375</v>
      </c>
      <c r="T104" s="7">
        <f t="shared" si="10"/>
        <v>0.125</v>
      </c>
      <c r="W104" s="7">
        <f t="shared" si="11"/>
        <v>0.35714285714285715</v>
      </c>
      <c r="Z104" s="7">
        <f>12/972</f>
        <v>1.2345679012345678E-2</v>
      </c>
    </row>
    <row r="105" spans="1:28" x14ac:dyDescent="0.2">
      <c r="A105">
        <v>6</v>
      </c>
      <c r="B105" t="s">
        <v>15</v>
      </c>
      <c r="C105" t="s">
        <v>20</v>
      </c>
      <c r="D105" t="s">
        <v>22</v>
      </c>
      <c r="E105" s="7">
        <v>16</v>
      </c>
      <c r="F105" s="13">
        <v>14</v>
      </c>
      <c r="G105" s="14">
        <f t="shared" si="12"/>
        <v>2</v>
      </c>
      <c r="H105" s="15">
        <v>15</v>
      </c>
      <c r="I105" s="13">
        <v>5</v>
      </c>
      <c r="J105" s="9">
        <f t="shared" si="13"/>
        <v>10</v>
      </c>
      <c r="K105" s="7">
        <f t="shared" si="7"/>
        <v>0.875</v>
      </c>
      <c r="N105" s="7">
        <f t="shared" si="8"/>
        <v>0.66666666666666663</v>
      </c>
      <c r="Q105" s="7">
        <f t="shared" si="9"/>
        <v>0.33333333333333331</v>
      </c>
      <c r="T105" s="7">
        <f t="shared" si="10"/>
        <v>0.125</v>
      </c>
      <c r="W105" s="7">
        <f t="shared" si="11"/>
        <v>0.23809523809523808</v>
      </c>
      <c r="Z105" s="7">
        <f>3/979</f>
        <v>3.0643513789581204E-3</v>
      </c>
    </row>
    <row r="106" spans="1:28" x14ac:dyDescent="0.2">
      <c r="A106">
        <v>7</v>
      </c>
      <c r="B106" t="s">
        <v>15</v>
      </c>
      <c r="C106" t="s">
        <v>20</v>
      </c>
      <c r="D106" t="s">
        <v>22</v>
      </c>
      <c r="E106" s="7">
        <v>16</v>
      </c>
      <c r="F106" s="13">
        <v>14</v>
      </c>
      <c r="G106" s="14">
        <f t="shared" si="12"/>
        <v>2</v>
      </c>
      <c r="H106" s="15">
        <v>16</v>
      </c>
      <c r="I106" s="13">
        <v>6</v>
      </c>
      <c r="J106" s="9">
        <f t="shared" si="13"/>
        <v>10</v>
      </c>
      <c r="K106" s="7">
        <f t="shared" si="7"/>
        <v>0.875</v>
      </c>
      <c r="N106" s="7">
        <f t="shared" si="8"/>
        <v>0.625</v>
      </c>
      <c r="Q106" s="7">
        <f t="shared" si="9"/>
        <v>0.375</v>
      </c>
      <c r="T106" s="7">
        <f t="shared" si="10"/>
        <v>0.125</v>
      </c>
      <c r="W106" s="7">
        <f t="shared" si="11"/>
        <v>0.2857142857142857</v>
      </c>
      <c r="Z106" s="7">
        <f>0/983</f>
        <v>0</v>
      </c>
    </row>
    <row r="107" spans="1:28" x14ac:dyDescent="0.2">
      <c r="A107">
        <v>8</v>
      </c>
      <c r="B107" t="s">
        <v>18</v>
      </c>
      <c r="C107" t="s">
        <v>20</v>
      </c>
      <c r="D107" t="s">
        <v>22</v>
      </c>
      <c r="E107" s="7">
        <v>15</v>
      </c>
      <c r="F107" s="13">
        <v>13</v>
      </c>
      <c r="G107" s="14">
        <f t="shared" si="12"/>
        <v>2</v>
      </c>
      <c r="H107" s="15">
        <v>16</v>
      </c>
      <c r="I107" s="13">
        <v>10</v>
      </c>
      <c r="J107" s="9">
        <f t="shared" si="13"/>
        <v>6</v>
      </c>
      <c r="K107" s="7">
        <f t="shared" si="7"/>
        <v>0.8666666666666667</v>
      </c>
      <c r="L107" s="8">
        <f>AVERAGE(K107:K113)</f>
        <v>0.84740896358543416</v>
      </c>
      <c r="M107" s="9">
        <f>_xlfn.STDEV.P(K107:K113)/SQRT(7)</f>
        <v>1.0372405807135296E-2</v>
      </c>
      <c r="N107" s="7">
        <f t="shared" si="8"/>
        <v>0.375</v>
      </c>
      <c r="O107" s="8">
        <f>AVERAGE(N107:N113)</f>
        <v>0.32422969187675071</v>
      </c>
      <c r="P107" s="9">
        <f>_xlfn.STDEV.P(N107:N113)/SQRT(7)</f>
        <v>1.3815803291747138E-2</v>
      </c>
      <c r="Q107" s="7">
        <f t="shared" si="9"/>
        <v>0.625</v>
      </c>
      <c r="R107" s="8">
        <f>AVERAGE(Q107:Q113)</f>
        <v>0.67577030812324934</v>
      </c>
      <c r="S107" s="9">
        <f>_xlfn.STDEV.P(Q107:Q113)/SQRT(7)</f>
        <v>1.3815803291747092E-2</v>
      </c>
      <c r="T107" s="7">
        <f t="shared" si="10"/>
        <v>0.13333333333333333</v>
      </c>
      <c r="U107" s="8">
        <f>AVERAGE(T107:T113)</f>
        <v>0.15259103641456581</v>
      </c>
      <c r="V107" s="9">
        <f>_xlfn.STDEV.P(T107:T113)/SQRT(7)</f>
        <v>1.0372405807135306E-2</v>
      </c>
      <c r="W107" s="7">
        <f t="shared" si="11"/>
        <v>0.56730769230769229</v>
      </c>
      <c r="X107" s="8">
        <f>AVERAGE(W107:W113)</f>
        <v>0.61744890263797825</v>
      </c>
      <c r="Y107" s="9">
        <f>_xlfn.STDEV.P(W107:W113)/SQRT(7)</f>
        <v>1.5550186805672344E-2</v>
      </c>
      <c r="Z107" s="7">
        <f>25/981</f>
        <v>2.54841997961264E-2</v>
      </c>
      <c r="AA107" s="8">
        <f>AVERAGE(Z107:Z113)</f>
        <v>1.2403660312356291E-2</v>
      </c>
      <c r="AB107" s="9">
        <f>_xlfn.STDEV.P(Z107:Z113)/SQRT(7)</f>
        <v>2.6239126315681987E-3</v>
      </c>
    </row>
    <row r="108" spans="1:28" x14ac:dyDescent="0.2">
      <c r="A108">
        <v>9</v>
      </c>
      <c r="B108" t="s">
        <v>18</v>
      </c>
      <c r="C108" t="s">
        <v>20</v>
      </c>
      <c r="D108" t="s">
        <v>22</v>
      </c>
      <c r="E108" s="7">
        <v>16</v>
      </c>
      <c r="F108" s="13">
        <v>14</v>
      </c>
      <c r="G108" s="14">
        <f t="shared" si="12"/>
        <v>2</v>
      </c>
      <c r="H108" s="15">
        <v>17</v>
      </c>
      <c r="I108" s="13">
        <v>11</v>
      </c>
      <c r="J108" s="9">
        <f t="shared" si="13"/>
        <v>6</v>
      </c>
      <c r="K108" s="7">
        <f t="shared" si="7"/>
        <v>0.875</v>
      </c>
      <c r="N108" s="7">
        <f t="shared" si="8"/>
        <v>0.35294117647058826</v>
      </c>
      <c r="Q108" s="7">
        <f t="shared" si="9"/>
        <v>0.6470588235294118</v>
      </c>
      <c r="T108" s="7">
        <f t="shared" si="10"/>
        <v>0.125</v>
      </c>
      <c r="W108" s="7">
        <f t="shared" si="11"/>
        <v>0.59663865546218486</v>
      </c>
      <c r="Z108" s="7">
        <f>3/944</f>
        <v>3.1779661016949155E-3</v>
      </c>
    </row>
    <row r="109" spans="1:28" x14ac:dyDescent="0.2">
      <c r="A109">
        <v>10</v>
      </c>
      <c r="B109" t="s">
        <v>18</v>
      </c>
      <c r="C109" t="s">
        <v>20</v>
      </c>
      <c r="D109" t="s">
        <v>22</v>
      </c>
      <c r="E109" s="7">
        <v>16</v>
      </c>
      <c r="F109" s="13">
        <v>13</v>
      </c>
      <c r="G109" s="14">
        <f t="shared" si="12"/>
        <v>3</v>
      </c>
      <c r="H109" s="15">
        <v>15</v>
      </c>
      <c r="I109" s="13">
        <v>10</v>
      </c>
      <c r="J109" s="9">
        <f t="shared" si="13"/>
        <v>5</v>
      </c>
      <c r="K109" s="7">
        <f t="shared" si="7"/>
        <v>0.8125</v>
      </c>
      <c r="N109" s="7">
        <f t="shared" si="8"/>
        <v>0.33333333333333331</v>
      </c>
      <c r="Q109" s="7">
        <f t="shared" si="9"/>
        <v>0.66666666666666663</v>
      </c>
      <c r="T109" s="7">
        <f t="shared" si="10"/>
        <v>0.1875</v>
      </c>
      <c r="W109" s="7">
        <f t="shared" si="11"/>
        <v>0.58974358974358965</v>
      </c>
      <c r="Z109" s="7">
        <f>14/963</f>
        <v>1.4537902388369679E-2</v>
      </c>
    </row>
    <row r="110" spans="1:28" x14ac:dyDescent="0.2">
      <c r="A110">
        <v>11</v>
      </c>
      <c r="B110" t="s">
        <v>18</v>
      </c>
      <c r="C110" t="s">
        <v>20</v>
      </c>
      <c r="D110" t="s">
        <v>22</v>
      </c>
      <c r="E110" s="7">
        <v>17</v>
      </c>
      <c r="F110" s="13">
        <v>14</v>
      </c>
      <c r="G110" s="14">
        <f t="shared" si="12"/>
        <v>3</v>
      </c>
      <c r="H110" s="15">
        <v>16</v>
      </c>
      <c r="I110" s="13">
        <v>12</v>
      </c>
      <c r="J110" s="9">
        <f t="shared" si="13"/>
        <v>4</v>
      </c>
      <c r="K110" s="7">
        <f t="shared" si="7"/>
        <v>0.82352941176470584</v>
      </c>
      <c r="N110" s="7">
        <f t="shared" si="8"/>
        <v>0.25</v>
      </c>
      <c r="Q110" s="7">
        <f t="shared" si="9"/>
        <v>0.75</v>
      </c>
      <c r="T110" s="7">
        <f t="shared" si="10"/>
        <v>0.17647058823529413</v>
      </c>
      <c r="W110" s="7">
        <f t="shared" si="11"/>
        <v>0.6964285714285714</v>
      </c>
      <c r="Z110" s="7">
        <f>11/972</f>
        <v>1.131687242798354E-2</v>
      </c>
    </row>
    <row r="111" spans="1:28" x14ac:dyDescent="0.2">
      <c r="A111">
        <v>12</v>
      </c>
      <c r="B111" t="s">
        <v>18</v>
      </c>
      <c r="C111" t="s">
        <v>20</v>
      </c>
      <c r="D111" t="s">
        <v>22</v>
      </c>
      <c r="E111" s="7">
        <v>15</v>
      </c>
      <c r="F111" s="13">
        <v>13</v>
      </c>
      <c r="G111" s="14">
        <f t="shared" si="12"/>
        <v>2</v>
      </c>
      <c r="H111" s="15">
        <v>16</v>
      </c>
      <c r="I111" s="13">
        <v>11</v>
      </c>
      <c r="J111" s="9">
        <f t="shared" si="13"/>
        <v>5</v>
      </c>
      <c r="K111" s="7">
        <f t="shared" si="7"/>
        <v>0.8666666666666667</v>
      </c>
      <c r="N111" s="7">
        <f t="shared" si="8"/>
        <v>0.3125</v>
      </c>
      <c r="Q111" s="7">
        <f t="shared" si="9"/>
        <v>0.6875</v>
      </c>
      <c r="T111" s="7">
        <f t="shared" si="10"/>
        <v>0.13333333333333333</v>
      </c>
      <c r="W111" s="7">
        <f t="shared" si="11"/>
        <v>0.63942307692307698</v>
      </c>
      <c r="Z111" s="7">
        <f>4/973</f>
        <v>4.1109969167523125E-3</v>
      </c>
    </row>
    <row r="112" spans="1:28" x14ac:dyDescent="0.2">
      <c r="A112">
        <v>13</v>
      </c>
      <c r="B112" t="s">
        <v>18</v>
      </c>
      <c r="C112" t="s">
        <v>20</v>
      </c>
      <c r="D112" t="s">
        <v>22</v>
      </c>
      <c r="E112" s="7">
        <v>16</v>
      </c>
      <c r="F112" s="13">
        <v>13</v>
      </c>
      <c r="G112" s="14">
        <f t="shared" si="12"/>
        <v>3</v>
      </c>
      <c r="H112" s="15">
        <v>15</v>
      </c>
      <c r="I112" s="13">
        <v>10</v>
      </c>
      <c r="J112" s="9">
        <f t="shared" si="13"/>
        <v>5</v>
      </c>
      <c r="K112" s="7">
        <f t="shared" si="7"/>
        <v>0.8125</v>
      </c>
      <c r="N112" s="7">
        <f t="shared" si="8"/>
        <v>0.33333333333333331</v>
      </c>
      <c r="Q112" s="7">
        <f t="shared" si="9"/>
        <v>0.66666666666666663</v>
      </c>
      <c r="T112" s="7">
        <f t="shared" si="10"/>
        <v>0.1875</v>
      </c>
      <c r="W112" s="7">
        <f t="shared" si="11"/>
        <v>0.58974358974358965</v>
      </c>
      <c r="Z112" s="7">
        <f>13/968</f>
        <v>1.3429752066115703E-2</v>
      </c>
    </row>
    <row r="113" spans="1:28" x14ac:dyDescent="0.2">
      <c r="A113">
        <v>14</v>
      </c>
      <c r="B113" t="s">
        <v>18</v>
      </c>
      <c r="C113" t="s">
        <v>20</v>
      </c>
      <c r="D113" t="s">
        <v>22</v>
      </c>
      <c r="E113" s="7">
        <v>16</v>
      </c>
      <c r="F113" s="13">
        <v>14</v>
      </c>
      <c r="G113" s="14">
        <f t="shared" si="12"/>
        <v>2</v>
      </c>
      <c r="H113" s="15">
        <v>16</v>
      </c>
      <c r="I113" s="13">
        <v>11</v>
      </c>
      <c r="J113" s="9">
        <f t="shared" si="13"/>
        <v>5</v>
      </c>
      <c r="K113" s="7">
        <f t="shared" si="7"/>
        <v>0.875</v>
      </c>
      <c r="N113" s="7">
        <f t="shared" si="8"/>
        <v>0.3125</v>
      </c>
      <c r="Q113" s="7">
        <f t="shared" si="9"/>
        <v>0.6875</v>
      </c>
      <c r="T113" s="7">
        <f t="shared" si="10"/>
        <v>0.125</v>
      </c>
      <c r="W113" s="7">
        <f t="shared" si="11"/>
        <v>0.6428571428571429</v>
      </c>
      <c r="Z113" s="7">
        <f>14/948</f>
        <v>1.4767932489451477E-2</v>
      </c>
    </row>
    <row r="114" spans="1:28" x14ac:dyDescent="0.2">
      <c r="A114">
        <v>1</v>
      </c>
      <c r="B114" t="s">
        <v>15</v>
      </c>
      <c r="C114" t="s">
        <v>20</v>
      </c>
      <c r="D114" t="s">
        <v>23</v>
      </c>
      <c r="E114" s="7">
        <v>15</v>
      </c>
      <c r="F114" s="13">
        <v>12</v>
      </c>
      <c r="G114" s="14">
        <f t="shared" si="12"/>
        <v>3</v>
      </c>
      <c r="H114" s="15">
        <v>16</v>
      </c>
      <c r="I114" s="13">
        <v>6</v>
      </c>
      <c r="J114" s="9">
        <f t="shared" si="13"/>
        <v>10</v>
      </c>
      <c r="K114" s="7">
        <f t="shared" si="7"/>
        <v>0.8</v>
      </c>
      <c r="L114" s="8">
        <f>AVERAGE(K114:K120)</f>
        <v>0.8526660664265705</v>
      </c>
      <c r="M114" s="9">
        <f>_xlfn.STDEV.P(K114:K120)/SQRT(7)</f>
        <v>1.1501557673897021E-2</v>
      </c>
      <c r="N114" s="7">
        <f t="shared" si="8"/>
        <v>0.625</v>
      </c>
      <c r="O114" s="8">
        <f>AVERAGE(N114:N120)</f>
        <v>0.59464285714285714</v>
      </c>
      <c r="P114" s="9">
        <f>_xlfn.STDEV.P(N114:N120)/SQRT(7)</f>
        <v>1.0966421051124834E-2</v>
      </c>
      <c r="Q114" s="7">
        <f t="shared" si="9"/>
        <v>0.375</v>
      </c>
      <c r="R114" s="8">
        <f>AVERAGE(Q114:Q120)</f>
        <v>0.40535714285714286</v>
      </c>
      <c r="S114" s="9">
        <f>_xlfn.STDEV.P(Q114:Q120)/SQRT(7)</f>
        <v>1.0966421051124834E-2</v>
      </c>
      <c r="T114" s="7">
        <f t="shared" si="10"/>
        <v>0.2</v>
      </c>
      <c r="U114" s="8">
        <f>AVERAGE(T114:T120)</f>
        <v>0.14733393357342936</v>
      </c>
      <c r="V114" s="9">
        <f>_xlfn.STDEV.P(T114:T120)/SQRT(7)</f>
        <v>1.1501557673897095E-2</v>
      </c>
      <c r="W114" s="7">
        <f t="shared" si="11"/>
        <v>0.21874999999999997</v>
      </c>
      <c r="X114" s="8">
        <f>AVERAGE(W114:W120)</f>
        <v>0.30090266875981164</v>
      </c>
      <c r="Y114" s="9">
        <f>_xlfn.STDEV.P(W114:W120)/SQRT(7)</f>
        <v>2.0572237129342801E-2</v>
      </c>
      <c r="Z114" s="7">
        <f>6/976</f>
        <v>6.1475409836065573E-3</v>
      </c>
      <c r="AA114" s="8">
        <f>AVERAGE(Z114:Z120)</f>
        <v>6.5898290908045082E-2</v>
      </c>
      <c r="AB114" s="9">
        <f>_xlfn.STDEV.P(Z114:Z120)/SQRT(7)</f>
        <v>2.6927875547672921E-2</v>
      </c>
    </row>
    <row r="115" spans="1:28" x14ac:dyDescent="0.2">
      <c r="A115">
        <v>2</v>
      </c>
      <c r="B115" t="s">
        <v>15</v>
      </c>
      <c r="C115" t="s">
        <v>20</v>
      </c>
      <c r="D115" t="s">
        <v>23</v>
      </c>
      <c r="E115" s="7">
        <v>16</v>
      </c>
      <c r="F115" s="13">
        <v>14</v>
      </c>
      <c r="G115" s="14">
        <f t="shared" si="12"/>
        <v>2</v>
      </c>
      <c r="H115" s="15">
        <v>16</v>
      </c>
      <c r="I115" s="13">
        <v>7</v>
      </c>
      <c r="J115" s="9">
        <f t="shared" si="13"/>
        <v>9</v>
      </c>
      <c r="K115" s="7">
        <f t="shared" si="7"/>
        <v>0.875</v>
      </c>
      <c r="N115" s="7">
        <f t="shared" si="8"/>
        <v>0.5625</v>
      </c>
      <c r="Q115" s="7">
        <f t="shared" si="9"/>
        <v>0.4375</v>
      </c>
      <c r="T115" s="7">
        <f t="shared" si="10"/>
        <v>0.125</v>
      </c>
      <c r="W115" s="7">
        <f t="shared" si="11"/>
        <v>0.35714285714285715</v>
      </c>
      <c r="Z115" s="7">
        <f>3/957</f>
        <v>3.134796238244514E-3</v>
      </c>
    </row>
    <row r="116" spans="1:28" x14ac:dyDescent="0.2">
      <c r="A116">
        <v>3</v>
      </c>
      <c r="B116" t="s">
        <v>15</v>
      </c>
      <c r="C116" t="s">
        <v>20</v>
      </c>
      <c r="D116" t="s">
        <v>23</v>
      </c>
      <c r="E116" s="7">
        <v>16</v>
      </c>
      <c r="F116" s="13">
        <v>13</v>
      </c>
      <c r="G116" s="14">
        <f t="shared" si="12"/>
        <v>3</v>
      </c>
      <c r="H116" s="15">
        <v>16</v>
      </c>
      <c r="I116" s="13">
        <v>6</v>
      </c>
      <c r="J116" s="9">
        <f t="shared" si="13"/>
        <v>10</v>
      </c>
      <c r="K116" s="7">
        <f t="shared" si="7"/>
        <v>0.8125</v>
      </c>
      <c r="N116" s="7">
        <f t="shared" si="8"/>
        <v>0.625</v>
      </c>
      <c r="Q116" s="7">
        <f t="shared" si="9"/>
        <v>0.375</v>
      </c>
      <c r="T116" s="7">
        <f t="shared" si="10"/>
        <v>0.1875</v>
      </c>
      <c r="W116" s="7">
        <f t="shared" si="11"/>
        <v>0.23076923076923078</v>
      </c>
      <c r="Z116" s="7">
        <f>8/981</f>
        <v>8.1549439347604492E-3</v>
      </c>
    </row>
    <row r="117" spans="1:28" x14ac:dyDescent="0.2">
      <c r="A117">
        <v>4</v>
      </c>
      <c r="B117" t="s">
        <v>15</v>
      </c>
      <c r="C117" t="s">
        <v>20</v>
      </c>
      <c r="D117" t="s">
        <v>23</v>
      </c>
      <c r="E117" s="7">
        <v>17</v>
      </c>
      <c r="F117" s="13">
        <v>15</v>
      </c>
      <c r="G117" s="14">
        <f t="shared" si="12"/>
        <v>2</v>
      </c>
      <c r="H117" s="15">
        <v>16</v>
      </c>
      <c r="I117" s="13">
        <v>7</v>
      </c>
      <c r="J117" s="9">
        <f t="shared" si="13"/>
        <v>9</v>
      </c>
      <c r="K117" s="7">
        <f t="shared" si="7"/>
        <v>0.88235294117647056</v>
      </c>
      <c r="N117" s="7">
        <f t="shared" si="8"/>
        <v>0.5625</v>
      </c>
      <c r="Q117" s="7">
        <f t="shared" si="9"/>
        <v>0.4375</v>
      </c>
      <c r="T117" s="7">
        <f t="shared" si="10"/>
        <v>0.11764705882352941</v>
      </c>
      <c r="W117" s="7">
        <f t="shared" si="11"/>
        <v>0.36249999999999999</v>
      </c>
      <c r="Z117" s="7">
        <f>6/963</f>
        <v>6.2305295950155761E-3</v>
      </c>
    </row>
    <row r="118" spans="1:28" x14ac:dyDescent="0.2">
      <c r="A118">
        <v>5</v>
      </c>
      <c r="B118" t="s">
        <v>15</v>
      </c>
      <c r="C118" t="s">
        <v>20</v>
      </c>
      <c r="D118" t="s">
        <v>23</v>
      </c>
      <c r="E118" s="7">
        <v>15</v>
      </c>
      <c r="F118" s="13">
        <v>13</v>
      </c>
      <c r="G118" s="14">
        <f t="shared" si="12"/>
        <v>2</v>
      </c>
      <c r="H118" s="15">
        <v>15</v>
      </c>
      <c r="I118" s="13">
        <v>6</v>
      </c>
      <c r="J118" s="9">
        <f t="shared" si="13"/>
        <v>9</v>
      </c>
      <c r="K118" s="7">
        <f t="shared" si="7"/>
        <v>0.8666666666666667</v>
      </c>
      <c r="N118" s="7">
        <f t="shared" si="8"/>
        <v>0.6</v>
      </c>
      <c r="Q118" s="7">
        <f t="shared" si="9"/>
        <v>0.4</v>
      </c>
      <c r="T118" s="7">
        <f t="shared" si="10"/>
        <v>0.13333333333333333</v>
      </c>
      <c r="W118" s="7">
        <f t="shared" si="11"/>
        <v>0.30769230769230776</v>
      </c>
      <c r="Z118" s="7">
        <f>129/1012</f>
        <v>0.12747035573122531</v>
      </c>
    </row>
    <row r="119" spans="1:28" x14ac:dyDescent="0.2">
      <c r="A119">
        <v>6</v>
      </c>
      <c r="B119" t="s">
        <v>15</v>
      </c>
      <c r="C119" t="s">
        <v>20</v>
      </c>
      <c r="D119" t="s">
        <v>23</v>
      </c>
      <c r="E119" s="7">
        <v>14</v>
      </c>
      <c r="F119" s="13">
        <v>12</v>
      </c>
      <c r="G119" s="14">
        <f t="shared" si="12"/>
        <v>2</v>
      </c>
      <c r="H119" s="15">
        <v>16</v>
      </c>
      <c r="I119" s="13">
        <v>7</v>
      </c>
      <c r="J119" s="9">
        <f t="shared" si="13"/>
        <v>9</v>
      </c>
      <c r="K119" s="7">
        <f t="shared" si="7"/>
        <v>0.8571428571428571</v>
      </c>
      <c r="N119" s="7">
        <f t="shared" si="8"/>
        <v>0.5625</v>
      </c>
      <c r="Q119" s="7">
        <f t="shared" si="9"/>
        <v>0.4375</v>
      </c>
      <c r="T119" s="7">
        <f t="shared" si="10"/>
        <v>0.14285714285714285</v>
      </c>
      <c r="W119" s="7">
        <f t="shared" si="11"/>
        <v>0.34375</v>
      </c>
      <c r="Z119" s="7">
        <f>184/1012</f>
        <v>0.18181818181818182</v>
      </c>
    </row>
    <row r="120" spans="1:28" x14ac:dyDescent="0.2">
      <c r="A120">
        <v>7</v>
      </c>
      <c r="B120" t="s">
        <v>15</v>
      </c>
      <c r="C120" t="s">
        <v>20</v>
      </c>
      <c r="D120" t="s">
        <v>23</v>
      </c>
      <c r="E120" s="7">
        <v>16</v>
      </c>
      <c r="F120" s="13">
        <v>14</v>
      </c>
      <c r="G120" s="14">
        <f t="shared" si="12"/>
        <v>2</v>
      </c>
      <c r="H120" s="15">
        <v>16</v>
      </c>
      <c r="I120" s="13">
        <v>6</v>
      </c>
      <c r="J120" s="9">
        <f t="shared" si="13"/>
        <v>10</v>
      </c>
      <c r="K120" s="7">
        <f t="shared" si="7"/>
        <v>0.875</v>
      </c>
      <c r="N120" s="7">
        <f t="shared" si="8"/>
        <v>0.625</v>
      </c>
      <c r="Q120" s="7">
        <f t="shared" si="9"/>
        <v>0.375</v>
      </c>
      <c r="T120" s="7">
        <f t="shared" si="10"/>
        <v>0.125</v>
      </c>
      <c r="W120" s="7">
        <f t="shared" si="11"/>
        <v>0.2857142857142857</v>
      </c>
      <c r="Z120" s="7">
        <f>130/1013</f>
        <v>0.12833168805528133</v>
      </c>
    </row>
    <row r="121" spans="1:28" x14ac:dyDescent="0.2">
      <c r="A121">
        <v>8</v>
      </c>
      <c r="B121" t="s">
        <v>18</v>
      </c>
      <c r="C121" t="s">
        <v>20</v>
      </c>
      <c r="D121" t="s">
        <v>23</v>
      </c>
      <c r="E121" s="7">
        <v>15</v>
      </c>
      <c r="F121" s="13">
        <v>12</v>
      </c>
      <c r="G121" s="14">
        <f t="shared" si="12"/>
        <v>3</v>
      </c>
      <c r="H121" s="15">
        <v>17</v>
      </c>
      <c r="I121" s="13">
        <v>8</v>
      </c>
      <c r="J121" s="9">
        <f t="shared" si="13"/>
        <v>9</v>
      </c>
      <c r="K121" s="7">
        <f t="shared" si="7"/>
        <v>0.8</v>
      </c>
      <c r="L121" s="8">
        <f>AVERAGE(K121:K127)</f>
        <v>0.82783613445378157</v>
      </c>
      <c r="M121" s="9">
        <f>_xlfn.STDEV.P(K121:K127)/SQRT(7)</f>
        <v>1.2331976231642682E-2</v>
      </c>
      <c r="N121" s="7">
        <f t="shared" si="8"/>
        <v>0.52941176470588236</v>
      </c>
      <c r="O121" s="8">
        <f>AVERAGE(N121:N127)</f>
        <v>0.50479691876750699</v>
      </c>
      <c r="P121" s="9">
        <f>_xlfn.STDEV.P(N121:N127)/SQRT(7)</f>
        <v>1.1808377446215265E-2</v>
      </c>
      <c r="Q121" s="7">
        <f t="shared" si="9"/>
        <v>0.47058823529411764</v>
      </c>
      <c r="R121" s="8">
        <f>AVERAGE(Q121:Q127)</f>
        <v>0.49520308123249296</v>
      </c>
      <c r="S121" s="9">
        <f>_xlfn.STDEV.P(Q121:Q127)/SQRT(7)</f>
        <v>1.1808377446215266E-2</v>
      </c>
      <c r="T121" s="7">
        <f t="shared" si="10"/>
        <v>0.2</v>
      </c>
      <c r="U121" s="8">
        <f>AVERAGE(T121:T127)</f>
        <v>0.17216386554621849</v>
      </c>
      <c r="V121" s="9">
        <f>_xlfn.STDEV.P(T121:T127)/SQRT(7)</f>
        <v>1.2331976231642693E-2</v>
      </c>
      <c r="W121" s="7">
        <f t="shared" si="11"/>
        <v>0.33823529411764702</v>
      </c>
      <c r="X121" s="8">
        <f>AVERAGE(W121:W127)</f>
        <v>0.38816103364422688</v>
      </c>
      <c r="Y121" s="9">
        <f>_xlfn.STDEV.P(W121:W127)/SQRT(7)</f>
        <v>2.1476473245875219E-2</v>
      </c>
      <c r="Z121" s="7">
        <f>149/1007</f>
        <v>0.14796425024826215</v>
      </c>
      <c r="AA121" s="8">
        <f>AVERAGE(Z121:Z127)</f>
        <v>0.14425427530657833</v>
      </c>
      <c r="AB121" s="9">
        <f>_xlfn.STDEV.P(Z121:Z127)/SQRT(7)</f>
        <v>1.1066558185586991E-2</v>
      </c>
    </row>
    <row r="122" spans="1:28" x14ac:dyDescent="0.2">
      <c r="A122">
        <v>9</v>
      </c>
      <c r="B122" t="s">
        <v>18</v>
      </c>
      <c r="C122" t="s">
        <v>20</v>
      </c>
      <c r="D122" t="s">
        <v>23</v>
      </c>
      <c r="E122" s="7">
        <v>16</v>
      </c>
      <c r="F122" s="13">
        <v>13</v>
      </c>
      <c r="G122" s="14">
        <f t="shared" si="12"/>
        <v>3</v>
      </c>
      <c r="H122" s="15">
        <v>15</v>
      </c>
      <c r="I122" s="13">
        <v>7</v>
      </c>
      <c r="J122" s="9">
        <f t="shared" si="13"/>
        <v>8</v>
      </c>
      <c r="K122" s="7">
        <f t="shared" si="7"/>
        <v>0.8125</v>
      </c>
      <c r="N122" s="7">
        <f t="shared" si="8"/>
        <v>0.53333333333333333</v>
      </c>
      <c r="Q122" s="7">
        <f t="shared" si="9"/>
        <v>0.46666666666666667</v>
      </c>
      <c r="T122" s="7">
        <f t="shared" si="10"/>
        <v>0.1875</v>
      </c>
      <c r="W122" s="7">
        <f t="shared" si="11"/>
        <v>0.34358974358974359</v>
      </c>
      <c r="Z122" s="7">
        <f>159/982</f>
        <v>0.16191446028513237</v>
      </c>
    </row>
    <row r="123" spans="1:28" x14ac:dyDescent="0.2">
      <c r="A123">
        <v>10</v>
      </c>
      <c r="B123" t="s">
        <v>18</v>
      </c>
      <c r="C123" t="s">
        <v>20</v>
      </c>
      <c r="D123" t="s">
        <v>23</v>
      </c>
      <c r="E123" s="7">
        <v>16</v>
      </c>
      <c r="F123" s="13">
        <v>13</v>
      </c>
      <c r="G123" s="14">
        <f t="shared" si="12"/>
        <v>3</v>
      </c>
      <c r="H123" s="15">
        <v>16</v>
      </c>
      <c r="I123" s="13">
        <v>8</v>
      </c>
      <c r="J123" s="9">
        <f t="shared" si="13"/>
        <v>8</v>
      </c>
      <c r="K123" s="7">
        <f t="shared" si="7"/>
        <v>0.8125</v>
      </c>
      <c r="N123" s="7">
        <f t="shared" si="8"/>
        <v>0.5</v>
      </c>
      <c r="Q123" s="7">
        <f t="shared" si="9"/>
        <v>0.5</v>
      </c>
      <c r="T123" s="7">
        <f t="shared" si="10"/>
        <v>0.1875</v>
      </c>
      <c r="W123" s="7">
        <f t="shared" si="11"/>
        <v>0.38461538461538464</v>
      </c>
      <c r="Z123" s="7">
        <f>194/987</f>
        <v>0.19655521783181357</v>
      </c>
    </row>
    <row r="124" spans="1:28" x14ac:dyDescent="0.2">
      <c r="A124">
        <v>11</v>
      </c>
      <c r="B124" t="s">
        <v>18</v>
      </c>
      <c r="C124" t="s">
        <v>20</v>
      </c>
      <c r="D124" t="s">
        <v>23</v>
      </c>
      <c r="E124" s="7">
        <v>17</v>
      </c>
      <c r="F124" s="13">
        <v>15</v>
      </c>
      <c r="G124" s="14">
        <f t="shared" si="12"/>
        <v>2</v>
      </c>
      <c r="H124" s="15">
        <v>16</v>
      </c>
      <c r="I124" s="13">
        <v>9</v>
      </c>
      <c r="J124" s="9">
        <f t="shared" si="13"/>
        <v>7</v>
      </c>
      <c r="K124" s="7">
        <f t="shared" si="7"/>
        <v>0.88235294117647056</v>
      </c>
      <c r="N124" s="7">
        <f t="shared" si="8"/>
        <v>0.4375</v>
      </c>
      <c r="Q124" s="7">
        <f t="shared" si="9"/>
        <v>0.5625</v>
      </c>
      <c r="T124" s="7">
        <f t="shared" si="10"/>
        <v>0.11764705882352941</v>
      </c>
      <c r="W124" s="7">
        <f t="shared" si="11"/>
        <v>0.50416666666666665</v>
      </c>
      <c r="Z124" s="7">
        <f>127/1043</f>
        <v>0.12176414189837009</v>
      </c>
    </row>
    <row r="125" spans="1:28" x14ac:dyDescent="0.2">
      <c r="A125">
        <v>12</v>
      </c>
      <c r="B125" t="s">
        <v>18</v>
      </c>
      <c r="C125" t="s">
        <v>20</v>
      </c>
      <c r="D125" t="s">
        <v>23</v>
      </c>
      <c r="E125" s="7">
        <v>15</v>
      </c>
      <c r="F125" s="13">
        <v>12</v>
      </c>
      <c r="G125" s="14">
        <f t="shared" si="12"/>
        <v>3</v>
      </c>
      <c r="H125" s="15">
        <v>15</v>
      </c>
      <c r="I125" s="13">
        <v>7</v>
      </c>
      <c r="J125" s="9">
        <f t="shared" si="13"/>
        <v>8</v>
      </c>
      <c r="K125" s="7">
        <f t="shared" si="7"/>
        <v>0.8</v>
      </c>
      <c r="N125" s="7">
        <f t="shared" si="8"/>
        <v>0.53333333333333333</v>
      </c>
      <c r="Q125" s="7">
        <f t="shared" si="9"/>
        <v>0.46666666666666667</v>
      </c>
      <c r="T125" s="7">
        <f t="shared" si="10"/>
        <v>0.2</v>
      </c>
      <c r="W125" s="7">
        <f t="shared" si="11"/>
        <v>0.33333333333333331</v>
      </c>
      <c r="Z125" s="7">
        <f>98/1027</f>
        <v>9.5423563777994158E-2</v>
      </c>
    </row>
    <row r="126" spans="1:28" x14ac:dyDescent="0.2">
      <c r="A126">
        <v>13</v>
      </c>
      <c r="B126" t="s">
        <v>18</v>
      </c>
      <c r="C126" t="s">
        <v>20</v>
      </c>
      <c r="D126" t="s">
        <v>23</v>
      </c>
      <c r="E126" s="7">
        <v>16</v>
      </c>
      <c r="F126" s="13">
        <v>13</v>
      </c>
      <c r="G126" s="14">
        <f t="shared" si="12"/>
        <v>3</v>
      </c>
      <c r="H126" s="15">
        <v>16</v>
      </c>
      <c r="I126" s="13">
        <v>8</v>
      </c>
      <c r="J126" s="9">
        <f t="shared" si="13"/>
        <v>8</v>
      </c>
      <c r="K126" s="7">
        <f t="shared" si="7"/>
        <v>0.8125</v>
      </c>
      <c r="N126" s="7">
        <f t="shared" si="8"/>
        <v>0.5</v>
      </c>
      <c r="Q126" s="7">
        <f t="shared" si="9"/>
        <v>0.5</v>
      </c>
      <c r="T126" s="7">
        <f t="shared" si="10"/>
        <v>0.1875</v>
      </c>
      <c r="W126" s="7">
        <f t="shared" si="11"/>
        <v>0.38461538461538464</v>
      </c>
      <c r="Z126" s="7">
        <f>146/987</f>
        <v>0.14792299898682879</v>
      </c>
    </row>
    <row r="127" spans="1:28" x14ac:dyDescent="0.2">
      <c r="A127">
        <v>14</v>
      </c>
      <c r="B127" t="s">
        <v>18</v>
      </c>
      <c r="C127" t="s">
        <v>20</v>
      </c>
      <c r="D127" t="s">
        <v>23</v>
      </c>
      <c r="E127" s="7">
        <v>16</v>
      </c>
      <c r="F127" s="13">
        <v>14</v>
      </c>
      <c r="G127" s="14">
        <f t="shared" si="12"/>
        <v>2</v>
      </c>
      <c r="H127" s="15">
        <v>16</v>
      </c>
      <c r="I127" s="13">
        <v>8</v>
      </c>
      <c r="J127" s="9">
        <f t="shared" si="13"/>
        <v>8</v>
      </c>
      <c r="K127" s="7">
        <f t="shared" si="7"/>
        <v>0.875</v>
      </c>
      <c r="N127" s="7">
        <f t="shared" si="8"/>
        <v>0.5</v>
      </c>
      <c r="Q127" s="7">
        <f t="shared" si="9"/>
        <v>0.5</v>
      </c>
      <c r="T127" s="7">
        <f t="shared" si="10"/>
        <v>0.125</v>
      </c>
      <c r="W127" s="7">
        <f t="shared" si="11"/>
        <v>0.42857142857142855</v>
      </c>
      <c r="Z127" s="7">
        <f>141/1020</f>
        <v>0.13823529411764707</v>
      </c>
    </row>
    <row r="128" spans="1:28" x14ac:dyDescent="0.2">
      <c r="A128">
        <v>1</v>
      </c>
      <c r="B128" t="s">
        <v>15</v>
      </c>
      <c r="C128" t="s">
        <v>19</v>
      </c>
      <c r="D128" t="s">
        <v>24</v>
      </c>
      <c r="E128" s="7">
        <v>15</v>
      </c>
      <c r="F128" s="13">
        <v>13</v>
      </c>
      <c r="G128" s="14">
        <f t="shared" ref="G128:G155" si="14">E128-F128</f>
        <v>2</v>
      </c>
      <c r="H128" s="15">
        <v>16</v>
      </c>
      <c r="I128" s="13">
        <v>12</v>
      </c>
      <c r="J128" s="9">
        <f t="shared" ref="J128:J155" si="15">H128-I128</f>
        <v>4</v>
      </c>
      <c r="K128" s="7">
        <f t="shared" si="7"/>
        <v>0.8666666666666667</v>
      </c>
      <c r="L128" s="8">
        <f>AVERAGE(K128:K134)</f>
        <v>0.83788515406162467</v>
      </c>
      <c r="M128" s="9">
        <f>_xlfn.STDEV.P(K128:K134)/SQRT(7)</f>
        <v>1.152953914731703E-2</v>
      </c>
      <c r="N128" s="7">
        <f t="shared" si="8"/>
        <v>0.25</v>
      </c>
      <c r="O128" s="8">
        <f>AVERAGE(N128:N134)</f>
        <v>0.27654061624649862</v>
      </c>
      <c r="P128" s="9">
        <f>_xlfn.STDEV.P(N128:N134)/SQRT(7)</f>
        <v>2.0568856180721677E-2</v>
      </c>
      <c r="Q128" s="7">
        <f t="shared" si="9"/>
        <v>0.75</v>
      </c>
      <c r="R128" s="8">
        <f>AVERAGE(Q128:Q134)</f>
        <v>0.72345938375350138</v>
      </c>
      <c r="S128" s="9">
        <f>_xlfn.STDEV.P(Q128:Q134)/SQRT(7)</f>
        <v>2.0568856180721653E-2</v>
      </c>
      <c r="T128" s="7">
        <f t="shared" si="10"/>
        <v>0.13333333333333333</v>
      </c>
      <c r="U128" s="8">
        <f>AVERAGE(T128:T134)</f>
        <v>0.16211484593837536</v>
      </c>
      <c r="V128" s="9">
        <f>_xlfn.STDEV.P(T128:T134)/SQRT(7)</f>
        <v>1.1529539147317074E-2</v>
      </c>
      <c r="W128" s="7">
        <f t="shared" si="11"/>
        <v>0.71153846153846156</v>
      </c>
      <c r="X128" s="8">
        <f>AVERAGE(W128:W134)</f>
        <v>0.67020423554037012</v>
      </c>
      <c r="Y128" s="9">
        <f>_xlfn.STDEV.P(W128:W134)/SQRT(7)</f>
        <v>2.4062057697461357E-2</v>
      </c>
      <c r="Z128" s="7">
        <f>122/1014</f>
        <v>0.1203155818540434</v>
      </c>
      <c r="AA128" s="8">
        <f>AVERAGE(Z128:Z134)</f>
        <v>0.12057422518878765</v>
      </c>
      <c r="AB128" s="9">
        <f>_xlfn.STDEV.P(Z128:Z134)/SQRT(7)</f>
        <v>1.1262694478243318E-2</v>
      </c>
    </row>
    <row r="129" spans="1:28" x14ac:dyDescent="0.2">
      <c r="A129">
        <v>2</v>
      </c>
      <c r="B129" t="s">
        <v>15</v>
      </c>
      <c r="C129" t="s">
        <v>19</v>
      </c>
      <c r="D129" t="s">
        <v>24</v>
      </c>
      <c r="E129" s="7">
        <v>16</v>
      </c>
      <c r="F129" s="13">
        <v>14</v>
      </c>
      <c r="G129" s="14">
        <f t="shared" si="14"/>
        <v>2</v>
      </c>
      <c r="H129" s="15">
        <v>17</v>
      </c>
      <c r="I129" s="13">
        <v>12</v>
      </c>
      <c r="J129" s="9">
        <f t="shared" si="15"/>
        <v>5</v>
      </c>
      <c r="K129" s="7">
        <f t="shared" si="7"/>
        <v>0.875</v>
      </c>
      <c r="N129" s="7">
        <f t="shared" si="8"/>
        <v>0.29411764705882354</v>
      </c>
      <c r="Q129" s="7">
        <f t="shared" si="9"/>
        <v>0.70588235294117652</v>
      </c>
      <c r="T129" s="7">
        <f t="shared" si="10"/>
        <v>0.125</v>
      </c>
      <c r="W129" s="7">
        <f t="shared" si="11"/>
        <v>0.66386554621848748</v>
      </c>
      <c r="Z129" s="7">
        <f>120/1004</f>
        <v>0.11952191235059761</v>
      </c>
    </row>
    <row r="130" spans="1:28" x14ac:dyDescent="0.2">
      <c r="A130">
        <v>3</v>
      </c>
      <c r="B130" t="s">
        <v>15</v>
      </c>
      <c r="C130" t="s">
        <v>19</v>
      </c>
      <c r="D130" t="s">
        <v>24</v>
      </c>
      <c r="E130" s="7">
        <v>16</v>
      </c>
      <c r="F130" s="13">
        <v>13</v>
      </c>
      <c r="G130" s="14">
        <f t="shared" si="14"/>
        <v>3</v>
      </c>
      <c r="H130" s="15">
        <v>15</v>
      </c>
      <c r="I130" s="13">
        <v>11</v>
      </c>
      <c r="J130" s="9">
        <f t="shared" si="15"/>
        <v>4</v>
      </c>
      <c r="K130" s="7">
        <f t="shared" ref="K130:K193" si="16">F130/E130</f>
        <v>0.8125</v>
      </c>
      <c r="N130" s="7">
        <f t="shared" ref="N130:N193" si="17">J130/H130</f>
        <v>0.26666666666666666</v>
      </c>
      <c r="Q130" s="7">
        <f t="shared" ref="Q130:Q193" si="18">I130/H130</f>
        <v>0.73333333333333328</v>
      </c>
      <c r="T130" s="7">
        <f t="shared" ref="T130:T193" si="19">G130/E130</f>
        <v>0.1875</v>
      </c>
      <c r="W130" s="7">
        <f t="shared" ref="W130:W193" si="20">(Q130-T130)/(1-T130)</f>
        <v>0.67179487179487174</v>
      </c>
      <c r="Z130" s="7">
        <f>151/1027</f>
        <v>0.14703018500486856</v>
      </c>
    </row>
    <row r="131" spans="1:28" x14ac:dyDescent="0.2">
      <c r="A131">
        <v>4</v>
      </c>
      <c r="B131" t="s">
        <v>15</v>
      </c>
      <c r="C131" t="s">
        <v>19</v>
      </c>
      <c r="D131" t="s">
        <v>24</v>
      </c>
      <c r="E131" s="7">
        <v>17</v>
      </c>
      <c r="F131" s="13">
        <v>14</v>
      </c>
      <c r="G131" s="14">
        <f t="shared" si="14"/>
        <v>3</v>
      </c>
      <c r="H131" s="15">
        <v>16</v>
      </c>
      <c r="I131" s="13">
        <v>10</v>
      </c>
      <c r="J131" s="9">
        <f t="shared" si="15"/>
        <v>6</v>
      </c>
      <c r="K131" s="7">
        <f t="shared" si="16"/>
        <v>0.82352941176470584</v>
      </c>
      <c r="N131" s="7">
        <f t="shared" si="17"/>
        <v>0.375</v>
      </c>
      <c r="Q131" s="7">
        <f t="shared" si="18"/>
        <v>0.625</v>
      </c>
      <c r="T131" s="7">
        <f t="shared" si="19"/>
        <v>0.17647058823529413</v>
      </c>
      <c r="W131" s="7">
        <f t="shared" si="20"/>
        <v>0.5446428571428571</v>
      </c>
      <c r="Z131" s="7">
        <f>167/996</f>
        <v>0.1676706827309237</v>
      </c>
    </row>
    <row r="132" spans="1:28" x14ac:dyDescent="0.2">
      <c r="A132">
        <v>5</v>
      </c>
      <c r="B132" t="s">
        <v>15</v>
      </c>
      <c r="C132" t="s">
        <v>19</v>
      </c>
      <c r="D132" t="s">
        <v>24</v>
      </c>
      <c r="E132" s="7">
        <v>15</v>
      </c>
      <c r="F132" s="13">
        <v>12</v>
      </c>
      <c r="G132" s="14">
        <f t="shared" si="14"/>
        <v>3</v>
      </c>
      <c r="H132" s="15">
        <v>16</v>
      </c>
      <c r="I132" s="13">
        <v>12</v>
      </c>
      <c r="J132" s="9">
        <f t="shared" si="15"/>
        <v>4</v>
      </c>
      <c r="K132" s="7">
        <f t="shared" si="16"/>
        <v>0.8</v>
      </c>
      <c r="N132" s="7">
        <f t="shared" si="17"/>
        <v>0.25</v>
      </c>
      <c r="Q132" s="7">
        <f t="shared" si="18"/>
        <v>0.75</v>
      </c>
      <c r="T132" s="7">
        <f t="shared" si="19"/>
        <v>0.2</v>
      </c>
      <c r="W132" s="7">
        <f t="shared" si="20"/>
        <v>0.6875</v>
      </c>
      <c r="Z132" s="7">
        <f>104/1005</f>
        <v>0.10348258706467661</v>
      </c>
    </row>
    <row r="133" spans="1:28" x14ac:dyDescent="0.2">
      <c r="A133">
        <v>6</v>
      </c>
      <c r="B133" t="s">
        <v>15</v>
      </c>
      <c r="C133" t="s">
        <v>19</v>
      </c>
      <c r="D133" t="s">
        <v>24</v>
      </c>
      <c r="E133" s="7">
        <v>16</v>
      </c>
      <c r="F133" s="13">
        <v>13</v>
      </c>
      <c r="G133" s="14">
        <f t="shared" si="14"/>
        <v>3</v>
      </c>
      <c r="H133" s="15">
        <v>16</v>
      </c>
      <c r="I133" s="13">
        <v>13</v>
      </c>
      <c r="J133" s="9">
        <f t="shared" si="15"/>
        <v>3</v>
      </c>
      <c r="K133" s="7">
        <f t="shared" si="16"/>
        <v>0.8125</v>
      </c>
      <c r="N133" s="7">
        <f t="shared" si="17"/>
        <v>0.1875</v>
      </c>
      <c r="Q133" s="7">
        <f t="shared" si="18"/>
        <v>0.8125</v>
      </c>
      <c r="T133" s="7">
        <f t="shared" si="19"/>
        <v>0.1875</v>
      </c>
      <c r="W133" s="7">
        <f t="shared" si="20"/>
        <v>0.76923076923076927</v>
      </c>
      <c r="Z133" s="7">
        <f>123/1023</f>
        <v>0.12023460410557185</v>
      </c>
    </row>
    <row r="134" spans="1:28" x14ac:dyDescent="0.2">
      <c r="A134">
        <v>7</v>
      </c>
      <c r="B134" t="s">
        <v>15</v>
      </c>
      <c r="C134" t="s">
        <v>19</v>
      </c>
      <c r="D134" t="s">
        <v>24</v>
      </c>
      <c r="E134" s="7">
        <v>16</v>
      </c>
      <c r="F134" s="13">
        <v>14</v>
      </c>
      <c r="G134" s="14">
        <f t="shared" si="14"/>
        <v>2</v>
      </c>
      <c r="H134" s="15">
        <v>16</v>
      </c>
      <c r="I134" s="13">
        <v>11</v>
      </c>
      <c r="J134" s="9">
        <f t="shared" si="15"/>
        <v>5</v>
      </c>
      <c r="K134" s="7">
        <f t="shared" si="16"/>
        <v>0.875</v>
      </c>
      <c r="N134" s="7">
        <f t="shared" si="17"/>
        <v>0.3125</v>
      </c>
      <c r="Q134" s="7">
        <f t="shared" si="18"/>
        <v>0.6875</v>
      </c>
      <c r="T134" s="7">
        <f t="shared" si="19"/>
        <v>0.125</v>
      </c>
      <c r="W134" s="7">
        <f t="shared" si="20"/>
        <v>0.6428571428571429</v>
      </c>
      <c r="Z134" s="7">
        <f>68/1034</f>
        <v>6.5764023210831718E-2</v>
      </c>
    </row>
    <row r="135" spans="1:28" x14ac:dyDescent="0.2">
      <c r="A135">
        <v>8</v>
      </c>
      <c r="B135" t="s">
        <v>18</v>
      </c>
      <c r="C135" t="s">
        <v>19</v>
      </c>
      <c r="D135" t="s">
        <v>24</v>
      </c>
      <c r="E135" s="7">
        <v>15</v>
      </c>
      <c r="F135" s="13">
        <v>13</v>
      </c>
      <c r="G135" s="14">
        <f t="shared" si="14"/>
        <v>2</v>
      </c>
      <c r="H135" s="15">
        <v>16</v>
      </c>
      <c r="I135" s="13">
        <v>12</v>
      </c>
      <c r="J135" s="9">
        <f t="shared" si="15"/>
        <v>4</v>
      </c>
      <c r="K135" s="7">
        <f t="shared" si="16"/>
        <v>0.8666666666666667</v>
      </c>
      <c r="L135" s="8">
        <f>AVERAGE(K135:K141)</f>
        <v>0.89977490996398568</v>
      </c>
      <c r="M135" s="9">
        <f>_xlfn.STDEV.P(K135:K141)/SQRT(7)</f>
        <v>1.107107168022506E-2</v>
      </c>
      <c r="N135" s="7">
        <f t="shared" si="17"/>
        <v>0.25</v>
      </c>
      <c r="O135" s="8">
        <f>AVERAGE(N135:N141)</f>
        <v>0.19842436974789915</v>
      </c>
      <c r="P135" s="9">
        <f>_xlfn.STDEV.P(N135:N141)/SQRT(7)</f>
        <v>8.4575831728447605E-3</v>
      </c>
      <c r="Q135" s="7">
        <f t="shared" si="18"/>
        <v>0.75</v>
      </c>
      <c r="R135" s="8">
        <f>AVERAGE(Q135:Q141)</f>
        <v>0.80157563025210077</v>
      </c>
      <c r="S135" s="9">
        <f>_xlfn.STDEV.P(Q135:Q141)/SQRT(7)</f>
        <v>8.4575831728447293E-3</v>
      </c>
      <c r="T135" s="7">
        <f t="shared" si="19"/>
        <v>0.13333333333333333</v>
      </c>
      <c r="U135" s="8">
        <f>AVERAGE(T135:T141)</f>
        <v>0.1002250900360144</v>
      </c>
      <c r="V135" s="9">
        <f>_xlfn.STDEV.P(T135:T141)/SQRT(7)</f>
        <v>1.1071071680225067E-2</v>
      </c>
      <c r="W135" s="7">
        <f t="shared" si="20"/>
        <v>0.71153846153846156</v>
      </c>
      <c r="X135" s="8">
        <f>AVERAGE(W135:W141)</f>
        <v>0.77870821405485269</v>
      </c>
      <c r="Y135" s="9">
        <f>_xlfn.STDEV.P(W135:W141)/SQRT(7)</f>
        <v>1.1553654842738008E-2</v>
      </c>
      <c r="Z135" s="7">
        <f>187/990</f>
        <v>0.18888888888888888</v>
      </c>
      <c r="AA135" s="8">
        <f>AVERAGE(Z135:Z141)</f>
        <v>0.1180400750880433</v>
      </c>
      <c r="AB135" s="9">
        <f>_xlfn.STDEV.P(Z135:Z141)/SQRT(7)</f>
        <v>1.6835174475408232E-2</v>
      </c>
    </row>
    <row r="136" spans="1:28" x14ac:dyDescent="0.2">
      <c r="A136">
        <v>9</v>
      </c>
      <c r="B136" t="s">
        <v>18</v>
      </c>
      <c r="C136" t="s">
        <v>19</v>
      </c>
      <c r="D136" t="s">
        <v>24</v>
      </c>
      <c r="E136" s="7">
        <v>16</v>
      </c>
      <c r="F136" s="13">
        <v>15</v>
      </c>
      <c r="G136" s="14">
        <f t="shared" si="14"/>
        <v>1</v>
      </c>
      <c r="H136" s="15">
        <v>16</v>
      </c>
      <c r="I136" s="13">
        <v>13</v>
      </c>
      <c r="J136" s="9">
        <f t="shared" si="15"/>
        <v>3</v>
      </c>
      <c r="K136" s="7">
        <f t="shared" si="16"/>
        <v>0.9375</v>
      </c>
      <c r="N136" s="7">
        <f t="shared" si="17"/>
        <v>0.1875</v>
      </c>
      <c r="Q136" s="7">
        <f t="shared" si="18"/>
        <v>0.8125</v>
      </c>
      <c r="T136" s="7">
        <f t="shared" si="19"/>
        <v>6.25E-2</v>
      </c>
      <c r="W136" s="7">
        <f t="shared" si="20"/>
        <v>0.8</v>
      </c>
      <c r="Z136" s="7">
        <f>102/1013</f>
        <v>0.10069101678183613</v>
      </c>
    </row>
    <row r="137" spans="1:28" x14ac:dyDescent="0.2">
      <c r="A137">
        <v>10</v>
      </c>
      <c r="B137" t="s">
        <v>18</v>
      </c>
      <c r="C137" t="s">
        <v>19</v>
      </c>
      <c r="D137" t="s">
        <v>24</v>
      </c>
      <c r="E137" s="7">
        <v>16</v>
      </c>
      <c r="F137" s="13">
        <v>14</v>
      </c>
      <c r="G137" s="14">
        <f t="shared" si="14"/>
        <v>2</v>
      </c>
      <c r="H137" s="15">
        <v>15</v>
      </c>
      <c r="I137" s="13">
        <f>H137*0.8</f>
        <v>12</v>
      </c>
      <c r="J137" s="9">
        <f t="shared" si="15"/>
        <v>3</v>
      </c>
      <c r="K137" s="7">
        <f t="shared" si="16"/>
        <v>0.875</v>
      </c>
      <c r="N137" s="7">
        <f t="shared" si="17"/>
        <v>0.2</v>
      </c>
      <c r="Q137" s="7">
        <f t="shared" si="18"/>
        <v>0.8</v>
      </c>
      <c r="T137" s="7">
        <f t="shared" si="19"/>
        <v>0.125</v>
      </c>
      <c r="W137" s="7">
        <f t="shared" si="20"/>
        <v>0.77142857142857146</v>
      </c>
      <c r="Z137" s="7">
        <f>103/1022</f>
        <v>0.10078277886497064</v>
      </c>
    </row>
    <row r="138" spans="1:28" x14ac:dyDescent="0.2">
      <c r="A138">
        <v>11</v>
      </c>
      <c r="B138" t="s">
        <v>18</v>
      </c>
      <c r="C138" t="s">
        <v>19</v>
      </c>
      <c r="D138" t="s">
        <v>24</v>
      </c>
      <c r="E138" s="7">
        <v>17</v>
      </c>
      <c r="F138" s="13">
        <v>15</v>
      </c>
      <c r="G138" s="14">
        <f t="shared" si="14"/>
        <v>2</v>
      </c>
      <c r="H138" s="15">
        <v>16</v>
      </c>
      <c r="I138" s="13">
        <v>13</v>
      </c>
      <c r="J138" s="9">
        <f t="shared" si="15"/>
        <v>3</v>
      </c>
      <c r="K138" s="7">
        <f t="shared" si="16"/>
        <v>0.88235294117647056</v>
      </c>
      <c r="N138" s="7">
        <f t="shared" si="17"/>
        <v>0.1875</v>
      </c>
      <c r="Q138" s="7">
        <f t="shared" si="18"/>
        <v>0.8125</v>
      </c>
      <c r="T138" s="7">
        <f t="shared" si="19"/>
        <v>0.11764705882352941</v>
      </c>
      <c r="W138" s="7">
        <f t="shared" si="20"/>
        <v>0.78749999999999998</v>
      </c>
      <c r="Z138" s="7">
        <f>98/1027</f>
        <v>9.5423563777994158E-2</v>
      </c>
    </row>
    <row r="139" spans="1:28" x14ac:dyDescent="0.2">
      <c r="A139">
        <v>12</v>
      </c>
      <c r="B139" t="s">
        <v>18</v>
      </c>
      <c r="C139" t="s">
        <v>19</v>
      </c>
      <c r="D139" t="s">
        <v>24</v>
      </c>
      <c r="E139" s="7">
        <v>15</v>
      </c>
      <c r="F139" s="13">
        <v>14</v>
      </c>
      <c r="G139" s="14">
        <f t="shared" si="14"/>
        <v>1</v>
      </c>
      <c r="H139" s="15">
        <v>16</v>
      </c>
      <c r="I139" s="13">
        <v>13</v>
      </c>
      <c r="J139" s="9">
        <f t="shared" si="15"/>
        <v>3</v>
      </c>
      <c r="K139" s="7">
        <f t="shared" si="16"/>
        <v>0.93333333333333335</v>
      </c>
      <c r="N139" s="7">
        <f t="shared" si="17"/>
        <v>0.1875</v>
      </c>
      <c r="Q139" s="7">
        <f t="shared" si="18"/>
        <v>0.8125</v>
      </c>
      <c r="T139" s="7">
        <f t="shared" si="19"/>
        <v>6.6666666666666666E-2</v>
      </c>
      <c r="W139" s="7">
        <f t="shared" si="20"/>
        <v>0.7991071428571429</v>
      </c>
      <c r="Z139" s="7">
        <f>152/1018</f>
        <v>0.14931237721021612</v>
      </c>
    </row>
    <row r="140" spans="1:28" x14ac:dyDescent="0.2">
      <c r="A140">
        <v>13</v>
      </c>
      <c r="B140" t="s">
        <v>18</v>
      </c>
      <c r="C140" t="s">
        <v>19</v>
      </c>
      <c r="D140" t="s">
        <v>24</v>
      </c>
      <c r="E140" s="7">
        <v>14</v>
      </c>
      <c r="F140" s="13">
        <v>13</v>
      </c>
      <c r="G140" s="14">
        <f t="shared" si="14"/>
        <v>1</v>
      </c>
      <c r="H140" s="15">
        <v>17</v>
      </c>
      <c r="I140" s="13">
        <v>14</v>
      </c>
      <c r="J140" s="9">
        <f t="shared" si="15"/>
        <v>3</v>
      </c>
      <c r="K140" s="7">
        <f t="shared" si="16"/>
        <v>0.9285714285714286</v>
      </c>
      <c r="N140" s="7">
        <f t="shared" si="17"/>
        <v>0.17647058823529413</v>
      </c>
      <c r="Q140" s="7">
        <f t="shared" si="18"/>
        <v>0.82352941176470584</v>
      </c>
      <c r="T140" s="7">
        <f t="shared" si="19"/>
        <v>7.1428571428571425E-2</v>
      </c>
      <c r="W140" s="7">
        <f t="shared" si="20"/>
        <v>0.80995475113122173</v>
      </c>
      <c r="Z140" s="7">
        <f>152/1018</f>
        <v>0.14931237721021612</v>
      </c>
    </row>
    <row r="141" spans="1:28" x14ac:dyDescent="0.2">
      <c r="A141">
        <v>14</v>
      </c>
      <c r="B141" t="s">
        <v>18</v>
      </c>
      <c r="C141" t="s">
        <v>19</v>
      </c>
      <c r="D141" t="s">
        <v>24</v>
      </c>
      <c r="E141" s="7">
        <v>16</v>
      </c>
      <c r="F141" s="13">
        <v>14</v>
      </c>
      <c r="G141" s="14">
        <f t="shared" si="14"/>
        <v>2</v>
      </c>
      <c r="H141" s="15">
        <v>15</v>
      </c>
      <c r="I141" s="13">
        <f>H141*0.8</f>
        <v>12</v>
      </c>
      <c r="J141" s="9">
        <f t="shared" si="15"/>
        <v>3</v>
      </c>
      <c r="K141" s="7">
        <f t="shared" si="16"/>
        <v>0.875</v>
      </c>
      <c r="N141" s="7">
        <f t="shared" si="17"/>
        <v>0.2</v>
      </c>
      <c r="Q141" s="7">
        <f t="shared" si="18"/>
        <v>0.8</v>
      </c>
      <c r="T141" s="7">
        <f t="shared" si="19"/>
        <v>0.125</v>
      </c>
      <c r="W141" s="7">
        <f t="shared" si="20"/>
        <v>0.77142857142857146</v>
      </c>
      <c r="Z141" s="7">
        <f>43/1027</f>
        <v>4.1869522882181112E-2</v>
      </c>
    </row>
    <row r="142" spans="1:28" x14ac:dyDescent="0.2">
      <c r="A142">
        <v>1</v>
      </c>
      <c r="B142" t="s">
        <v>15</v>
      </c>
      <c r="C142" t="s">
        <v>19</v>
      </c>
      <c r="D142" t="s">
        <v>25</v>
      </c>
      <c r="E142" s="7">
        <v>17</v>
      </c>
      <c r="F142" s="13">
        <v>15</v>
      </c>
      <c r="G142" s="14">
        <f t="shared" si="14"/>
        <v>2</v>
      </c>
      <c r="H142" s="15">
        <v>16</v>
      </c>
      <c r="I142" s="13">
        <v>12</v>
      </c>
      <c r="J142" s="9">
        <f t="shared" si="15"/>
        <v>4</v>
      </c>
      <c r="K142" s="7">
        <f t="shared" si="16"/>
        <v>0.88235294117647056</v>
      </c>
      <c r="L142" s="8">
        <f>AVERAGE(K142:K148)</f>
        <v>0.85521708683473385</v>
      </c>
      <c r="M142" s="9">
        <f>_xlfn.STDEV.P(K142:K148)/SQRT(7)</f>
        <v>1.1879681346013179E-2</v>
      </c>
      <c r="N142" s="7">
        <f t="shared" si="17"/>
        <v>0.25</v>
      </c>
      <c r="O142" s="8">
        <f>AVERAGE(N142:N148)</f>
        <v>0.2369047619047619</v>
      </c>
      <c r="P142" s="9">
        <f>_xlfn.STDEV.P(N142:N148)/SQRT(7)</f>
        <v>1.2094575213502842E-2</v>
      </c>
      <c r="Q142" s="7">
        <f t="shared" si="18"/>
        <v>0.75</v>
      </c>
      <c r="R142" s="8">
        <f>AVERAGE(Q142:Q148)</f>
        <v>0.76309523809523816</v>
      </c>
      <c r="S142" s="9">
        <f>_xlfn.STDEV.P(Q142:Q148)/SQRT(7)</f>
        <v>1.2094575213502797E-2</v>
      </c>
      <c r="T142" s="7">
        <f t="shared" si="19"/>
        <v>0.11764705882352941</v>
      </c>
      <c r="U142" s="8">
        <f>AVERAGE(T142:T148)</f>
        <v>0.14478291316526609</v>
      </c>
      <c r="V142" s="9">
        <f>_xlfn.STDEV.P(T142:T148)/SQRT(7)</f>
        <v>1.1879681346013228E-2</v>
      </c>
      <c r="W142" s="7">
        <f t="shared" si="20"/>
        <v>0.71666666666666667</v>
      </c>
      <c r="X142" s="8">
        <f>AVERAGE(W142:W148)</f>
        <v>0.72318975667189966</v>
      </c>
      <c r="Y142" s="9">
        <f>_xlfn.STDEV.P(W142:W148)/SQRT(7)</f>
        <v>1.3096706739034425E-2</v>
      </c>
      <c r="Z142" s="7">
        <f>95/1023</f>
        <v>9.2864125122189639E-2</v>
      </c>
      <c r="AA142" s="8">
        <f>AVERAGE(Z142:Z148)</f>
        <v>8.2060508122962769E-2</v>
      </c>
      <c r="AB142" s="9">
        <f>_xlfn.STDEV.P(Z142:Z148)/SQRT(7)</f>
        <v>8.895712665470526E-3</v>
      </c>
    </row>
    <row r="143" spans="1:28" x14ac:dyDescent="0.2">
      <c r="A143">
        <v>2</v>
      </c>
      <c r="B143" t="s">
        <v>15</v>
      </c>
      <c r="C143" t="s">
        <v>19</v>
      </c>
      <c r="D143" t="s">
        <v>25</v>
      </c>
      <c r="E143" s="7">
        <v>15</v>
      </c>
      <c r="F143" s="13">
        <v>12</v>
      </c>
      <c r="G143" s="14">
        <f t="shared" si="14"/>
        <v>3</v>
      </c>
      <c r="H143" s="15">
        <v>16</v>
      </c>
      <c r="I143" s="13">
        <v>13</v>
      </c>
      <c r="J143" s="9">
        <f t="shared" si="15"/>
        <v>3</v>
      </c>
      <c r="K143" s="7">
        <f t="shared" si="16"/>
        <v>0.8</v>
      </c>
      <c r="N143" s="7">
        <f t="shared" si="17"/>
        <v>0.1875</v>
      </c>
      <c r="Q143" s="7">
        <f t="shared" si="18"/>
        <v>0.8125</v>
      </c>
      <c r="T143" s="7">
        <f t="shared" si="19"/>
        <v>0.2</v>
      </c>
      <c r="W143" s="7">
        <f t="shared" si="20"/>
        <v>0.765625</v>
      </c>
      <c r="Z143" s="7">
        <f>132/1004</f>
        <v>0.13147410358565736</v>
      </c>
    </row>
    <row r="144" spans="1:28" x14ac:dyDescent="0.2">
      <c r="A144">
        <v>3</v>
      </c>
      <c r="B144" t="s">
        <v>15</v>
      </c>
      <c r="C144" t="s">
        <v>19</v>
      </c>
      <c r="D144" t="s">
        <v>25</v>
      </c>
      <c r="E144" s="7">
        <v>16</v>
      </c>
      <c r="F144" s="13">
        <v>14</v>
      </c>
      <c r="G144" s="14">
        <f t="shared" si="14"/>
        <v>2</v>
      </c>
      <c r="H144" s="15">
        <v>15</v>
      </c>
      <c r="I144" s="13">
        <v>11</v>
      </c>
      <c r="J144" s="9">
        <f t="shared" si="15"/>
        <v>4</v>
      </c>
      <c r="K144" s="7">
        <f t="shared" si="16"/>
        <v>0.875</v>
      </c>
      <c r="N144" s="7">
        <f t="shared" si="17"/>
        <v>0.26666666666666666</v>
      </c>
      <c r="Q144" s="7">
        <f t="shared" si="18"/>
        <v>0.73333333333333328</v>
      </c>
      <c r="T144" s="7">
        <f t="shared" si="19"/>
        <v>0.125</v>
      </c>
      <c r="W144" s="7">
        <f t="shared" si="20"/>
        <v>0.69523809523809521</v>
      </c>
      <c r="Z144" s="7">
        <f>63/1019</f>
        <v>6.1825318940137389E-2</v>
      </c>
    </row>
    <row r="145" spans="1:28" x14ac:dyDescent="0.2">
      <c r="A145">
        <v>4</v>
      </c>
      <c r="B145" t="s">
        <v>15</v>
      </c>
      <c r="C145" t="s">
        <v>19</v>
      </c>
      <c r="D145" t="s">
        <v>25</v>
      </c>
      <c r="E145" s="7">
        <v>16</v>
      </c>
      <c r="F145" s="13">
        <v>14</v>
      </c>
      <c r="G145" s="14">
        <f t="shared" si="14"/>
        <v>2</v>
      </c>
      <c r="H145" s="15">
        <v>16</v>
      </c>
      <c r="I145" s="13">
        <v>13</v>
      </c>
      <c r="J145" s="9">
        <f t="shared" si="15"/>
        <v>3</v>
      </c>
      <c r="K145" s="7">
        <f t="shared" si="16"/>
        <v>0.875</v>
      </c>
      <c r="N145" s="7">
        <f t="shared" si="17"/>
        <v>0.1875</v>
      </c>
      <c r="Q145" s="7">
        <f t="shared" si="18"/>
        <v>0.8125</v>
      </c>
      <c r="T145" s="7">
        <f t="shared" si="19"/>
        <v>0.125</v>
      </c>
      <c r="W145" s="7">
        <f t="shared" si="20"/>
        <v>0.7857142857142857</v>
      </c>
      <c r="Z145" s="7">
        <f>90/1024</f>
        <v>8.7890625E-2</v>
      </c>
    </row>
    <row r="146" spans="1:28" x14ac:dyDescent="0.2">
      <c r="A146">
        <v>5</v>
      </c>
      <c r="B146" t="s">
        <v>15</v>
      </c>
      <c r="C146" t="s">
        <v>19</v>
      </c>
      <c r="D146" t="s">
        <v>25</v>
      </c>
      <c r="E146" s="7">
        <v>15</v>
      </c>
      <c r="F146" s="13">
        <v>13</v>
      </c>
      <c r="G146" s="14">
        <f t="shared" si="14"/>
        <v>2</v>
      </c>
      <c r="H146" s="15">
        <v>16</v>
      </c>
      <c r="I146" s="13">
        <v>12</v>
      </c>
      <c r="J146" s="9">
        <f t="shared" si="15"/>
        <v>4</v>
      </c>
      <c r="K146" s="7">
        <f t="shared" si="16"/>
        <v>0.8666666666666667</v>
      </c>
      <c r="N146" s="7">
        <f t="shared" si="17"/>
        <v>0.25</v>
      </c>
      <c r="Q146" s="7">
        <f t="shared" si="18"/>
        <v>0.75</v>
      </c>
      <c r="T146" s="7">
        <f t="shared" si="19"/>
        <v>0.13333333333333333</v>
      </c>
      <c r="W146" s="7">
        <f t="shared" si="20"/>
        <v>0.71153846153846156</v>
      </c>
      <c r="Z146" s="7">
        <f>73/1021</f>
        <v>7.1498530852105779E-2</v>
      </c>
    </row>
    <row r="147" spans="1:28" x14ac:dyDescent="0.2">
      <c r="A147">
        <v>6</v>
      </c>
      <c r="B147" t="s">
        <v>15</v>
      </c>
      <c r="C147" t="s">
        <v>19</v>
      </c>
      <c r="D147" t="s">
        <v>25</v>
      </c>
      <c r="E147" s="7">
        <v>16</v>
      </c>
      <c r="F147" s="13">
        <v>14</v>
      </c>
      <c r="G147" s="14">
        <f t="shared" si="14"/>
        <v>2</v>
      </c>
      <c r="H147" s="15">
        <v>15</v>
      </c>
      <c r="I147" s="13">
        <v>11</v>
      </c>
      <c r="J147" s="9">
        <f t="shared" si="15"/>
        <v>4</v>
      </c>
      <c r="K147" s="7">
        <f t="shared" si="16"/>
        <v>0.875</v>
      </c>
      <c r="N147" s="7">
        <f t="shared" si="17"/>
        <v>0.26666666666666666</v>
      </c>
      <c r="Q147" s="7">
        <f t="shared" si="18"/>
        <v>0.73333333333333328</v>
      </c>
      <c r="T147" s="7">
        <f t="shared" si="19"/>
        <v>0.125</v>
      </c>
      <c r="W147" s="7">
        <f t="shared" si="20"/>
        <v>0.69523809523809521</v>
      </c>
      <c r="Z147" s="7">
        <f>58/1036</f>
        <v>5.5984555984555984E-2</v>
      </c>
    </row>
    <row r="148" spans="1:28" x14ac:dyDescent="0.2">
      <c r="A148">
        <v>7</v>
      </c>
      <c r="B148" t="s">
        <v>15</v>
      </c>
      <c r="C148" t="s">
        <v>19</v>
      </c>
      <c r="D148" t="s">
        <v>25</v>
      </c>
      <c r="E148" s="7">
        <v>16</v>
      </c>
      <c r="F148" s="13">
        <v>13</v>
      </c>
      <c r="G148" s="14">
        <f t="shared" si="14"/>
        <v>3</v>
      </c>
      <c r="H148" s="15">
        <v>16</v>
      </c>
      <c r="I148" s="13">
        <v>12</v>
      </c>
      <c r="J148" s="9">
        <f t="shared" si="15"/>
        <v>4</v>
      </c>
      <c r="K148" s="7">
        <f t="shared" si="16"/>
        <v>0.8125</v>
      </c>
      <c r="N148" s="7">
        <f t="shared" si="17"/>
        <v>0.25</v>
      </c>
      <c r="Q148" s="7">
        <f t="shared" si="18"/>
        <v>0.75</v>
      </c>
      <c r="T148" s="7">
        <f t="shared" si="19"/>
        <v>0.1875</v>
      </c>
      <c r="W148" s="7">
        <f t="shared" si="20"/>
        <v>0.69230769230769229</v>
      </c>
      <c r="Z148" s="7">
        <f>75/1029</f>
        <v>7.2886297376093298E-2</v>
      </c>
    </row>
    <row r="149" spans="1:28" x14ac:dyDescent="0.2">
      <c r="A149">
        <v>8</v>
      </c>
      <c r="B149" t="s">
        <v>18</v>
      </c>
      <c r="C149" t="s">
        <v>19</v>
      </c>
      <c r="D149" t="s">
        <v>25</v>
      </c>
      <c r="E149" s="7">
        <v>17</v>
      </c>
      <c r="F149" s="13">
        <v>15</v>
      </c>
      <c r="G149" s="14">
        <f t="shared" si="14"/>
        <v>2</v>
      </c>
      <c r="H149" s="15">
        <v>16</v>
      </c>
      <c r="I149" s="13">
        <v>14</v>
      </c>
      <c r="J149" s="9">
        <f t="shared" si="15"/>
        <v>2</v>
      </c>
      <c r="K149" s="7">
        <f t="shared" si="16"/>
        <v>0.88235294117647056</v>
      </c>
      <c r="L149" s="8">
        <f>AVERAGE(K149:K155)</f>
        <v>0.88778511404561833</v>
      </c>
      <c r="M149" s="9">
        <f>_xlfn.STDEV.P(K149:K155)/SQRT(7)</f>
        <v>1.7532513609665457E-2</v>
      </c>
      <c r="N149" s="7">
        <f t="shared" si="17"/>
        <v>0.125</v>
      </c>
      <c r="O149" s="8">
        <f>AVERAGE(N149:N155)</f>
        <v>0.13406862745098039</v>
      </c>
      <c r="P149" s="9">
        <f>_xlfn.STDEV.P(N149:N155)/SQRT(7)</f>
        <v>8.3959175714667586E-3</v>
      </c>
      <c r="Q149" s="7">
        <f t="shared" si="18"/>
        <v>0.875</v>
      </c>
      <c r="R149" s="8">
        <f>AVERAGE(Q149:Q155)</f>
        <v>0.86593137254901964</v>
      </c>
      <c r="S149" s="9">
        <f>_xlfn.STDEV.P(Q149:Q155)/SQRT(7)</f>
        <v>8.3959175714667655E-3</v>
      </c>
      <c r="T149" s="7">
        <f t="shared" si="19"/>
        <v>0.11764705882352941</v>
      </c>
      <c r="U149" s="8">
        <f>AVERAGE(T149:T155)</f>
        <v>0.11221488595438175</v>
      </c>
      <c r="V149" s="9">
        <f>_xlfn.STDEV.P(T149:T155)/SQRT(7)</f>
        <v>1.7532513609665467E-2</v>
      </c>
      <c r="W149" s="7">
        <f t="shared" si="20"/>
        <v>0.85833333333333328</v>
      </c>
      <c r="X149" s="8">
        <f>AVERAGE(W149:W155)</f>
        <v>0.84846913124224044</v>
      </c>
      <c r="Y149" s="9">
        <f>_xlfn.STDEV.P(W149:W155)/SQRT(7)</f>
        <v>1.0213320701104285E-2</v>
      </c>
      <c r="Z149" s="7">
        <f>48/1032</f>
        <v>4.6511627906976744E-2</v>
      </c>
      <c r="AA149" s="8">
        <f>AVERAGE(Z149:Z155)</f>
        <v>6.7351464829423238E-2</v>
      </c>
      <c r="AB149" s="9">
        <f>_xlfn.STDEV.P(Z149:Z155)/SQRT(7)</f>
        <v>8.5666512225643782E-3</v>
      </c>
    </row>
    <row r="150" spans="1:28" x14ac:dyDescent="0.2">
      <c r="A150">
        <v>9</v>
      </c>
      <c r="B150" t="s">
        <v>18</v>
      </c>
      <c r="C150" t="s">
        <v>19</v>
      </c>
      <c r="D150" t="s">
        <v>25</v>
      </c>
      <c r="E150" s="7">
        <v>15</v>
      </c>
      <c r="F150" s="13">
        <v>13</v>
      </c>
      <c r="G150" s="14">
        <f t="shared" si="14"/>
        <v>2</v>
      </c>
      <c r="H150" s="15">
        <v>17</v>
      </c>
      <c r="I150" s="13">
        <v>15</v>
      </c>
      <c r="J150" s="9">
        <f t="shared" si="15"/>
        <v>2</v>
      </c>
      <c r="K150" s="7">
        <f t="shared" si="16"/>
        <v>0.8666666666666667</v>
      </c>
      <c r="N150" s="7">
        <f t="shared" si="17"/>
        <v>0.11764705882352941</v>
      </c>
      <c r="Q150" s="7">
        <f t="shared" si="18"/>
        <v>0.88235294117647056</v>
      </c>
      <c r="T150" s="7">
        <f t="shared" si="19"/>
        <v>0.13333333333333333</v>
      </c>
      <c r="W150" s="7">
        <f t="shared" si="20"/>
        <v>0.8642533936651583</v>
      </c>
      <c r="Z150" s="7">
        <f>86/1034</f>
        <v>8.3172147001934232E-2</v>
      </c>
    </row>
    <row r="151" spans="1:28" x14ac:dyDescent="0.2">
      <c r="A151">
        <v>10</v>
      </c>
      <c r="B151" t="s">
        <v>18</v>
      </c>
      <c r="C151" t="s">
        <v>19</v>
      </c>
      <c r="D151" t="s">
        <v>25</v>
      </c>
      <c r="E151" s="7">
        <v>14</v>
      </c>
      <c r="F151" s="13">
        <v>12</v>
      </c>
      <c r="G151" s="14">
        <f t="shared" si="14"/>
        <v>2</v>
      </c>
      <c r="H151" s="15">
        <v>15</v>
      </c>
      <c r="I151" s="13">
        <v>13</v>
      </c>
      <c r="J151" s="9">
        <f t="shared" si="15"/>
        <v>2</v>
      </c>
      <c r="K151" s="7">
        <f t="shared" si="16"/>
        <v>0.8571428571428571</v>
      </c>
      <c r="N151" s="7">
        <f t="shared" si="17"/>
        <v>0.13333333333333333</v>
      </c>
      <c r="Q151" s="7">
        <f t="shared" si="18"/>
        <v>0.8666666666666667</v>
      </c>
      <c r="T151" s="7">
        <f t="shared" si="19"/>
        <v>0.14285714285714285</v>
      </c>
      <c r="W151" s="7">
        <f t="shared" si="20"/>
        <v>0.84444444444444444</v>
      </c>
      <c r="Z151" s="7">
        <f>84/1028</f>
        <v>8.171206225680934E-2</v>
      </c>
    </row>
    <row r="152" spans="1:28" x14ac:dyDescent="0.2">
      <c r="A152">
        <v>11</v>
      </c>
      <c r="B152" t="s">
        <v>18</v>
      </c>
      <c r="C152" t="s">
        <v>19</v>
      </c>
      <c r="D152" t="s">
        <v>25</v>
      </c>
      <c r="E152" s="7">
        <v>15</v>
      </c>
      <c r="F152" s="13">
        <v>13</v>
      </c>
      <c r="G152" s="14">
        <f t="shared" si="14"/>
        <v>2</v>
      </c>
      <c r="H152" s="15">
        <v>16</v>
      </c>
      <c r="I152" s="13">
        <v>14</v>
      </c>
      <c r="J152" s="9">
        <f t="shared" si="15"/>
        <v>2</v>
      </c>
      <c r="K152" s="7">
        <f t="shared" si="16"/>
        <v>0.8666666666666667</v>
      </c>
      <c r="N152" s="7">
        <f t="shared" si="17"/>
        <v>0.125</v>
      </c>
      <c r="Q152" s="7">
        <f t="shared" si="18"/>
        <v>0.875</v>
      </c>
      <c r="T152" s="7">
        <f t="shared" si="19"/>
        <v>0.13333333333333333</v>
      </c>
      <c r="W152" s="7">
        <f t="shared" si="20"/>
        <v>0.85576923076923073</v>
      </c>
      <c r="Z152" s="7">
        <f>105/1006</f>
        <v>0.10437375745526839</v>
      </c>
    </row>
    <row r="153" spans="1:28" x14ac:dyDescent="0.2">
      <c r="A153">
        <v>12</v>
      </c>
      <c r="B153" t="s">
        <v>18</v>
      </c>
      <c r="C153" t="s">
        <v>19</v>
      </c>
      <c r="D153" t="s">
        <v>25</v>
      </c>
      <c r="E153" s="7">
        <v>14</v>
      </c>
      <c r="F153" s="13">
        <v>14</v>
      </c>
      <c r="G153" s="14">
        <f t="shared" si="14"/>
        <v>0</v>
      </c>
      <c r="H153" s="15">
        <v>16</v>
      </c>
      <c r="I153" s="13">
        <v>14</v>
      </c>
      <c r="J153" s="9">
        <f t="shared" si="15"/>
        <v>2</v>
      </c>
      <c r="K153" s="7">
        <f t="shared" si="16"/>
        <v>1</v>
      </c>
      <c r="N153" s="7">
        <f t="shared" si="17"/>
        <v>0.125</v>
      </c>
      <c r="Q153" s="7">
        <f t="shared" si="18"/>
        <v>0.875</v>
      </c>
      <c r="T153" s="7">
        <f t="shared" si="19"/>
        <v>0</v>
      </c>
      <c r="W153" s="7">
        <f t="shared" si="20"/>
        <v>0.875</v>
      </c>
      <c r="Z153" s="7">
        <f>40/1027</f>
        <v>3.8948393378773129E-2</v>
      </c>
    </row>
    <row r="154" spans="1:28" x14ac:dyDescent="0.2">
      <c r="A154">
        <v>13</v>
      </c>
      <c r="B154" t="s">
        <v>18</v>
      </c>
      <c r="C154" t="s">
        <v>19</v>
      </c>
      <c r="D154" t="s">
        <v>25</v>
      </c>
      <c r="E154" s="7">
        <v>15</v>
      </c>
      <c r="F154" s="13">
        <v>13</v>
      </c>
      <c r="G154" s="14">
        <f t="shared" si="14"/>
        <v>2</v>
      </c>
      <c r="H154" s="15">
        <v>16</v>
      </c>
      <c r="I154" s="13">
        <v>14</v>
      </c>
      <c r="J154" s="9">
        <f t="shared" si="15"/>
        <v>2</v>
      </c>
      <c r="K154" s="7">
        <f t="shared" si="16"/>
        <v>0.8666666666666667</v>
      </c>
      <c r="N154" s="7">
        <f t="shared" si="17"/>
        <v>0.125</v>
      </c>
      <c r="Q154" s="7">
        <f t="shared" si="18"/>
        <v>0.875</v>
      </c>
      <c r="T154" s="7">
        <f t="shared" si="19"/>
        <v>0.13333333333333333</v>
      </c>
      <c r="W154" s="7">
        <f t="shared" si="20"/>
        <v>0.85576923076923073</v>
      </c>
      <c r="Z154" s="7">
        <f>46/1026</f>
        <v>4.4834307992202727E-2</v>
      </c>
    </row>
    <row r="155" spans="1:28" x14ac:dyDescent="0.2">
      <c r="A155">
        <v>14</v>
      </c>
      <c r="B155" t="s">
        <v>18</v>
      </c>
      <c r="C155" t="s">
        <v>19</v>
      </c>
      <c r="D155" t="s">
        <v>25</v>
      </c>
      <c r="E155" s="7">
        <v>16</v>
      </c>
      <c r="F155" s="13">
        <v>14</v>
      </c>
      <c r="G155" s="14">
        <f t="shared" si="14"/>
        <v>2</v>
      </c>
      <c r="H155" s="15">
        <v>16</v>
      </c>
      <c r="I155" s="13">
        <v>13</v>
      </c>
      <c r="J155" s="9">
        <f t="shared" si="15"/>
        <v>3</v>
      </c>
      <c r="K155" s="7">
        <f t="shared" si="16"/>
        <v>0.875</v>
      </c>
      <c r="N155" s="7">
        <f t="shared" si="17"/>
        <v>0.1875</v>
      </c>
      <c r="Q155" s="7">
        <f t="shared" si="18"/>
        <v>0.8125</v>
      </c>
      <c r="T155" s="7">
        <f t="shared" si="19"/>
        <v>0.125</v>
      </c>
      <c r="W155" s="7">
        <f t="shared" si="20"/>
        <v>0.7857142857142857</v>
      </c>
      <c r="Z155" s="7">
        <f>75/1043</f>
        <v>7.1907957813998086E-2</v>
      </c>
    </row>
    <row r="156" spans="1:28" x14ac:dyDescent="0.2">
      <c r="A156">
        <v>1</v>
      </c>
      <c r="B156" t="s">
        <v>15</v>
      </c>
      <c r="C156" t="s">
        <v>20</v>
      </c>
      <c r="D156" t="s">
        <v>24</v>
      </c>
      <c r="E156" s="7">
        <v>15</v>
      </c>
      <c r="F156" s="13">
        <v>13</v>
      </c>
      <c r="G156" s="14">
        <f t="shared" ref="G156:G219" si="21">E156-F156</f>
        <v>2</v>
      </c>
      <c r="H156" s="15">
        <v>16</v>
      </c>
      <c r="I156" s="13">
        <v>8</v>
      </c>
      <c r="J156" s="9">
        <f t="shared" ref="J156:J219" si="22">H156-I156</f>
        <v>8</v>
      </c>
      <c r="K156" s="7">
        <f t="shared" si="16"/>
        <v>0.8666666666666667</v>
      </c>
      <c r="L156" s="8">
        <f>AVERAGE(K156:K162)</f>
        <v>0.89100140056022403</v>
      </c>
      <c r="M156" s="9">
        <f>_xlfn.STDEV.P(K156:K162)/SQRT(7)</f>
        <v>1.1634002249900037E-2</v>
      </c>
      <c r="N156" s="7">
        <f t="shared" si="17"/>
        <v>0.5</v>
      </c>
      <c r="O156" s="8">
        <f>AVERAGE(N156:N162)</f>
        <v>0.46477591036414567</v>
      </c>
      <c r="P156" s="9">
        <f>_xlfn.STDEV.P(N156:N162)/SQRT(7)</f>
        <v>1.2796621687802308E-2</v>
      </c>
      <c r="Q156" s="7">
        <f t="shared" si="18"/>
        <v>0.5</v>
      </c>
      <c r="R156" s="8">
        <f>AVERAGE(Q156:Q162)</f>
        <v>0.53522408963585433</v>
      </c>
      <c r="S156" s="9">
        <f>_xlfn.STDEV.P(Q156:Q162)/SQRT(7)</f>
        <v>1.2796621687802308E-2</v>
      </c>
      <c r="T156" s="7">
        <f t="shared" si="19"/>
        <v>0.13333333333333333</v>
      </c>
      <c r="U156" s="8">
        <f>AVERAGE(T156:T162)</f>
        <v>0.1089985994397759</v>
      </c>
      <c r="V156" s="9">
        <f>_xlfn.STDEV.P(T156:T162)/SQRT(7)</f>
        <v>1.1634002249900044E-2</v>
      </c>
      <c r="W156" s="7">
        <f t="shared" si="20"/>
        <v>0.42307692307692307</v>
      </c>
      <c r="X156" s="8">
        <f>AVERAGE(W156:W162)</f>
        <v>0.47676178644534734</v>
      </c>
      <c r="Y156" s="9">
        <f>_xlfn.STDEV.P(W156:W162)/SQRT(7)</f>
        <v>1.9793868448012984E-2</v>
      </c>
      <c r="Z156" s="7">
        <f>108/1038</f>
        <v>0.10404624277456648</v>
      </c>
      <c r="AA156" s="8">
        <f>AVERAGE(Z156:Z162)</f>
        <v>8.1914941177810591E-2</v>
      </c>
      <c r="AB156" s="9">
        <f>_xlfn.STDEV.P(Z156:Z162)/SQRT(7)</f>
        <v>1.1402341424854214E-2</v>
      </c>
    </row>
    <row r="157" spans="1:28" x14ac:dyDescent="0.2">
      <c r="A157">
        <v>2</v>
      </c>
      <c r="B157" t="s">
        <v>15</v>
      </c>
      <c r="C157" t="s">
        <v>20</v>
      </c>
      <c r="D157" t="s">
        <v>24</v>
      </c>
      <c r="E157" s="7">
        <v>16</v>
      </c>
      <c r="F157" s="13">
        <v>15</v>
      </c>
      <c r="G157" s="14">
        <f t="shared" si="21"/>
        <v>1</v>
      </c>
      <c r="H157" s="15">
        <v>17</v>
      </c>
      <c r="I157" s="13">
        <v>10</v>
      </c>
      <c r="J157" s="9">
        <f t="shared" si="22"/>
        <v>7</v>
      </c>
      <c r="K157" s="7">
        <f t="shared" si="16"/>
        <v>0.9375</v>
      </c>
      <c r="N157" s="7">
        <f t="shared" si="17"/>
        <v>0.41176470588235292</v>
      </c>
      <c r="Q157" s="7">
        <f t="shared" si="18"/>
        <v>0.58823529411764708</v>
      </c>
      <c r="T157" s="7">
        <f t="shared" si="19"/>
        <v>6.25E-2</v>
      </c>
      <c r="W157" s="7">
        <f t="shared" si="20"/>
        <v>0.5607843137254902</v>
      </c>
      <c r="Z157" s="7">
        <f>24/1037</f>
        <v>2.3143683702989394E-2</v>
      </c>
    </row>
    <row r="158" spans="1:28" x14ac:dyDescent="0.2">
      <c r="A158">
        <v>3</v>
      </c>
      <c r="B158" t="s">
        <v>15</v>
      </c>
      <c r="C158" t="s">
        <v>20</v>
      </c>
      <c r="D158" t="s">
        <v>24</v>
      </c>
      <c r="E158" s="7">
        <v>16</v>
      </c>
      <c r="F158" s="13">
        <v>14</v>
      </c>
      <c r="G158" s="14">
        <f t="shared" si="21"/>
        <v>2</v>
      </c>
      <c r="H158" s="15">
        <v>15</v>
      </c>
      <c r="I158" s="13">
        <v>8</v>
      </c>
      <c r="J158" s="9">
        <f t="shared" si="22"/>
        <v>7</v>
      </c>
      <c r="K158" s="7">
        <f t="shared" si="16"/>
        <v>0.875</v>
      </c>
      <c r="N158" s="7">
        <f t="shared" si="17"/>
        <v>0.46666666666666667</v>
      </c>
      <c r="Q158" s="7">
        <f t="shared" si="18"/>
        <v>0.53333333333333333</v>
      </c>
      <c r="T158" s="7">
        <f t="shared" si="19"/>
        <v>0.125</v>
      </c>
      <c r="W158" s="7">
        <f t="shared" si="20"/>
        <v>0.46666666666666667</v>
      </c>
      <c r="Z158" s="7">
        <f>80/1025</f>
        <v>7.8048780487804878E-2</v>
      </c>
    </row>
    <row r="159" spans="1:28" x14ac:dyDescent="0.2">
      <c r="A159">
        <v>4</v>
      </c>
      <c r="B159" t="s">
        <v>15</v>
      </c>
      <c r="C159" t="s">
        <v>20</v>
      </c>
      <c r="D159" t="s">
        <v>24</v>
      </c>
      <c r="E159" s="7">
        <v>17</v>
      </c>
      <c r="F159" s="13">
        <v>16</v>
      </c>
      <c r="G159" s="14">
        <f t="shared" si="21"/>
        <v>1</v>
      </c>
      <c r="H159" s="15">
        <v>16</v>
      </c>
      <c r="I159" s="13">
        <v>9</v>
      </c>
      <c r="J159" s="9">
        <f t="shared" si="22"/>
        <v>7</v>
      </c>
      <c r="K159" s="7">
        <f t="shared" si="16"/>
        <v>0.94117647058823528</v>
      </c>
      <c r="N159" s="7">
        <f t="shared" si="17"/>
        <v>0.4375</v>
      </c>
      <c r="Q159" s="7">
        <f t="shared" si="18"/>
        <v>0.5625</v>
      </c>
      <c r="T159" s="7">
        <f t="shared" si="19"/>
        <v>5.8823529411764705E-2</v>
      </c>
      <c r="W159" s="7">
        <f t="shared" si="20"/>
        <v>0.53515625</v>
      </c>
      <c r="Z159" s="7">
        <f>125/1018</f>
        <v>0.12278978388998035</v>
      </c>
    </row>
    <row r="160" spans="1:28" x14ac:dyDescent="0.2">
      <c r="A160">
        <v>5</v>
      </c>
      <c r="B160" t="s">
        <v>15</v>
      </c>
      <c r="C160" t="s">
        <v>20</v>
      </c>
      <c r="D160" t="s">
        <v>24</v>
      </c>
      <c r="E160" s="7">
        <v>15</v>
      </c>
      <c r="F160" s="13">
        <v>13</v>
      </c>
      <c r="G160" s="14">
        <f t="shared" si="21"/>
        <v>2</v>
      </c>
      <c r="H160" s="15">
        <v>16</v>
      </c>
      <c r="I160" s="13">
        <v>8</v>
      </c>
      <c r="J160" s="9">
        <f t="shared" si="22"/>
        <v>8</v>
      </c>
      <c r="K160" s="7">
        <f t="shared" si="16"/>
        <v>0.8666666666666667</v>
      </c>
      <c r="N160" s="7">
        <f t="shared" si="17"/>
        <v>0.5</v>
      </c>
      <c r="Q160" s="7">
        <f t="shared" si="18"/>
        <v>0.5</v>
      </c>
      <c r="T160" s="7">
        <f t="shared" si="19"/>
        <v>0.13333333333333333</v>
      </c>
      <c r="W160" s="7">
        <f t="shared" si="20"/>
        <v>0.42307692307692307</v>
      </c>
      <c r="Z160" s="7">
        <f>95/1018</f>
        <v>9.3320235756385067E-2</v>
      </c>
    </row>
    <row r="161" spans="1:28" x14ac:dyDescent="0.2">
      <c r="A161">
        <v>6</v>
      </c>
      <c r="B161" t="s">
        <v>15</v>
      </c>
      <c r="C161" t="s">
        <v>20</v>
      </c>
      <c r="D161" t="s">
        <v>24</v>
      </c>
      <c r="E161" s="7">
        <v>16</v>
      </c>
      <c r="F161" s="13">
        <v>14</v>
      </c>
      <c r="G161" s="14">
        <f t="shared" si="21"/>
        <v>2</v>
      </c>
      <c r="H161" s="15">
        <v>16</v>
      </c>
      <c r="I161" s="13">
        <v>9</v>
      </c>
      <c r="J161" s="9">
        <f t="shared" si="22"/>
        <v>7</v>
      </c>
      <c r="K161" s="7">
        <f t="shared" si="16"/>
        <v>0.875</v>
      </c>
      <c r="N161" s="7">
        <f t="shared" si="17"/>
        <v>0.4375</v>
      </c>
      <c r="Q161" s="7">
        <f t="shared" si="18"/>
        <v>0.5625</v>
      </c>
      <c r="T161" s="7">
        <f t="shared" si="19"/>
        <v>0.125</v>
      </c>
      <c r="W161" s="7">
        <f t="shared" si="20"/>
        <v>0.5</v>
      </c>
      <c r="Z161" s="7">
        <f>96/1038</f>
        <v>9.2485549132947972E-2</v>
      </c>
    </row>
    <row r="162" spans="1:28" x14ac:dyDescent="0.2">
      <c r="A162">
        <v>7</v>
      </c>
      <c r="B162" t="s">
        <v>15</v>
      </c>
      <c r="C162" t="s">
        <v>20</v>
      </c>
      <c r="D162" t="s">
        <v>24</v>
      </c>
      <c r="E162" s="7">
        <v>16</v>
      </c>
      <c r="F162" s="13">
        <v>14</v>
      </c>
      <c r="G162" s="14">
        <f t="shared" si="21"/>
        <v>2</v>
      </c>
      <c r="H162" s="15">
        <v>16</v>
      </c>
      <c r="I162" s="13">
        <v>8</v>
      </c>
      <c r="J162" s="9">
        <f t="shared" si="22"/>
        <v>8</v>
      </c>
      <c r="K162" s="7">
        <f t="shared" si="16"/>
        <v>0.875</v>
      </c>
      <c r="N162" s="7">
        <f t="shared" si="17"/>
        <v>0.5</v>
      </c>
      <c r="Q162" s="7">
        <f t="shared" si="18"/>
        <v>0.5</v>
      </c>
      <c r="T162" s="7">
        <f t="shared" si="19"/>
        <v>0.125</v>
      </c>
      <c r="W162" s="7">
        <f t="shared" si="20"/>
        <v>0.42857142857142855</v>
      </c>
      <c r="Z162" s="7">
        <f>61/1024</f>
        <v>5.95703125E-2</v>
      </c>
    </row>
    <row r="163" spans="1:28" x14ac:dyDescent="0.2">
      <c r="A163">
        <v>8</v>
      </c>
      <c r="B163" t="s">
        <v>18</v>
      </c>
      <c r="C163" t="s">
        <v>20</v>
      </c>
      <c r="D163" t="s">
        <v>24</v>
      </c>
      <c r="E163" s="7">
        <v>15</v>
      </c>
      <c r="F163" s="13">
        <v>13</v>
      </c>
      <c r="G163" s="14">
        <f t="shared" si="21"/>
        <v>2</v>
      </c>
      <c r="H163" s="15">
        <v>16</v>
      </c>
      <c r="I163" s="13">
        <v>13</v>
      </c>
      <c r="J163" s="9">
        <f t="shared" si="22"/>
        <v>3</v>
      </c>
      <c r="K163" s="7">
        <f t="shared" si="16"/>
        <v>0.8666666666666667</v>
      </c>
      <c r="L163" s="8">
        <f>AVERAGE(K163:K169)</f>
        <v>0.87164365746298511</v>
      </c>
      <c r="M163" s="9">
        <f>_xlfn.STDEV.P(K163:K169)/SQRT(7)</f>
        <v>1.1896134380387875E-2</v>
      </c>
      <c r="N163" s="7">
        <f t="shared" si="17"/>
        <v>0.1875</v>
      </c>
      <c r="O163" s="8">
        <f>AVERAGE(N163:N169)</f>
        <v>0.23480392156862745</v>
      </c>
      <c r="P163" s="9">
        <f>_xlfn.STDEV.P(N163:N169)/SQRT(7)</f>
        <v>1.1924826558005558E-2</v>
      </c>
      <c r="Q163" s="7">
        <f t="shared" si="18"/>
        <v>0.8125</v>
      </c>
      <c r="R163" s="8">
        <f>AVERAGE(Q163:Q169)</f>
        <v>0.76519607843137261</v>
      </c>
      <c r="S163" s="9">
        <f>_xlfn.STDEV.P(Q163:Q169)/SQRT(7)</f>
        <v>1.1924826558005478E-2</v>
      </c>
      <c r="T163" s="7">
        <f t="shared" si="19"/>
        <v>0.13333333333333333</v>
      </c>
      <c r="U163" s="8">
        <f>AVERAGE(T163:T169)</f>
        <v>0.12835634253701481</v>
      </c>
      <c r="V163" s="9">
        <f>_xlfn.STDEV.P(T163:T169)/SQRT(7)</f>
        <v>1.1896134380387885E-2</v>
      </c>
      <c r="W163" s="7">
        <f t="shared" si="20"/>
        <v>0.78365384615384615</v>
      </c>
      <c r="X163" s="8">
        <f>AVERAGE(W163:W169)</f>
        <v>0.7311547567745047</v>
      </c>
      <c r="Y163" s="9">
        <f>_xlfn.STDEV.P(W163:W169)/SQRT(7)</f>
        <v>1.1680824848776311E-2</v>
      </c>
      <c r="Z163" s="7">
        <f>74/1027</f>
        <v>7.2054527750730277E-2</v>
      </c>
      <c r="AA163" s="8">
        <f>AVERAGE(Z163:Z169)</f>
        <v>6.6353037193174522E-2</v>
      </c>
      <c r="AB163" s="9">
        <f>_xlfn.STDEV.P(Z163:Z169)/SQRT(7)</f>
        <v>9.8931409916208878E-3</v>
      </c>
    </row>
    <row r="164" spans="1:28" x14ac:dyDescent="0.2">
      <c r="A164">
        <v>9</v>
      </c>
      <c r="B164" t="s">
        <v>18</v>
      </c>
      <c r="C164" t="s">
        <v>20</v>
      </c>
      <c r="D164" t="s">
        <v>24</v>
      </c>
      <c r="E164" s="7">
        <v>16</v>
      </c>
      <c r="F164" s="13">
        <v>14</v>
      </c>
      <c r="G164" s="14">
        <f t="shared" si="21"/>
        <v>2</v>
      </c>
      <c r="H164" s="15">
        <v>16</v>
      </c>
      <c r="I164" s="13">
        <v>12</v>
      </c>
      <c r="J164" s="9">
        <f t="shared" si="22"/>
        <v>4</v>
      </c>
      <c r="K164" s="7">
        <f t="shared" si="16"/>
        <v>0.875</v>
      </c>
      <c r="N164" s="7">
        <f t="shared" si="17"/>
        <v>0.25</v>
      </c>
      <c r="Q164" s="7">
        <f t="shared" si="18"/>
        <v>0.75</v>
      </c>
      <c r="T164" s="7">
        <f t="shared" si="19"/>
        <v>0.125</v>
      </c>
      <c r="W164" s="7">
        <f t="shared" si="20"/>
        <v>0.7142857142857143</v>
      </c>
      <c r="Z164" s="7">
        <f>49/1025</f>
        <v>4.7804878048780489E-2</v>
      </c>
    </row>
    <row r="165" spans="1:28" x14ac:dyDescent="0.2">
      <c r="A165">
        <v>10</v>
      </c>
      <c r="B165" t="s">
        <v>18</v>
      </c>
      <c r="C165" t="s">
        <v>20</v>
      </c>
      <c r="D165" t="s">
        <v>24</v>
      </c>
      <c r="E165" s="7">
        <v>16</v>
      </c>
      <c r="F165" s="13">
        <v>15</v>
      </c>
      <c r="G165" s="14">
        <f t="shared" si="21"/>
        <v>1</v>
      </c>
      <c r="H165" s="15">
        <v>15</v>
      </c>
      <c r="I165" s="13">
        <v>11</v>
      </c>
      <c r="J165" s="9">
        <f t="shared" si="22"/>
        <v>4</v>
      </c>
      <c r="K165" s="7">
        <f t="shared" si="16"/>
        <v>0.9375</v>
      </c>
      <c r="N165" s="7">
        <f t="shared" si="17"/>
        <v>0.26666666666666666</v>
      </c>
      <c r="Q165" s="7">
        <f t="shared" si="18"/>
        <v>0.73333333333333328</v>
      </c>
      <c r="T165" s="7">
        <f t="shared" si="19"/>
        <v>6.25E-2</v>
      </c>
      <c r="W165" s="7">
        <f t="shared" si="20"/>
        <v>0.7155555555555555</v>
      </c>
      <c r="Z165" s="7">
        <f>59/1032</f>
        <v>5.7170542635658912E-2</v>
      </c>
    </row>
    <row r="166" spans="1:28" x14ac:dyDescent="0.2">
      <c r="A166">
        <v>11</v>
      </c>
      <c r="B166" t="s">
        <v>18</v>
      </c>
      <c r="C166" t="s">
        <v>20</v>
      </c>
      <c r="D166" t="s">
        <v>24</v>
      </c>
      <c r="E166" s="7">
        <v>17</v>
      </c>
      <c r="F166" s="13">
        <v>14</v>
      </c>
      <c r="G166" s="14">
        <f t="shared" si="21"/>
        <v>3</v>
      </c>
      <c r="H166" s="15">
        <v>16</v>
      </c>
      <c r="I166" s="13">
        <v>13</v>
      </c>
      <c r="J166" s="9">
        <f t="shared" si="22"/>
        <v>3</v>
      </c>
      <c r="K166" s="7">
        <f t="shared" si="16"/>
        <v>0.82352941176470584</v>
      </c>
      <c r="N166" s="7">
        <f t="shared" si="17"/>
        <v>0.1875</v>
      </c>
      <c r="Q166" s="7">
        <f t="shared" si="18"/>
        <v>0.8125</v>
      </c>
      <c r="T166" s="7">
        <f t="shared" si="19"/>
        <v>0.17647058823529413</v>
      </c>
      <c r="W166" s="7">
        <f t="shared" si="20"/>
        <v>0.7723214285714286</v>
      </c>
      <c r="Z166" s="7">
        <f>109/1024</f>
        <v>0.1064453125</v>
      </c>
    </row>
    <row r="167" spans="1:28" x14ac:dyDescent="0.2">
      <c r="A167">
        <v>12</v>
      </c>
      <c r="B167" t="s">
        <v>18</v>
      </c>
      <c r="C167" t="s">
        <v>20</v>
      </c>
      <c r="D167" t="s">
        <v>24</v>
      </c>
      <c r="E167" s="7">
        <v>15</v>
      </c>
      <c r="F167" s="13">
        <v>13</v>
      </c>
      <c r="G167" s="14">
        <f t="shared" si="21"/>
        <v>2</v>
      </c>
      <c r="H167" s="15">
        <v>16</v>
      </c>
      <c r="I167" s="13">
        <v>12</v>
      </c>
      <c r="J167" s="9">
        <f t="shared" si="22"/>
        <v>4</v>
      </c>
      <c r="K167" s="7">
        <f t="shared" si="16"/>
        <v>0.8666666666666667</v>
      </c>
      <c r="N167" s="7">
        <f t="shared" si="17"/>
        <v>0.25</v>
      </c>
      <c r="Q167" s="7">
        <f t="shared" si="18"/>
        <v>0.75</v>
      </c>
      <c r="T167" s="7">
        <f t="shared" si="19"/>
        <v>0.13333333333333333</v>
      </c>
      <c r="W167" s="7">
        <f t="shared" si="20"/>
        <v>0.71153846153846156</v>
      </c>
      <c r="Z167" s="7">
        <f>56/1045</f>
        <v>5.3588516746411484E-2</v>
      </c>
    </row>
    <row r="168" spans="1:28" x14ac:dyDescent="0.2">
      <c r="A168">
        <v>13</v>
      </c>
      <c r="B168" t="s">
        <v>18</v>
      </c>
      <c r="C168" t="s">
        <v>20</v>
      </c>
      <c r="D168" t="s">
        <v>24</v>
      </c>
      <c r="E168" s="7">
        <v>14</v>
      </c>
      <c r="F168" s="13">
        <v>12</v>
      </c>
      <c r="G168" s="14">
        <f t="shared" si="21"/>
        <v>2</v>
      </c>
      <c r="H168" s="15">
        <v>17</v>
      </c>
      <c r="I168" s="13">
        <v>13</v>
      </c>
      <c r="J168" s="9">
        <f t="shared" si="22"/>
        <v>4</v>
      </c>
      <c r="K168" s="7">
        <f t="shared" si="16"/>
        <v>0.8571428571428571</v>
      </c>
      <c r="N168" s="7">
        <f t="shared" si="17"/>
        <v>0.23529411764705882</v>
      </c>
      <c r="Q168" s="7">
        <f t="shared" si="18"/>
        <v>0.76470588235294112</v>
      </c>
      <c r="T168" s="7">
        <f t="shared" si="19"/>
        <v>0.14285714285714285</v>
      </c>
      <c r="W168" s="7">
        <f t="shared" si="20"/>
        <v>0.72549019607843135</v>
      </c>
      <c r="Z168" s="7">
        <f>102/1026</f>
        <v>9.9415204678362568E-2</v>
      </c>
    </row>
    <row r="169" spans="1:28" x14ac:dyDescent="0.2">
      <c r="A169">
        <v>14</v>
      </c>
      <c r="B169" t="s">
        <v>18</v>
      </c>
      <c r="C169" t="s">
        <v>20</v>
      </c>
      <c r="D169" t="s">
        <v>24</v>
      </c>
      <c r="E169" s="7">
        <v>16</v>
      </c>
      <c r="F169" s="13">
        <v>14</v>
      </c>
      <c r="G169" s="14">
        <f t="shared" si="21"/>
        <v>2</v>
      </c>
      <c r="H169" s="15">
        <v>15</v>
      </c>
      <c r="I169" s="13">
        <v>11</v>
      </c>
      <c r="J169" s="9">
        <f t="shared" si="22"/>
        <v>4</v>
      </c>
      <c r="K169" s="7">
        <f t="shared" si="16"/>
        <v>0.875</v>
      </c>
      <c r="N169" s="7">
        <f t="shared" si="17"/>
        <v>0.26666666666666666</v>
      </c>
      <c r="Q169" s="7">
        <f t="shared" si="18"/>
        <v>0.73333333333333328</v>
      </c>
      <c r="T169" s="7">
        <f t="shared" si="19"/>
        <v>0.125</v>
      </c>
      <c r="W169" s="7">
        <f t="shared" si="20"/>
        <v>0.69523809523809521</v>
      </c>
      <c r="Z169" s="7">
        <f>29/1036</f>
        <v>2.7992277992277992E-2</v>
      </c>
    </row>
    <row r="170" spans="1:28" x14ac:dyDescent="0.2">
      <c r="A170">
        <v>1</v>
      </c>
      <c r="B170" t="s">
        <v>15</v>
      </c>
      <c r="C170" t="s">
        <v>20</v>
      </c>
      <c r="D170" t="s">
        <v>25</v>
      </c>
      <c r="E170" s="7">
        <v>17</v>
      </c>
      <c r="F170" s="13">
        <v>15</v>
      </c>
      <c r="G170" s="14">
        <f t="shared" si="21"/>
        <v>2</v>
      </c>
      <c r="H170" s="15">
        <v>16</v>
      </c>
      <c r="I170" s="13">
        <v>10</v>
      </c>
      <c r="J170" s="9">
        <f t="shared" si="22"/>
        <v>6</v>
      </c>
      <c r="K170" s="7">
        <f t="shared" si="16"/>
        <v>0.88235294117647056</v>
      </c>
      <c r="L170" s="8">
        <f>AVERAGE(K170:K176)</f>
        <v>0.90105042016806725</v>
      </c>
      <c r="M170" s="9">
        <f>_xlfn.STDEV.P(K170:K176)/SQRT(7)</f>
        <v>1.1595580816948618E-2</v>
      </c>
      <c r="N170" s="7">
        <f t="shared" si="17"/>
        <v>0.375</v>
      </c>
      <c r="O170" s="8">
        <f>AVERAGE(N170:N176)</f>
        <v>0.38214285714285712</v>
      </c>
      <c r="P170" s="9">
        <f>_xlfn.STDEV.P(N170:N176)/SQRT(7)</f>
        <v>4.2686736047656947E-3</v>
      </c>
      <c r="Q170" s="7">
        <f t="shared" si="18"/>
        <v>0.625</v>
      </c>
      <c r="R170" s="8">
        <f>AVERAGE(Q170:Q176)</f>
        <v>0.61785714285714288</v>
      </c>
      <c r="S170" s="9">
        <f>_xlfn.STDEV.P(Q170:Q176)/SQRT(7)</f>
        <v>4.2686736047656947E-3</v>
      </c>
      <c r="T170" s="7">
        <f t="shared" si="19"/>
        <v>0.11764705882352941</v>
      </c>
      <c r="U170" s="8">
        <f>AVERAGE(T170:T176)</f>
        <v>9.8949579831932769E-2</v>
      </c>
      <c r="V170" s="9">
        <f>_xlfn.STDEV.P(T170:T176)/SQRT(7)</f>
        <v>1.1595580816948616E-2</v>
      </c>
      <c r="W170" s="7">
        <f t="shared" si="20"/>
        <v>0.57499999999999996</v>
      </c>
      <c r="X170" s="8">
        <f>AVERAGE(W170:W176)</f>
        <v>0.57544871794871788</v>
      </c>
      <c r="Y170" s="9">
        <f>_xlfn.STDEV.P(W170:W176)/SQRT(7)</f>
        <v>6.806901313957457E-3</v>
      </c>
      <c r="Z170" s="7">
        <f>39/1042</f>
        <v>3.7428023032629557E-2</v>
      </c>
      <c r="AA170" s="8">
        <f>AVERAGE(Z170:Z176)</f>
        <v>5.6545625401390319E-2</v>
      </c>
      <c r="AB170" s="9">
        <f>_xlfn.STDEV.P(Z170:Z176)/SQRT(7)</f>
        <v>9.4761542616360259E-3</v>
      </c>
    </row>
    <row r="171" spans="1:28" x14ac:dyDescent="0.2">
      <c r="A171">
        <v>2</v>
      </c>
      <c r="B171" t="s">
        <v>15</v>
      </c>
      <c r="C171" t="s">
        <v>20</v>
      </c>
      <c r="D171" t="s">
        <v>25</v>
      </c>
      <c r="E171" s="7">
        <v>15</v>
      </c>
      <c r="F171" s="13">
        <v>13</v>
      </c>
      <c r="G171" s="14">
        <f t="shared" si="21"/>
        <v>2</v>
      </c>
      <c r="H171" s="15">
        <v>16</v>
      </c>
      <c r="I171" s="13">
        <v>10</v>
      </c>
      <c r="J171" s="9">
        <f t="shared" si="22"/>
        <v>6</v>
      </c>
      <c r="K171" s="7">
        <f t="shared" si="16"/>
        <v>0.8666666666666667</v>
      </c>
      <c r="N171" s="7">
        <f t="shared" si="17"/>
        <v>0.375</v>
      </c>
      <c r="Q171" s="7">
        <f t="shared" si="18"/>
        <v>0.625</v>
      </c>
      <c r="T171" s="7">
        <f t="shared" si="19"/>
        <v>0.13333333333333333</v>
      </c>
      <c r="W171" s="7">
        <f t="shared" si="20"/>
        <v>0.56730769230769229</v>
      </c>
      <c r="Z171" s="7">
        <f>45/1049</f>
        <v>4.2897998093422304E-2</v>
      </c>
    </row>
    <row r="172" spans="1:28" x14ac:dyDescent="0.2">
      <c r="A172">
        <v>3</v>
      </c>
      <c r="B172" t="s">
        <v>15</v>
      </c>
      <c r="C172" t="s">
        <v>20</v>
      </c>
      <c r="D172" t="s">
        <v>25</v>
      </c>
      <c r="E172" s="7">
        <v>16</v>
      </c>
      <c r="F172" s="13">
        <v>14</v>
      </c>
      <c r="G172" s="14">
        <f t="shared" si="21"/>
        <v>2</v>
      </c>
      <c r="H172" s="15">
        <v>15</v>
      </c>
      <c r="I172" s="13">
        <v>9</v>
      </c>
      <c r="J172" s="9">
        <f t="shared" si="22"/>
        <v>6</v>
      </c>
      <c r="K172" s="7">
        <f t="shared" si="16"/>
        <v>0.875</v>
      </c>
      <c r="N172" s="7">
        <f t="shared" si="17"/>
        <v>0.4</v>
      </c>
      <c r="Q172" s="7">
        <f t="shared" si="18"/>
        <v>0.6</v>
      </c>
      <c r="T172" s="7">
        <f t="shared" si="19"/>
        <v>0.125</v>
      </c>
      <c r="W172" s="7">
        <f t="shared" si="20"/>
        <v>0.54285714285714282</v>
      </c>
      <c r="Z172" s="7">
        <f>29/1048</f>
        <v>2.7671755725190841E-2</v>
      </c>
    </row>
    <row r="173" spans="1:28" x14ac:dyDescent="0.2">
      <c r="A173">
        <v>4</v>
      </c>
      <c r="B173" t="s">
        <v>15</v>
      </c>
      <c r="C173" t="s">
        <v>20</v>
      </c>
      <c r="D173" t="s">
        <v>25</v>
      </c>
      <c r="E173" s="7">
        <v>16</v>
      </c>
      <c r="F173" s="13">
        <v>15</v>
      </c>
      <c r="G173" s="14">
        <f t="shared" si="21"/>
        <v>1</v>
      </c>
      <c r="H173" s="15">
        <v>16</v>
      </c>
      <c r="I173" s="13">
        <v>10</v>
      </c>
      <c r="J173" s="9">
        <f t="shared" si="22"/>
        <v>6</v>
      </c>
      <c r="K173" s="7">
        <f t="shared" si="16"/>
        <v>0.9375</v>
      </c>
      <c r="N173" s="7">
        <f t="shared" si="17"/>
        <v>0.375</v>
      </c>
      <c r="Q173" s="7">
        <f t="shared" si="18"/>
        <v>0.625</v>
      </c>
      <c r="T173" s="7">
        <f t="shared" si="19"/>
        <v>6.25E-2</v>
      </c>
      <c r="W173" s="7">
        <f t="shared" si="20"/>
        <v>0.6</v>
      </c>
      <c r="Z173" s="7">
        <f>105/1024</f>
        <v>0.1025390625</v>
      </c>
    </row>
    <row r="174" spans="1:28" x14ac:dyDescent="0.2">
      <c r="A174">
        <v>5</v>
      </c>
      <c r="B174" t="s">
        <v>15</v>
      </c>
      <c r="C174" t="s">
        <v>20</v>
      </c>
      <c r="D174" t="s">
        <v>25</v>
      </c>
      <c r="E174" s="7">
        <v>15</v>
      </c>
      <c r="F174" s="13">
        <v>14</v>
      </c>
      <c r="G174" s="14">
        <f t="shared" si="21"/>
        <v>1</v>
      </c>
      <c r="H174" s="15">
        <v>16</v>
      </c>
      <c r="I174" s="13">
        <v>10</v>
      </c>
      <c r="J174" s="9">
        <f t="shared" si="22"/>
        <v>6</v>
      </c>
      <c r="K174" s="7">
        <f t="shared" si="16"/>
        <v>0.93333333333333335</v>
      </c>
      <c r="N174" s="7">
        <f t="shared" si="17"/>
        <v>0.375</v>
      </c>
      <c r="Q174" s="7">
        <f t="shared" si="18"/>
        <v>0.625</v>
      </c>
      <c r="T174" s="7">
        <f t="shared" si="19"/>
        <v>6.6666666666666666E-2</v>
      </c>
      <c r="W174" s="7">
        <f t="shared" si="20"/>
        <v>0.5982142857142857</v>
      </c>
      <c r="Z174" s="7">
        <f>78/1024</f>
        <v>7.6171875E-2</v>
      </c>
    </row>
    <row r="175" spans="1:28" x14ac:dyDescent="0.2">
      <c r="A175">
        <v>6</v>
      </c>
      <c r="B175" t="s">
        <v>15</v>
      </c>
      <c r="C175" t="s">
        <v>20</v>
      </c>
      <c r="D175" t="s">
        <v>25</v>
      </c>
      <c r="E175" s="7">
        <v>16</v>
      </c>
      <c r="F175" s="13">
        <v>15</v>
      </c>
      <c r="G175" s="14">
        <f t="shared" si="21"/>
        <v>1</v>
      </c>
      <c r="H175" s="15">
        <v>15</v>
      </c>
      <c r="I175" s="13">
        <v>9</v>
      </c>
      <c r="J175" s="9">
        <f t="shared" si="22"/>
        <v>6</v>
      </c>
      <c r="K175" s="7">
        <f t="shared" si="16"/>
        <v>0.9375</v>
      </c>
      <c r="N175" s="7">
        <f t="shared" si="17"/>
        <v>0.4</v>
      </c>
      <c r="Q175" s="7">
        <f t="shared" si="18"/>
        <v>0.6</v>
      </c>
      <c r="T175" s="7">
        <f t="shared" si="19"/>
        <v>6.25E-2</v>
      </c>
      <c r="W175" s="7">
        <f t="shared" si="20"/>
        <v>0.57333333333333336</v>
      </c>
      <c r="Z175" s="7">
        <f>73/1036</f>
        <v>7.0463320463320461E-2</v>
      </c>
    </row>
    <row r="176" spans="1:28" x14ac:dyDescent="0.2">
      <c r="A176">
        <v>7</v>
      </c>
      <c r="B176" t="s">
        <v>15</v>
      </c>
      <c r="C176" t="s">
        <v>20</v>
      </c>
      <c r="D176" t="s">
        <v>25</v>
      </c>
      <c r="E176" s="7">
        <v>16</v>
      </c>
      <c r="F176" s="13">
        <v>14</v>
      </c>
      <c r="G176" s="14">
        <f t="shared" si="21"/>
        <v>2</v>
      </c>
      <c r="H176" s="15">
        <v>16</v>
      </c>
      <c r="I176" s="13">
        <v>10</v>
      </c>
      <c r="J176" s="9">
        <f t="shared" si="22"/>
        <v>6</v>
      </c>
      <c r="K176" s="7">
        <f t="shared" si="16"/>
        <v>0.875</v>
      </c>
      <c r="N176" s="7">
        <f t="shared" si="17"/>
        <v>0.375</v>
      </c>
      <c r="Q176" s="7">
        <f t="shared" si="18"/>
        <v>0.625</v>
      </c>
      <c r="T176" s="7">
        <f t="shared" si="19"/>
        <v>0.125</v>
      </c>
      <c r="W176" s="7">
        <f t="shared" si="20"/>
        <v>0.5714285714285714</v>
      </c>
      <c r="Z176" s="7">
        <f>40/1035</f>
        <v>3.864734299516908E-2</v>
      </c>
    </row>
    <row r="177" spans="1:28" x14ac:dyDescent="0.2">
      <c r="A177">
        <v>8</v>
      </c>
      <c r="B177" t="s">
        <v>18</v>
      </c>
      <c r="C177" t="s">
        <v>20</v>
      </c>
      <c r="D177" t="s">
        <v>25</v>
      </c>
      <c r="E177" s="7">
        <v>17</v>
      </c>
      <c r="F177" s="13">
        <v>15</v>
      </c>
      <c r="G177" s="14">
        <f t="shared" si="21"/>
        <v>2</v>
      </c>
      <c r="H177" s="15">
        <v>16</v>
      </c>
      <c r="I177" s="13">
        <v>13</v>
      </c>
      <c r="J177" s="9">
        <f t="shared" si="22"/>
        <v>3</v>
      </c>
      <c r="K177" s="7">
        <f t="shared" si="16"/>
        <v>0.88235294117647056</v>
      </c>
      <c r="L177" s="8">
        <f>AVERAGE(K177:K183)</f>
        <v>0.90623749499799922</v>
      </c>
      <c r="M177" s="9">
        <f>_xlfn.STDEV.P(K177:K183)/SQRT(7)</f>
        <v>1.7670567920846578E-2</v>
      </c>
      <c r="N177" s="7">
        <f t="shared" si="17"/>
        <v>0.1875</v>
      </c>
      <c r="O177" s="8">
        <f>AVERAGE(N177:N183)</f>
        <v>0.16144957983193278</v>
      </c>
      <c r="P177" s="9">
        <f>_xlfn.STDEV.P(N177:N183)/SQRT(7)</f>
        <v>1.2855406751416257E-2</v>
      </c>
      <c r="Q177" s="7">
        <f t="shared" si="18"/>
        <v>0.8125</v>
      </c>
      <c r="R177" s="8">
        <f>AVERAGE(Q177:Q183)</f>
        <v>0.83855042016806725</v>
      </c>
      <c r="S177" s="9">
        <f>_xlfn.STDEV.P(Q177:Q183)/SQRT(7)</f>
        <v>1.2855406751416233E-2</v>
      </c>
      <c r="T177" s="7">
        <f t="shared" si="19"/>
        <v>0.11764705882352941</v>
      </c>
      <c r="U177" s="8">
        <f>AVERAGE(T177:T183)</f>
        <v>9.3762505002000784E-2</v>
      </c>
      <c r="V177" s="9">
        <f>_xlfn.STDEV.P(T177:T183)/SQRT(7)</f>
        <v>1.7670567920846605E-2</v>
      </c>
      <c r="W177" s="7">
        <f t="shared" si="20"/>
        <v>0.78749999999999998</v>
      </c>
      <c r="X177" s="8">
        <f>AVERAGE(W177:W183)</f>
        <v>0.82040691276510613</v>
      </c>
      <c r="Y177" s="9">
        <f>_xlfn.STDEV.P(W177:W183)/SQRT(7)</f>
        <v>1.6192976759246573E-2</v>
      </c>
      <c r="Z177" s="7">
        <f>71/1030</f>
        <v>6.8932038834951456E-2</v>
      </c>
      <c r="AA177" s="8">
        <f>AVERAGE(Z177:Z183)</f>
        <v>4.081782908529101E-2</v>
      </c>
      <c r="AB177" s="9">
        <f>_xlfn.STDEV.P(Z177:Z183)/SQRT(7)</f>
        <v>5.8811769360249443E-3</v>
      </c>
    </row>
    <row r="178" spans="1:28" x14ac:dyDescent="0.2">
      <c r="A178">
        <v>9</v>
      </c>
      <c r="B178" t="s">
        <v>18</v>
      </c>
      <c r="C178" t="s">
        <v>20</v>
      </c>
      <c r="D178" t="s">
        <v>25</v>
      </c>
      <c r="E178" s="7">
        <v>15</v>
      </c>
      <c r="F178" s="13">
        <v>14</v>
      </c>
      <c r="G178" s="14">
        <f t="shared" si="21"/>
        <v>1</v>
      </c>
      <c r="H178" s="15">
        <v>17</v>
      </c>
      <c r="I178" s="13">
        <v>15</v>
      </c>
      <c r="J178" s="9">
        <f t="shared" si="22"/>
        <v>2</v>
      </c>
      <c r="K178" s="7">
        <f t="shared" si="16"/>
        <v>0.93333333333333335</v>
      </c>
      <c r="N178" s="7">
        <f t="shared" si="17"/>
        <v>0.11764705882352941</v>
      </c>
      <c r="Q178" s="7">
        <f t="shared" si="18"/>
        <v>0.88235294117647056</v>
      </c>
      <c r="T178" s="7">
        <f t="shared" si="19"/>
        <v>6.6666666666666666E-2</v>
      </c>
      <c r="W178" s="7">
        <f t="shared" si="20"/>
        <v>0.87394957983193278</v>
      </c>
      <c r="Z178" s="7">
        <f>25/1042</f>
        <v>2.3992322456813819E-2</v>
      </c>
    </row>
    <row r="179" spans="1:28" x14ac:dyDescent="0.2">
      <c r="A179">
        <v>10</v>
      </c>
      <c r="B179" t="s">
        <v>18</v>
      </c>
      <c r="C179" t="s">
        <v>20</v>
      </c>
      <c r="D179" t="s">
        <v>25</v>
      </c>
      <c r="E179" s="7">
        <v>14</v>
      </c>
      <c r="F179" s="13">
        <v>13</v>
      </c>
      <c r="G179" s="14">
        <f t="shared" si="21"/>
        <v>1</v>
      </c>
      <c r="H179" s="15">
        <v>15</v>
      </c>
      <c r="I179" s="13">
        <v>12</v>
      </c>
      <c r="J179" s="9">
        <f t="shared" si="22"/>
        <v>3</v>
      </c>
      <c r="K179" s="7">
        <f t="shared" si="16"/>
        <v>0.9285714285714286</v>
      </c>
      <c r="N179" s="7">
        <f t="shared" si="17"/>
        <v>0.2</v>
      </c>
      <c r="Q179" s="7">
        <f t="shared" si="18"/>
        <v>0.8</v>
      </c>
      <c r="T179" s="7">
        <f t="shared" si="19"/>
        <v>7.1428571428571425E-2</v>
      </c>
      <c r="W179" s="7">
        <f t="shared" si="20"/>
        <v>0.78461538461538471</v>
      </c>
      <c r="Z179" s="7">
        <f>31/1043</f>
        <v>2.9721955896452542E-2</v>
      </c>
    </row>
    <row r="180" spans="1:28" x14ac:dyDescent="0.2">
      <c r="A180">
        <v>11</v>
      </c>
      <c r="B180" t="s">
        <v>18</v>
      </c>
      <c r="C180" t="s">
        <v>20</v>
      </c>
      <c r="D180" t="s">
        <v>25</v>
      </c>
      <c r="E180" s="7">
        <v>15</v>
      </c>
      <c r="F180" s="13">
        <v>14</v>
      </c>
      <c r="G180" s="14">
        <f t="shared" si="21"/>
        <v>1</v>
      </c>
      <c r="H180" s="15">
        <v>16</v>
      </c>
      <c r="I180" s="13">
        <v>13</v>
      </c>
      <c r="J180" s="9">
        <f t="shared" si="22"/>
        <v>3</v>
      </c>
      <c r="K180" s="7">
        <f t="shared" si="16"/>
        <v>0.93333333333333335</v>
      </c>
      <c r="N180" s="7">
        <f t="shared" si="17"/>
        <v>0.1875</v>
      </c>
      <c r="Q180" s="7">
        <f t="shared" si="18"/>
        <v>0.8125</v>
      </c>
      <c r="T180" s="7">
        <f t="shared" si="19"/>
        <v>6.6666666666666666E-2</v>
      </c>
      <c r="W180" s="7">
        <f t="shared" si="20"/>
        <v>0.7991071428571429</v>
      </c>
      <c r="Z180" s="7">
        <f>26/1029</f>
        <v>2.5267249757045675E-2</v>
      </c>
    </row>
    <row r="181" spans="1:28" x14ac:dyDescent="0.2">
      <c r="A181">
        <v>12</v>
      </c>
      <c r="B181" t="s">
        <v>18</v>
      </c>
      <c r="C181" t="s">
        <v>20</v>
      </c>
      <c r="D181" t="s">
        <v>25</v>
      </c>
      <c r="E181" s="7">
        <v>14</v>
      </c>
      <c r="F181" s="13">
        <v>13</v>
      </c>
      <c r="G181" s="14">
        <f t="shared" si="21"/>
        <v>1</v>
      </c>
      <c r="H181" s="15">
        <v>16</v>
      </c>
      <c r="I181" s="13">
        <v>14</v>
      </c>
      <c r="J181" s="9">
        <f t="shared" si="22"/>
        <v>2</v>
      </c>
      <c r="K181" s="7">
        <f t="shared" si="16"/>
        <v>0.9285714285714286</v>
      </c>
      <c r="N181" s="7">
        <f t="shared" si="17"/>
        <v>0.125</v>
      </c>
      <c r="Q181" s="7">
        <f t="shared" si="18"/>
        <v>0.875</v>
      </c>
      <c r="T181" s="7">
        <f t="shared" si="19"/>
        <v>7.1428571428571425E-2</v>
      </c>
      <c r="W181" s="7">
        <f t="shared" si="20"/>
        <v>0.86538461538461542</v>
      </c>
      <c r="Z181" s="7">
        <f>40/1043</f>
        <v>3.8350910834132314E-2</v>
      </c>
    </row>
    <row r="182" spans="1:28" x14ac:dyDescent="0.2">
      <c r="A182">
        <v>13</v>
      </c>
      <c r="B182" t="s">
        <v>18</v>
      </c>
      <c r="C182" t="s">
        <v>20</v>
      </c>
      <c r="D182" t="s">
        <v>25</v>
      </c>
      <c r="E182" s="7">
        <v>15</v>
      </c>
      <c r="F182" s="13">
        <v>12</v>
      </c>
      <c r="G182" s="14">
        <f t="shared" si="21"/>
        <v>3</v>
      </c>
      <c r="H182" s="15">
        <v>16</v>
      </c>
      <c r="I182" s="13">
        <v>13</v>
      </c>
      <c r="J182" s="9">
        <f t="shared" si="22"/>
        <v>3</v>
      </c>
      <c r="K182" s="7">
        <f t="shared" si="16"/>
        <v>0.8</v>
      </c>
      <c r="N182" s="7">
        <f t="shared" si="17"/>
        <v>0.1875</v>
      </c>
      <c r="Q182" s="7">
        <f t="shared" si="18"/>
        <v>0.8125</v>
      </c>
      <c r="T182" s="7">
        <f t="shared" si="19"/>
        <v>0.2</v>
      </c>
      <c r="W182" s="7">
        <f t="shared" si="20"/>
        <v>0.765625</v>
      </c>
      <c r="Z182" s="7">
        <f>44/1024</f>
        <v>4.296875E-2</v>
      </c>
    </row>
    <row r="183" spans="1:28" x14ac:dyDescent="0.2">
      <c r="A183">
        <v>14</v>
      </c>
      <c r="B183" t="s">
        <v>18</v>
      </c>
      <c r="C183" t="s">
        <v>20</v>
      </c>
      <c r="D183" t="s">
        <v>25</v>
      </c>
      <c r="E183" s="7">
        <v>16</v>
      </c>
      <c r="F183" s="13">
        <v>15</v>
      </c>
      <c r="G183" s="14">
        <f t="shared" si="21"/>
        <v>1</v>
      </c>
      <c r="H183" s="15">
        <v>16</v>
      </c>
      <c r="I183" s="13">
        <v>14</v>
      </c>
      <c r="J183" s="9">
        <f t="shared" si="22"/>
        <v>2</v>
      </c>
      <c r="K183" s="7">
        <f t="shared" si="16"/>
        <v>0.9375</v>
      </c>
      <c r="N183" s="7">
        <f t="shared" si="17"/>
        <v>0.125</v>
      </c>
      <c r="Q183" s="7">
        <f t="shared" si="18"/>
        <v>0.875</v>
      </c>
      <c r="T183" s="7">
        <f t="shared" si="19"/>
        <v>6.25E-2</v>
      </c>
      <c r="W183" s="7">
        <f t="shared" si="20"/>
        <v>0.8666666666666667</v>
      </c>
      <c r="Z183" s="7">
        <f>57/1009</f>
        <v>5.6491575817641228E-2</v>
      </c>
    </row>
    <row r="184" spans="1:28" x14ac:dyDescent="0.2">
      <c r="A184">
        <v>1</v>
      </c>
      <c r="B184" t="s">
        <v>15</v>
      </c>
      <c r="C184" t="s">
        <v>19</v>
      </c>
      <c r="D184" t="s">
        <v>26</v>
      </c>
      <c r="E184" s="7">
        <v>16</v>
      </c>
      <c r="F184" s="13">
        <v>13</v>
      </c>
      <c r="G184" s="14">
        <f t="shared" si="21"/>
        <v>3</v>
      </c>
      <c r="H184" s="15">
        <v>16</v>
      </c>
      <c r="I184" s="13">
        <v>10</v>
      </c>
      <c r="J184" s="9">
        <f t="shared" si="22"/>
        <v>6</v>
      </c>
      <c r="K184" s="7">
        <f t="shared" si="16"/>
        <v>0.8125</v>
      </c>
      <c r="L184" s="8">
        <f>AVERAGE(K184:K190)</f>
        <v>0.89212184873949585</v>
      </c>
      <c r="M184" s="9">
        <f>_xlfn.STDEV.P(K184:K190)/SQRT(7)</f>
        <v>1.6408642593537155E-2</v>
      </c>
      <c r="N184" s="7">
        <f t="shared" si="17"/>
        <v>0.375</v>
      </c>
      <c r="O184" s="8">
        <f>AVERAGE(N184:N190)</f>
        <v>0.36666666666666664</v>
      </c>
      <c r="P184" s="9">
        <f>_xlfn.STDEV.P(N184:N190)/SQRT(7)</f>
        <v>1.5971914124998692E-2</v>
      </c>
      <c r="Q184" s="7">
        <f t="shared" si="18"/>
        <v>0.625</v>
      </c>
      <c r="R184" s="8">
        <f>AVERAGE(Q184:Q190)</f>
        <v>0.63333333333333341</v>
      </c>
      <c r="S184" s="9">
        <f>_xlfn.STDEV.P(Q184:Q190)/SQRT(7)</f>
        <v>1.5971914124998494E-2</v>
      </c>
      <c r="T184" s="7">
        <f t="shared" si="19"/>
        <v>0.1875</v>
      </c>
      <c r="U184" s="8">
        <f>AVERAGE(T184:T190)</f>
        <v>0.10787815126050419</v>
      </c>
      <c r="V184" s="9">
        <f>_xlfn.STDEV.P(T184:T190)/SQRT(7)</f>
        <v>1.6408642593537158E-2</v>
      </c>
      <c r="W184" s="7">
        <f t="shared" si="20"/>
        <v>0.53846153846153844</v>
      </c>
      <c r="X184" s="8">
        <f>AVERAGE(W184:W190)</f>
        <v>0.58827882435025292</v>
      </c>
      <c r="Y184" s="9">
        <f>_xlfn.STDEV.P(W184:W190)/SQRT(7)</f>
        <v>1.8862643871167661E-2</v>
      </c>
      <c r="Z184" s="7">
        <f>6/1004</f>
        <v>5.9760956175298804E-3</v>
      </c>
      <c r="AA184" s="8">
        <f>AVERAGE(Z184:Z190)</f>
        <v>1.0379179926039641E-2</v>
      </c>
      <c r="AB184" s="9">
        <f>_xlfn.STDEV.P(Z184:Z190)/SQRT(7)</f>
        <v>2.6286641603254744E-3</v>
      </c>
    </row>
    <row r="185" spans="1:28" x14ac:dyDescent="0.2">
      <c r="A185">
        <v>2</v>
      </c>
      <c r="B185" t="s">
        <v>15</v>
      </c>
      <c r="C185" t="s">
        <v>19</v>
      </c>
      <c r="D185" t="s">
        <v>26</v>
      </c>
      <c r="E185" s="7">
        <v>17</v>
      </c>
      <c r="F185" s="13">
        <v>15</v>
      </c>
      <c r="G185" s="14">
        <f t="shared" si="21"/>
        <v>2</v>
      </c>
      <c r="H185" s="15">
        <v>15</v>
      </c>
      <c r="I185" s="13">
        <v>11</v>
      </c>
      <c r="J185" s="9">
        <f t="shared" si="22"/>
        <v>4</v>
      </c>
      <c r="K185" s="7">
        <f t="shared" si="16"/>
        <v>0.88235294117647056</v>
      </c>
      <c r="N185" s="7">
        <f t="shared" si="17"/>
        <v>0.26666666666666666</v>
      </c>
      <c r="Q185" s="7">
        <f t="shared" si="18"/>
        <v>0.73333333333333328</v>
      </c>
      <c r="T185" s="7">
        <f t="shared" si="19"/>
        <v>0.11764705882352941</v>
      </c>
      <c r="W185" s="7">
        <f t="shared" si="20"/>
        <v>0.69777777777777772</v>
      </c>
      <c r="Z185" s="7">
        <f>3/970</f>
        <v>3.092783505154639E-3</v>
      </c>
    </row>
    <row r="186" spans="1:28" x14ac:dyDescent="0.2">
      <c r="A186">
        <v>3</v>
      </c>
      <c r="B186" t="s">
        <v>15</v>
      </c>
      <c r="C186" t="s">
        <v>19</v>
      </c>
      <c r="D186" t="s">
        <v>26</v>
      </c>
      <c r="E186" s="7">
        <v>15</v>
      </c>
      <c r="F186" s="13">
        <v>13</v>
      </c>
      <c r="G186" s="14">
        <f t="shared" si="21"/>
        <v>2</v>
      </c>
      <c r="H186" s="15">
        <v>16</v>
      </c>
      <c r="I186" s="13">
        <v>10</v>
      </c>
      <c r="J186" s="9">
        <f t="shared" si="22"/>
        <v>6</v>
      </c>
      <c r="K186" s="7">
        <f t="shared" si="16"/>
        <v>0.8666666666666667</v>
      </c>
      <c r="N186" s="7">
        <f t="shared" si="17"/>
        <v>0.375</v>
      </c>
      <c r="Q186" s="7">
        <f t="shared" si="18"/>
        <v>0.625</v>
      </c>
      <c r="T186" s="7">
        <f t="shared" si="19"/>
        <v>0.13333333333333333</v>
      </c>
      <c r="W186" s="7">
        <f t="shared" si="20"/>
        <v>0.56730769230769229</v>
      </c>
      <c r="Z186" s="7">
        <f>5/991</f>
        <v>5.0454086781029266E-3</v>
      </c>
    </row>
    <row r="187" spans="1:28" x14ac:dyDescent="0.2">
      <c r="A187">
        <v>4</v>
      </c>
      <c r="B187" t="s">
        <v>15</v>
      </c>
      <c r="C187" t="s">
        <v>19</v>
      </c>
      <c r="D187" t="s">
        <v>26</v>
      </c>
      <c r="E187" s="7">
        <v>16</v>
      </c>
      <c r="F187" s="13">
        <v>14</v>
      </c>
      <c r="G187" s="14">
        <f t="shared" si="21"/>
        <v>2</v>
      </c>
      <c r="H187" s="15">
        <v>15</v>
      </c>
      <c r="I187" s="13">
        <v>9</v>
      </c>
      <c r="J187" s="9">
        <f t="shared" si="22"/>
        <v>6</v>
      </c>
      <c r="K187" s="7">
        <f t="shared" si="16"/>
        <v>0.875</v>
      </c>
      <c r="N187" s="7">
        <f t="shared" si="17"/>
        <v>0.4</v>
      </c>
      <c r="Q187" s="7">
        <f t="shared" si="18"/>
        <v>0.6</v>
      </c>
      <c r="T187" s="7">
        <f t="shared" si="19"/>
        <v>0.125</v>
      </c>
      <c r="W187" s="7">
        <f t="shared" si="20"/>
        <v>0.54285714285714282</v>
      </c>
      <c r="Z187" s="7">
        <f>24/1001</f>
        <v>2.3976023976023976E-2</v>
      </c>
    </row>
    <row r="188" spans="1:28" x14ac:dyDescent="0.2">
      <c r="A188">
        <v>5</v>
      </c>
      <c r="B188" t="s">
        <v>15</v>
      </c>
      <c r="C188" t="s">
        <v>19</v>
      </c>
      <c r="D188" t="s">
        <v>26</v>
      </c>
      <c r="E188" s="7">
        <v>16</v>
      </c>
      <c r="F188" s="13">
        <v>15</v>
      </c>
      <c r="G188" s="14">
        <f t="shared" si="21"/>
        <v>1</v>
      </c>
      <c r="H188" s="15">
        <v>16</v>
      </c>
      <c r="I188" s="13">
        <v>10</v>
      </c>
      <c r="J188" s="9">
        <f t="shared" si="22"/>
        <v>6</v>
      </c>
      <c r="K188" s="7">
        <f t="shared" si="16"/>
        <v>0.9375</v>
      </c>
      <c r="N188" s="7">
        <f t="shared" si="17"/>
        <v>0.375</v>
      </c>
      <c r="Q188" s="7">
        <f t="shared" si="18"/>
        <v>0.625</v>
      </c>
      <c r="T188" s="7">
        <f t="shared" si="19"/>
        <v>6.25E-2</v>
      </c>
      <c r="W188" s="7">
        <f t="shared" si="20"/>
        <v>0.6</v>
      </c>
      <c r="Z188" s="7">
        <f>17/988</f>
        <v>1.7206477732793522E-2</v>
      </c>
    </row>
    <row r="189" spans="1:28" x14ac:dyDescent="0.2">
      <c r="A189">
        <v>6</v>
      </c>
      <c r="B189" t="s">
        <v>15</v>
      </c>
      <c r="C189" t="s">
        <v>19</v>
      </c>
      <c r="D189" t="s">
        <v>26</v>
      </c>
      <c r="E189" s="7">
        <v>15</v>
      </c>
      <c r="F189" s="13">
        <v>14</v>
      </c>
      <c r="G189" s="14">
        <f t="shared" si="21"/>
        <v>1</v>
      </c>
      <c r="H189" s="15">
        <v>16</v>
      </c>
      <c r="I189" s="13">
        <v>10</v>
      </c>
      <c r="J189" s="9">
        <f t="shared" si="22"/>
        <v>6</v>
      </c>
      <c r="K189" s="7">
        <f t="shared" si="16"/>
        <v>0.93333333333333335</v>
      </c>
      <c r="N189" s="7">
        <f t="shared" si="17"/>
        <v>0.375</v>
      </c>
      <c r="Q189" s="7">
        <f t="shared" si="18"/>
        <v>0.625</v>
      </c>
      <c r="T189" s="7">
        <f t="shared" si="19"/>
        <v>6.6666666666666666E-2</v>
      </c>
      <c r="W189" s="7">
        <f t="shared" si="20"/>
        <v>0.5982142857142857</v>
      </c>
      <c r="Z189" s="7">
        <f>8/971</f>
        <v>8.2389289392378988E-3</v>
      </c>
    </row>
    <row r="190" spans="1:28" x14ac:dyDescent="0.2">
      <c r="A190">
        <v>7</v>
      </c>
      <c r="B190" t="s">
        <v>15</v>
      </c>
      <c r="C190" t="s">
        <v>19</v>
      </c>
      <c r="D190" t="s">
        <v>26</v>
      </c>
      <c r="E190" s="7">
        <v>16</v>
      </c>
      <c r="F190" s="13">
        <v>15</v>
      </c>
      <c r="G190" s="14">
        <f t="shared" si="21"/>
        <v>1</v>
      </c>
      <c r="H190" s="15">
        <v>15</v>
      </c>
      <c r="I190" s="13">
        <v>9</v>
      </c>
      <c r="J190" s="9">
        <f t="shared" si="22"/>
        <v>6</v>
      </c>
      <c r="K190" s="7">
        <f t="shared" si="16"/>
        <v>0.9375</v>
      </c>
      <c r="N190" s="7">
        <f t="shared" si="17"/>
        <v>0.4</v>
      </c>
      <c r="Q190" s="7">
        <f t="shared" si="18"/>
        <v>0.6</v>
      </c>
      <c r="T190" s="7">
        <f t="shared" si="19"/>
        <v>6.25E-2</v>
      </c>
      <c r="W190" s="7">
        <f t="shared" si="20"/>
        <v>0.57333333333333336</v>
      </c>
      <c r="Z190" s="7">
        <f>9/987</f>
        <v>9.11854103343465E-3</v>
      </c>
    </row>
    <row r="191" spans="1:28" x14ac:dyDescent="0.2">
      <c r="A191">
        <v>8</v>
      </c>
      <c r="B191" t="s">
        <v>18</v>
      </c>
      <c r="C191" t="s">
        <v>19</v>
      </c>
      <c r="D191" t="s">
        <v>26</v>
      </c>
      <c r="E191" s="7">
        <v>16</v>
      </c>
      <c r="F191" s="13">
        <v>13</v>
      </c>
      <c r="G191" s="14">
        <f t="shared" si="21"/>
        <v>3</v>
      </c>
      <c r="H191" s="15">
        <v>16</v>
      </c>
      <c r="I191" s="13">
        <v>12</v>
      </c>
      <c r="J191" s="9">
        <f t="shared" si="22"/>
        <v>4</v>
      </c>
      <c r="K191" s="7">
        <f t="shared" si="16"/>
        <v>0.8125</v>
      </c>
      <c r="L191" s="8">
        <f>AVERAGE(K191:K197)</f>
        <v>0.84800420168067236</v>
      </c>
      <c r="M191" s="9">
        <f>_xlfn.STDEV.P(K191:K197)/SQRT(7)</f>
        <v>1.6123744556237232E-2</v>
      </c>
      <c r="N191" s="7">
        <f t="shared" si="17"/>
        <v>0.25</v>
      </c>
      <c r="O191" s="8">
        <f>AVERAGE(N191:N197)</f>
        <v>0.29796918767507002</v>
      </c>
      <c r="P191" s="9">
        <f>_xlfn.STDEV.P(N191:N197)/SQRT(7)</f>
        <v>2.1743145721500188E-2</v>
      </c>
      <c r="Q191" s="7">
        <f t="shared" si="18"/>
        <v>0.75</v>
      </c>
      <c r="R191" s="8">
        <f>AVERAGE(Q191:Q197)</f>
        <v>0.70203081232493003</v>
      </c>
      <c r="S191" s="9">
        <f>_xlfn.STDEV.P(Q191:Q197)/SQRT(7)</f>
        <v>2.1743145721500181E-2</v>
      </c>
      <c r="T191" s="7">
        <f t="shared" si="19"/>
        <v>0.1875</v>
      </c>
      <c r="U191" s="8">
        <f>AVERAGE(T191:T197)</f>
        <v>0.15199579831932772</v>
      </c>
      <c r="V191" s="9">
        <f>_xlfn.STDEV.P(T191:T197)/SQRT(7)</f>
        <v>1.6123744556237239E-2</v>
      </c>
      <c r="W191" s="7">
        <f t="shared" si="20"/>
        <v>0.69230769230769229</v>
      </c>
      <c r="X191" s="8">
        <f>AVERAGE(W191:W197)</f>
        <v>0.64583814294948738</v>
      </c>
      <c r="Y191" s="9">
        <f>_xlfn.STDEV.P(W191:W197)/SQRT(7)</f>
        <v>2.8891754968490373E-2</v>
      </c>
      <c r="Z191" s="7">
        <f>5/969</f>
        <v>5.1599587203302374E-3</v>
      </c>
      <c r="AA191" s="8">
        <f>AVERAGE(Z191:Z197)</f>
        <v>9.0811234676969489E-3</v>
      </c>
      <c r="AB191" s="9">
        <f>_xlfn.STDEV.P(Z191:Z197)/SQRT(7)</f>
        <v>1.7768522362668166E-3</v>
      </c>
    </row>
    <row r="192" spans="1:28" x14ac:dyDescent="0.2">
      <c r="A192">
        <v>9</v>
      </c>
      <c r="B192" t="s">
        <v>18</v>
      </c>
      <c r="C192" t="s">
        <v>19</v>
      </c>
      <c r="D192" t="s">
        <v>26</v>
      </c>
      <c r="E192" s="7">
        <v>17</v>
      </c>
      <c r="F192" s="13">
        <v>14</v>
      </c>
      <c r="G192" s="14">
        <f t="shared" si="21"/>
        <v>3</v>
      </c>
      <c r="H192" s="15">
        <v>16</v>
      </c>
      <c r="I192" s="13">
        <v>10</v>
      </c>
      <c r="J192" s="9">
        <f t="shared" si="22"/>
        <v>6</v>
      </c>
      <c r="K192" s="7">
        <f t="shared" si="16"/>
        <v>0.82352941176470584</v>
      </c>
      <c r="N192" s="7">
        <f t="shared" si="17"/>
        <v>0.375</v>
      </c>
      <c r="Q192" s="7">
        <f t="shared" si="18"/>
        <v>0.625</v>
      </c>
      <c r="T192" s="7">
        <f t="shared" si="19"/>
        <v>0.17647058823529413</v>
      </c>
      <c r="W192" s="7">
        <f t="shared" si="20"/>
        <v>0.5446428571428571</v>
      </c>
      <c r="Z192" s="7">
        <f>3/972</f>
        <v>3.0864197530864196E-3</v>
      </c>
    </row>
    <row r="193" spans="1:28" x14ac:dyDescent="0.2">
      <c r="A193">
        <v>10</v>
      </c>
      <c r="B193" t="s">
        <v>18</v>
      </c>
      <c r="C193" t="s">
        <v>19</v>
      </c>
      <c r="D193" t="s">
        <v>26</v>
      </c>
      <c r="E193" s="7">
        <v>15</v>
      </c>
      <c r="F193" s="13">
        <v>13</v>
      </c>
      <c r="G193" s="14">
        <f t="shared" si="21"/>
        <v>2</v>
      </c>
      <c r="H193" s="15">
        <v>17</v>
      </c>
      <c r="I193" s="13">
        <v>12</v>
      </c>
      <c r="J193" s="9">
        <f t="shared" si="22"/>
        <v>5</v>
      </c>
      <c r="K193" s="7">
        <f t="shared" si="16"/>
        <v>0.8666666666666667</v>
      </c>
      <c r="N193" s="7">
        <f t="shared" si="17"/>
        <v>0.29411764705882354</v>
      </c>
      <c r="Q193" s="7">
        <f t="shared" si="18"/>
        <v>0.70588235294117652</v>
      </c>
      <c r="T193" s="7">
        <f t="shared" si="19"/>
        <v>0.13333333333333333</v>
      </c>
      <c r="W193" s="7">
        <f t="shared" si="20"/>
        <v>0.66063348416289602</v>
      </c>
      <c r="Z193" s="7">
        <f>7/959</f>
        <v>7.2992700729927005E-3</v>
      </c>
    </row>
    <row r="194" spans="1:28" x14ac:dyDescent="0.2">
      <c r="A194">
        <v>11</v>
      </c>
      <c r="B194" t="s">
        <v>18</v>
      </c>
      <c r="C194" t="s">
        <v>19</v>
      </c>
      <c r="D194" t="s">
        <v>26</v>
      </c>
      <c r="E194" s="7">
        <v>16</v>
      </c>
      <c r="F194" s="13">
        <v>14</v>
      </c>
      <c r="G194" s="14">
        <f t="shared" si="21"/>
        <v>2</v>
      </c>
      <c r="H194" s="15">
        <v>15</v>
      </c>
      <c r="I194" s="13">
        <v>10</v>
      </c>
      <c r="J194" s="9">
        <f t="shared" si="22"/>
        <v>5</v>
      </c>
      <c r="K194" s="7">
        <f t="shared" ref="K194:K257" si="23">F194/E194</f>
        <v>0.875</v>
      </c>
      <c r="N194" s="7">
        <f t="shared" ref="N194:N257" si="24">J194/H194</f>
        <v>0.33333333333333331</v>
      </c>
      <c r="Q194" s="7">
        <f t="shared" ref="Q194:Q257" si="25">I194/H194</f>
        <v>0.66666666666666663</v>
      </c>
      <c r="T194" s="7">
        <f t="shared" ref="T194:T257" si="26">G194/E194</f>
        <v>0.125</v>
      </c>
      <c r="W194" s="7">
        <f t="shared" ref="W194:W257" si="27">(Q194-T194)/(1-T194)</f>
        <v>0.61904761904761896</v>
      </c>
      <c r="Z194" s="7">
        <f>19/999</f>
        <v>1.9019019019019021E-2</v>
      </c>
    </row>
    <row r="195" spans="1:28" x14ac:dyDescent="0.2">
      <c r="A195">
        <v>12</v>
      </c>
      <c r="B195" t="s">
        <v>18</v>
      </c>
      <c r="C195" t="s">
        <v>19</v>
      </c>
      <c r="D195" t="s">
        <v>26</v>
      </c>
      <c r="E195" s="7">
        <v>16</v>
      </c>
      <c r="F195" s="13">
        <v>13</v>
      </c>
      <c r="G195" s="14">
        <f t="shared" si="21"/>
        <v>3</v>
      </c>
      <c r="H195" s="15">
        <v>16</v>
      </c>
      <c r="I195" s="13">
        <v>11</v>
      </c>
      <c r="J195" s="9">
        <f t="shared" si="22"/>
        <v>5</v>
      </c>
      <c r="K195" s="7">
        <f t="shared" si="23"/>
        <v>0.8125</v>
      </c>
      <c r="N195" s="7">
        <f t="shared" si="24"/>
        <v>0.3125</v>
      </c>
      <c r="Q195" s="7">
        <f t="shared" si="25"/>
        <v>0.6875</v>
      </c>
      <c r="T195" s="7">
        <f t="shared" si="26"/>
        <v>0.1875</v>
      </c>
      <c r="W195" s="7">
        <f t="shared" si="27"/>
        <v>0.61538461538461542</v>
      </c>
      <c r="Z195" s="7">
        <f>9/951</f>
        <v>9.4637223974763408E-3</v>
      </c>
    </row>
    <row r="196" spans="1:28" x14ac:dyDescent="0.2">
      <c r="A196">
        <v>13</v>
      </c>
      <c r="B196" t="s">
        <v>18</v>
      </c>
      <c r="C196" t="s">
        <v>19</v>
      </c>
      <c r="D196" t="s">
        <v>26</v>
      </c>
      <c r="E196" s="7">
        <v>15</v>
      </c>
      <c r="F196" s="13">
        <v>14</v>
      </c>
      <c r="G196" s="14">
        <f t="shared" si="21"/>
        <v>1</v>
      </c>
      <c r="H196" s="15">
        <v>16</v>
      </c>
      <c r="I196" s="13">
        <v>13</v>
      </c>
      <c r="J196" s="9">
        <f t="shared" si="22"/>
        <v>3</v>
      </c>
      <c r="K196" s="7">
        <f t="shared" si="23"/>
        <v>0.93333333333333335</v>
      </c>
      <c r="N196" s="7">
        <f t="shared" si="24"/>
        <v>0.1875</v>
      </c>
      <c r="Q196" s="7">
        <f t="shared" si="25"/>
        <v>0.8125</v>
      </c>
      <c r="T196" s="7">
        <f t="shared" si="26"/>
        <v>6.6666666666666666E-2</v>
      </c>
      <c r="W196" s="7">
        <f t="shared" si="27"/>
        <v>0.7991071428571429</v>
      </c>
      <c r="Z196" s="7">
        <f>9/963</f>
        <v>9.3457943925233638E-3</v>
      </c>
    </row>
    <row r="197" spans="1:28" x14ac:dyDescent="0.2">
      <c r="A197">
        <v>14</v>
      </c>
      <c r="B197" t="s">
        <v>18</v>
      </c>
      <c r="C197" t="s">
        <v>19</v>
      </c>
      <c r="D197" t="s">
        <v>26</v>
      </c>
      <c r="E197" s="7">
        <v>16</v>
      </c>
      <c r="F197" s="13">
        <v>13</v>
      </c>
      <c r="G197" s="14">
        <f t="shared" si="21"/>
        <v>3</v>
      </c>
      <c r="H197" s="15">
        <v>15</v>
      </c>
      <c r="I197" s="13">
        <v>10</v>
      </c>
      <c r="J197" s="9">
        <f t="shared" si="22"/>
        <v>5</v>
      </c>
      <c r="K197" s="7">
        <f t="shared" si="23"/>
        <v>0.8125</v>
      </c>
      <c r="N197" s="7">
        <f t="shared" si="24"/>
        <v>0.33333333333333331</v>
      </c>
      <c r="Q197" s="7">
        <f t="shared" si="25"/>
        <v>0.66666666666666663</v>
      </c>
      <c r="T197" s="7">
        <f t="shared" si="26"/>
        <v>0.1875</v>
      </c>
      <c r="W197" s="7">
        <f t="shared" si="27"/>
        <v>0.58974358974358965</v>
      </c>
      <c r="Z197" s="7">
        <f>10/981</f>
        <v>1.0193679918450561E-2</v>
      </c>
    </row>
    <row r="198" spans="1:28" x14ac:dyDescent="0.2">
      <c r="A198">
        <v>1</v>
      </c>
      <c r="B198" t="s">
        <v>15</v>
      </c>
      <c r="C198" t="s">
        <v>19</v>
      </c>
      <c r="D198" t="s">
        <v>27</v>
      </c>
      <c r="E198" s="7">
        <v>16</v>
      </c>
      <c r="F198" s="13">
        <v>13</v>
      </c>
      <c r="G198" s="14">
        <f t="shared" si="21"/>
        <v>3</v>
      </c>
      <c r="H198" s="15">
        <v>16</v>
      </c>
      <c r="I198" s="13">
        <v>11</v>
      </c>
      <c r="J198" s="9">
        <f t="shared" si="22"/>
        <v>5</v>
      </c>
      <c r="K198" s="7">
        <f t="shared" si="23"/>
        <v>0.8125</v>
      </c>
      <c r="L198" s="8">
        <f>AVERAGE(K198:K204)</f>
        <v>0.84688375350140055</v>
      </c>
      <c r="M198" s="9">
        <f>_xlfn.STDEV.P(K198:K204)/SQRT(7)</f>
        <v>1.7017722702298215E-2</v>
      </c>
      <c r="N198" s="7">
        <f t="shared" si="24"/>
        <v>0.3125</v>
      </c>
      <c r="O198" s="8">
        <f>AVERAGE(N198:N204)</f>
        <v>0.25238095238095237</v>
      </c>
      <c r="P198" s="9">
        <f>_xlfn.STDEV.P(N198:N204)/SQRT(7)</f>
        <v>1.7992682888111722E-2</v>
      </c>
      <c r="Q198" s="7">
        <f t="shared" si="25"/>
        <v>0.6875</v>
      </c>
      <c r="R198" s="8">
        <f>AVERAGE(Q198:Q204)</f>
        <v>0.74761904761904763</v>
      </c>
      <c r="S198" s="9">
        <f>_xlfn.STDEV.P(Q198:Q204)/SQRT(7)</f>
        <v>1.7992682888111702E-2</v>
      </c>
      <c r="T198" s="7">
        <f t="shared" si="26"/>
        <v>0.1875</v>
      </c>
      <c r="U198" s="8">
        <f>AVERAGE(T198:T204)</f>
        <v>0.15311624649859942</v>
      </c>
      <c r="V198" s="9">
        <f>_xlfn.STDEV.P(T198:T204)/SQRT(7)</f>
        <v>1.7017722702298222E-2</v>
      </c>
      <c r="W198" s="7">
        <f t="shared" si="27"/>
        <v>0.61538461538461542</v>
      </c>
      <c r="X198" s="8">
        <f>AVERAGE(W198:W204)</f>
        <v>0.69891069248212112</v>
      </c>
      <c r="Y198" s="9">
        <f>_xlfn.STDEV.P(W198:W204)/SQRT(7)</f>
        <v>2.6791561943868357E-2</v>
      </c>
      <c r="Z198" s="7">
        <f>7/930</f>
        <v>7.526881720430108E-3</v>
      </c>
      <c r="AA198" s="8">
        <f>AVERAGE(Z198:Z204)</f>
        <v>2.4291270528758291E-2</v>
      </c>
      <c r="AB198" s="9">
        <f>_xlfn.STDEV.P(Z198:Z204)/SQRT(7)</f>
        <v>4.9002825191299558E-3</v>
      </c>
    </row>
    <row r="199" spans="1:28" x14ac:dyDescent="0.2">
      <c r="A199">
        <v>2</v>
      </c>
      <c r="B199" t="s">
        <v>15</v>
      </c>
      <c r="C199" t="s">
        <v>19</v>
      </c>
      <c r="D199" t="s">
        <v>27</v>
      </c>
      <c r="E199" s="7">
        <v>15</v>
      </c>
      <c r="F199" s="13">
        <v>13</v>
      </c>
      <c r="G199" s="14">
        <f t="shared" si="21"/>
        <v>2</v>
      </c>
      <c r="H199" s="15">
        <v>16</v>
      </c>
      <c r="I199" s="13">
        <v>13</v>
      </c>
      <c r="J199" s="9">
        <f t="shared" si="22"/>
        <v>3</v>
      </c>
      <c r="K199" s="7">
        <f t="shared" si="23"/>
        <v>0.8666666666666667</v>
      </c>
      <c r="N199" s="7">
        <f t="shared" si="24"/>
        <v>0.1875</v>
      </c>
      <c r="Q199" s="7">
        <f t="shared" si="25"/>
        <v>0.8125</v>
      </c>
      <c r="T199" s="7">
        <f t="shared" si="26"/>
        <v>0.13333333333333333</v>
      </c>
      <c r="W199" s="7">
        <f t="shared" si="27"/>
        <v>0.78365384615384615</v>
      </c>
      <c r="Z199" s="7">
        <f>15/951</f>
        <v>1.5772870662460567E-2</v>
      </c>
    </row>
    <row r="200" spans="1:28" x14ac:dyDescent="0.2">
      <c r="A200">
        <v>3</v>
      </c>
      <c r="B200" t="s">
        <v>15</v>
      </c>
      <c r="C200" t="s">
        <v>19</v>
      </c>
      <c r="D200" t="s">
        <v>27</v>
      </c>
      <c r="E200" s="7">
        <v>16</v>
      </c>
      <c r="F200" s="13">
        <v>12</v>
      </c>
      <c r="G200" s="14">
        <f t="shared" si="21"/>
        <v>4</v>
      </c>
      <c r="H200" s="15">
        <v>16</v>
      </c>
      <c r="I200" s="13">
        <v>11</v>
      </c>
      <c r="J200" s="9">
        <f t="shared" si="22"/>
        <v>5</v>
      </c>
      <c r="K200" s="7">
        <f t="shared" si="23"/>
        <v>0.75</v>
      </c>
      <c r="N200" s="7">
        <f t="shared" si="24"/>
        <v>0.3125</v>
      </c>
      <c r="Q200" s="7">
        <f t="shared" si="25"/>
        <v>0.6875</v>
      </c>
      <c r="T200" s="7">
        <f t="shared" si="26"/>
        <v>0.25</v>
      </c>
      <c r="W200" s="7">
        <f t="shared" si="27"/>
        <v>0.58333333333333337</v>
      </c>
      <c r="Z200" s="7">
        <f>15/958</f>
        <v>1.5657620041753653E-2</v>
      </c>
    </row>
    <row r="201" spans="1:28" x14ac:dyDescent="0.2">
      <c r="A201">
        <v>4</v>
      </c>
      <c r="B201" t="s">
        <v>15</v>
      </c>
      <c r="C201" t="s">
        <v>19</v>
      </c>
      <c r="D201" t="s">
        <v>27</v>
      </c>
      <c r="E201" s="7">
        <v>16</v>
      </c>
      <c r="F201" s="13">
        <v>14</v>
      </c>
      <c r="G201" s="14">
        <f t="shared" si="21"/>
        <v>2</v>
      </c>
      <c r="H201" s="15">
        <v>16</v>
      </c>
      <c r="I201" s="13">
        <v>12</v>
      </c>
      <c r="J201" s="9">
        <f t="shared" si="22"/>
        <v>4</v>
      </c>
      <c r="K201" s="7">
        <f t="shared" si="23"/>
        <v>0.875</v>
      </c>
      <c r="N201" s="7">
        <f t="shared" si="24"/>
        <v>0.25</v>
      </c>
      <c r="Q201" s="7">
        <f t="shared" si="25"/>
        <v>0.75</v>
      </c>
      <c r="T201" s="7">
        <f t="shared" si="26"/>
        <v>0.125</v>
      </c>
      <c r="W201" s="7">
        <f t="shared" si="27"/>
        <v>0.7142857142857143</v>
      </c>
      <c r="Z201" s="7">
        <f>34/939</f>
        <v>3.6208732694355698E-2</v>
      </c>
    </row>
    <row r="202" spans="1:28" x14ac:dyDescent="0.2">
      <c r="A202">
        <v>5</v>
      </c>
      <c r="B202" t="s">
        <v>15</v>
      </c>
      <c r="C202" t="s">
        <v>19</v>
      </c>
      <c r="D202" t="s">
        <v>27</v>
      </c>
      <c r="E202" s="7">
        <v>17</v>
      </c>
      <c r="F202" s="13">
        <v>15</v>
      </c>
      <c r="G202" s="14">
        <f t="shared" si="21"/>
        <v>2</v>
      </c>
      <c r="H202" s="15">
        <v>15</v>
      </c>
      <c r="I202" s="13">
        <v>11</v>
      </c>
      <c r="J202" s="9">
        <f t="shared" si="22"/>
        <v>4</v>
      </c>
      <c r="K202" s="7">
        <f t="shared" si="23"/>
        <v>0.88235294117647056</v>
      </c>
      <c r="N202" s="7">
        <f t="shared" si="24"/>
        <v>0.26666666666666666</v>
      </c>
      <c r="Q202" s="7">
        <f t="shared" si="25"/>
        <v>0.73333333333333328</v>
      </c>
      <c r="T202" s="7">
        <f t="shared" si="26"/>
        <v>0.11764705882352941</v>
      </c>
      <c r="W202" s="7">
        <f t="shared" si="27"/>
        <v>0.69777777777777772</v>
      </c>
      <c r="Z202" s="7">
        <f>20/939</f>
        <v>2.1299254526091587E-2</v>
      </c>
    </row>
    <row r="203" spans="1:28" x14ac:dyDescent="0.2">
      <c r="A203">
        <v>6</v>
      </c>
      <c r="B203" t="s">
        <v>15</v>
      </c>
      <c r="C203" t="s">
        <v>19</v>
      </c>
      <c r="D203" t="s">
        <v>27</v>
      </c>
      <c r="E203" s="7">
        <v>15</v>
      </c>
      <c r="F203" s="13">
        <v>13</v>
      </c>
      <c r="G203" s="14">
        <f t="shared" si="21"/>
        <v>2</v>
      </c>
      <c r="H203" s="15">
        <v>16</v>
      </c>
      <c r="I203" s="13">
        <v>13</v>
      </c>
      <c r="J203" s="9">
        <f t="shared" si="22"/>
        <v>3</v>
      </c>
      <c r="K203" s="7">
        <f t="shared" si="23"/>
        <v>0.8666666666666667</v>
      </c>
      <c r="N203" s="7">
        <f t="shared" si="24"/>
        <v>0.1875</v>
      </c>
      <c r="Q203" s="7">
        <f t="shared" si="25"/>
        <v>0.8125</v>
      </c>
      <c r="T203" s="7">
        <f t="shared" si="26"/>
        <v>0.13333333333333333</v>
      </c>
      <c r="W203" s="7">
        <f t="shared" si="27"/>
        <v>0.78365384615384615</v>
      </c>
      <c r="Z203" s="7">
        <f>46/944</f>
        <v>4.8728813559322036E-2</v>
      </c>
    </row>
    <row r="204" spans="1:28" x14ac:dyDescent="0.2">
      <c r="A204">
        <v>7</v>
      </c>
      <c r="B204" t="s">
        <v>15</v>
      </c>
      <c r="C204" t="s">
        <v>19</v>
      </c>
      <c r="D204" t="s">
        <v>27</v>
      </c>
      <c r="E204" s="7">
        <v>16</v>
      </c>
      <c r="F204" s="13">
        <v>14</v>
      </c>
      <c r="G204" s="14">
        <f t="shared" si="21"/>
        <v>2</v>
      </c>
      <c r="H204" s="15">
        <v>16</v>
      </c>
      <c r="I204" s="13">
        <v>12</v>
      </c>
      <c r="J204" s="9">
        <f t="shared" si="22"/>
        <v>4</v>
      </c>
      <c r="K204" s="7">
        <f t="shared" si="23"/>
        <v>0.875</v>
      </c>
      <c r="N204" s="7">
        <f t="shared" si="24"/>
        <v>0.25</v>
      </c>
      <c r="Q204" s="7">
        <f t="shared" si="25"/>
        <v>0.75</v>
      </c>
      <c r="T204" s="7">
        <f t="shared" si="26"/>
        <v>0.125</v>
      </c>
      <c r="W204" s="7">
        <f t="shared" si="27"/>
        <v>0.7142857142857143</v>
      </c>
      <c r="Z204" s="7">
        <f>24/966</f>
        <v>2.4844720496894408E-2</v>
      </c>
    </row>
    <row r="205" spans="1:28" x14ac:dyDescent="0.2">
      <c r="A205">
        <v>8</v>
      </c>
      <c r="B205" t="s">
        <v>18</v>
      </c>
      <c r="C205" t="s">
        <v>19</v>
      </c>
      <c r="D205" t="s">
        <v>27</v>
      </c>
      <c r="E205" s="7">
        <v>16</v>
      </c>
      <c r="F205" s="13">
        <v>13</v>
      </c>
      <c r="G205" s="14">
        <f t="shared" si="21"/>
        <v>3</v>
      </c>
      <c r="H205" s="15">
        <v>17</v>
      </c>
      <c r="I205" s="13">
        <v>12</v>
      </c>
      <c r="J205" s="9">
        <f t="shared" si="22"/>
        <v>5</v>
      </c>
      <c r="K205" s="7">
        <f t="shared" si="23"/>
        <v>0.8125</v>
      </c>
      <c r="L205" s="8">
        <f>AVERAGE(K205:K211)</f>
        <v>0.84328231292516997</v>
      </c>
      <c r="M205" s="9">
        <f>_xlfn.STDEV.P(K205:K211)/SQRT(7)</f>
        <v>1.0236424286283045E-2</v>
      </c>
      <c r="N205" s="7">
        <f t="shared" si="24"/>
        <v>0.29411764705882354</v>
      </c>
      <c r="O205" s="8">
        <f>AVERAGE(N205:N211)</f>
        <v>0.27237394957983191</v>
      </c>
      <c r="P205" s="9">
        <f>_xlfn.STDEV.P(N205:N211)/SQRT(7)</f>
        <v>8.0582000024999548E-3</v>
      </c>
      <c r="Q205" s="7">
        <f t="shared" si="25"/>
        <v>0.70588235294117652</v>
      </c>
      <c r="R205" s="8">
        <f>AVERAGE(Q205:Q211)</f>
        <v>0.72762605042016815</v>
      </c>
      <c r="S205" s="9">
        <f>_xlfn.STDEV.P(Q205:Q211)/SQRT(7)</f>
        <v>8.0582000024999496E-3</v>
      </c>
      <c r="T205" s="7">
        <f t="shared" si="26"/>
        <v>0.1875</v>
      </c>
      <c r="U205" s="8">
        <f>AVERAGE(T205:T211)</f>
        <v>0.15671768707482991</v>
      </c>
      <c r="V205" s="9">
        <f>_xlfn.STDEV.P(T205:T211)/SQRT(7)</f>
        <v>1.0236424286283075E-2</v>
      </c>
      <c r="W205" s="7">
        <f t="shared" si="27"/>
        <v>0.63800904977375572</v>
      </c>
      <c r="X205" s="8">
        <f>AVERAGE(W205:W211)</f>
        <v>0.67606042416966794</v>
      </c>
      <c r="Y205" s="9">
        <f>_xlfn.STDEV.P(W205:W211)/SQRT(7)</f>
        <v>1.2919149460567901E-2</v>
      </c>
      <c r="Z205" s="7">
        <f>41/939</f>
        <v>4.3663471778487756E-2</v>
      </c>
      <c r="AA205" s="8">
        <f>AVERAGE(Z205:Z211)</f>
        <v>7.4968176887298621E-2</v>
      </c>
      <c r="AB205" s="9">
        <f>_xlfn.STDEV.P(Z205:Z211)/SQRT(7)</f>
        <v>1.7393244189970958E-2</v>
      </c>
    </row>
    <row r="206" spans="1:28" x14ac:dyDescent="0.2">
      <c r="A206">
        <v>9</v>
      </c>
      <c r="B206" t="s">
        <v>18</v>
      </c>
      <c r="C206" t="s">
        <v>19</v>
      </c>
      <c r="D206" t="s">
        <v>27</v>
      </c>
      <c r="E206" s="7">
        <v>15</v>
      </c>
      <c r="F206" s="13">
        <v>13</v>
      </c>
      <c r="G206" s="14">
        <f t="shared" si="21"/>
        <v>2</v>
      </c>
      <c r="H206" s="15">
        <v>15</v>
      </c>
      <c r="I206" s="13">
        <v>11</v>
      </c>
      <c r="J206" s="9">
        <f t="shared" si="22"/>
        <v>4</v>
      </c>
      <c r="K206" s="7">
        <f t="shared" si="23"/>
        <v>0.8666666666666667</v>
      </c>
      <c r="N206" s="7">
        <f t="shared" si="24"/>
        <v>0.26666666666666666</v>
      </c>
      <c r="Q206" s="7">
        <f t="shared" si="25"/>
        <v>0.73333333333333328</v>
      </c>
      <c r="T206" s="7">
        <f t="shared" si="26"/>
        <v>0.13333333333333333</v>
      </c>
      <c r="W206" s="7">
        <f t="shared" si="27"/>
        <v>0.69230769230769229</v>
      </c>
      <c r="Z206" s="7">
        <f>44/944</f>
        <v>4.6610169491525424E-2</v>
      </c>
    </row>
    <row r="207" spans="1:28" x14ac:dyDescent="0.2">
      <c r="A207">
        <v>10</v>
      </c>
      <c r="B207" t="s">
        <v>18</v>
      </c>
      <c r="C207" t="s">
        <v>19</v>
      </c>
      <c r="D207" t="s">
        <v>27</v>
      </c>
      <c r="E207" s="7">
        <v>16</v>
      </c>
      <c r="F207" s="13">
        <v>13</v>
      </c>
      <c r="G207" s="14">
        <f t="shared" si="21"/>
        <v>3</v>
      </c>
      <c r="H207" s="15">
        <v>16</v>
      </c>
      <c r="I207" s="13">
        <v>11</v>
      </c>
      <c r="J207" s="9">
        <f t="shared" si="22"/>
        <v>5</v>
      </c>
      <c r="K207" s="7">
        <f t="shared" si="23"/>
        <v>0.8125</v>
      </c>
      <c r="N207" s="7">
        <f t="shared" si="24"/>
        <v>0.3125</v>
      </c>
      <c r="Q207" s="7">
        <f t="shared" si="25"/>
        <v>0.6875</v>
      </c>
      <c r="T207" s="7">
        <f t="shared" si="26"/>
        <v>0.1875</v>
      </c>
      <c r="W207" s="7">
        <f t="shared" si="27"/>
        <v>0.61538461538461542</v>
      </c>
      <c r="Z207" s="7">
        <f>32/947</f>
        <v>3.3790918690601898E-2</v>
      </c>
    </row>
    <row r="208" spans="1:28" x14ac:dyDescent="0.2">
      <c r="A208">
        <v>11</v>
      </c>
      <c r="B208" t="s">
        <v>18</v>
      </c>
      <c r="C208" t="s">
        <v>19</v>
      </c>
      <c r="D208" t="s">
        <v>27</v>
      </c>
      <c r="E208" s="7">
        <v>14</v>
      </c>
      <c r="F208" s="13">
        <v>12</v>
      </c>
      <c r="G208" s="14">
        <f t="shared" si="21"/>
        <v>2</v>
      </c>
      <c r="H208" s="15">
        <v>16</v>
      </c>
      <c r="I208" s="13">
        <v>12</v>
      </c>
      <c r="J208" s="9">
        <f t="shared" si="22"/>
        <v>4</v>
      </c>
      <c r="K208" s="7">
        <f t="shared" si="23"/>
        <v>0.8571428571428571</v>
      </c>
      <c r="N208" s="7">
        <f t="shared" si="24"/>
        <v>0.25</v>
      </c>
      <c r="Q208" s="7">
        <f t="shared" si="25"/>
        <v>0.75</v>
      </c>
      <c r="T208" s="7">
        <f t="shared" si="26"/>
        <v>0.14285714285714285</v>
      </c>
      <c r="W208" s="7">
        <f t="shared" si="27"/>
        <v>0.70833333333333337</v>
      </c>
      <c r="Z208" s="7">
        <f>50/924</f>
        <v>5.4112554112554112E-2</v>
      </c>
    </row>
    <row r="209" spans="1:28" x14ac:dyDescent="0.2">
      <c r="A209">
        <v>12</v>
      </c>
      <c r="B209" t="s">
        <v>18</v>
      </c>
      <c r="C209" t="s">
        <v>19</v>
      </c>
      <c r="D209" t="s">
        <v>27</v>
      </c>
      <c r="E209" s="7">
        <v>15</v>
      </c>
      <c r="F209" s="13">
        <v>13</v>
      </c>
      <c r="G209" s="14">
        <f t="shared" si="21"/>
        <v>2</v>
      </c>
      <c r="H209" s="15">
        <v>15</v>
      </c>
      <c r="I209" s="13">
        <v>11</v>
      </c>
      <c r="J209" s="9">
        <f t="shared" si="22"/>
        <v>4</v>
      </c>
      <c r="K209" s="7">
        <f t="shared" si="23"/>
        <v>0.8666666666666667</v>
      </c>
      <c r="N209" s="7">
        <f t="shared" si="24"/>
        <v>0.26666666666666666</v>
      </c>
      <c r="Q209" s="7">
        <f t="shared" si="25"/>
        <v>0.73333333333333328</v>
      </c>
      <c r="T209" s="7">
        <f t="shared" si="26"/>
        <v>0.13333333333333333</v>
      </c>
      <c r="W209" s="7">
        <f t="shared" si="27"/>
        <v>0.69230769230769229</v>
      </c>
      <c r="Z209" s="7">
        <f>64/924</f>
        <v>6.9264069264069264E-2</v>
      </c>
    </row>
    <row r="210" spans="1:28" x14ac:dyDescent="0.2">
      <c r="A210">
        <v>13</v>
      </c>
      <c r="B210" t="s">
        <v>18</v>
      </c>
      <c r="C210" t="s">
        <v>19</v>
      </c>
      <c r="D210" t="s">
        <v>27</v>
      </c>
      <c r="E210" s="7">
        <v>16</v>
      </c>
      <c r="F210" s="13">
        <v>14</v>
      </c>
      <c r="G210" s="14">
        <f t="shared" si="21"/>
        <v>2</v>
      </c>
      <c r="H210" s="15">
        <v>16</v>
      </c>
      <c r="I210" s="13">
        <v>12</v>
      </c>
      <c r="J210" s="9">
        <f t="shared" si="22"/>
        <v>4</v>
      </c>
      <c r="K210" s="7">
        <f t="shared" si="23"/>
        <v>0.875</v>
      </c>
      <c r="N210" s="7">
        <f t="shared" si="24"/>
        <v>0.25</v>
      </c>
      <c r="Q210" s="7">
        <f t="shared" si="25"/>
        <v>0.75</v>
      </c>
      <c r="T210" s="7">
        <f t="shared" si="26"/>
        <v>0.125</v>
      </c>
      <c r="W210" s="7">
        <f t="shared" si="27"/>
        <v>0.7142857142857143</v>
      </c>
      <c r="Z210" s="7">
        <f>160/910</f>
        <v>0.17582417582417584</v>
      </c>
    </row>
    <row r="211" spans="1:28" x14ac:dyDescent="0.2">
      <c r="A211">
        <v>14</v>
      </c>
      <c r="B211" t="s">
        <v>18</v>
      </c>
      <c r="C211" t="s">
        <v>19</v>
      </c>
      <c r="D211" t="s">
        <v>27</v>
      </c>
      <c r="E211" s="7">
        <v>16</v>
      </c>
      <c r="F211" s="13">
        <v>13</v>
      </c>
      <c r="G211" s="14">
        <f t="shared" si="21"/>
        <v>3</v>
      </c>
      <c r="H211" s="15">
        <v>15</v>
      </c>
      <c r="I211" s="13">
        <v>11</v>
      </c>
      <c r="J211" s="9">
        <f t="shared" si="22"/>
        <v>4</v>
      </c>
      <c r="K211" s="7">
        <f t="shared" si="23"/>
        <v>0.8125</v>
      </c>
      <c r="N211" s="7">
        <f t="shared" si="24"/>
        <v>0.26666666666666666</v>
      </c>
      <c r="Q211" s="7">
        <f t="shared" si="25"/>
        <v>0.73333333333333328</v>
      </c>
      <c r="T211" s="7">
        <f t="shared" si="26"/>
        <v>0.1875</v>
      </c>
      <c r="W211" s="7">
        <f t="shared" si="27"/>
        <v>0.67179487179487174</v>
      </c>
      <c r="Z211" s="7">
        <f>94/926</f>
        <v>0.10151187904967603</v>
      </c>
    </row>
    <row r="212" spans="1:28" x14ac:dyDescent="0.2">
      <c r="A212">
        <v>1</v>
      </c>
      <c r="B212" t="s">
        <v>15</v>
      </c>
      <c r="C212" t="s">
        <v>19</v>
      </c>
      <c r="D212" t="s">
        <v>28</v>
      </c>
      <c r="E212" s="7">
        <v>17</v>
      </c>
      <c r="F212" s="13">
        <v>14</v>
      </c>
      <c r="G212" s="14">
        <f t="shared" si="21"/>
        <v>3</v>
      </c>
      <c r="H212" s="15">
        <v>16</v>
      </c>
      <c r="I212" s="13">
        <f>H212*0.75</f>
        <v>12</v>
      </c>
      <c r="J212" s="9">
        <f t="shared" si="22"/>
        <v>4</v>
      </c>
      <c r="K212" s="7">
        <f t="shared" si="23"/>
        <v>0.82352941176470584</v>
      </c>
      <c r="L212" s="8">
        <f>AVERAGE(K212:K218)</f>
        <v>0.83788515406162467</v>
      </c>
      <c r="M212" s="9">
        <f>_xlfn.STDEV.P(K212:K218)/SQRT(7)</f>
        <v>1.152953914731703E-2</v>
      </c>
      <c r="N212" s="7">
        <f t="shared" si="24"/>
        <v>0.25</v>
      </c>
      <c r="O212" s="8">
        <f>AVERAGE(N212:N218)</f>
        <v>0.24345238095238095</v>
      </c>
      <c r="P212" s="9">
        <f>_xlfn.STDEV.P(N212:N218)/SQRT(7)</f>
        <v>8.9030246768444631E-3</v>
      </c>
      <c r="Q212" s="7">
        <f t="shared" si="25"/>
        <v>0.75</v>
      </c>
      <c r="R212" s="8">
        <f>AVERAGE(Q212:Q218)</f>
        <v>0.75654761904761902</v>
      </c>
      <c r="S212" s="9">
        <f>_xlfn.STDEV.P(Q212:Q218)/SQRT(7)</f>
        <v>8.9030246768444649E-3</v>
      </c>
      <c r="T212" s="7">
        <f t="shared" si="26"/>
        <v>0.17647058823529413</v>
      </c>
      <c r="U212" s="8">
        <f>AVERAGE(T212:T218)</f>
        <v>0.16211484593837536</v>
      </c>
      <c r="V212" s="9">
        <f>_xlfn.STDEV.P(T212:T218)/SQRT(7)</f>
        <v>1.1529539147317074E-2</v>
      </c>
      <c r="W212" s="7">
        <f t="shared" si="27"/>
        <v>0.6964285714285714</v>
      </c>
      <c r="X212" s="8">
        <f>AVERAGE(W212:W218)</f>
        <v>0.70950418628990064</v>
      </c>
      <c r="Y212" s="9">
        <f>_xlfn.STDEV.P(W212:W218)/SQRT(7)</f>
        <v>9.8443630125446616E-3</v>
      </c>
      <c r="Z212" s="7">
        <f>107/934</f>
        <v>0.11456102783725911</v>
      </c>
      <c r="AA212" s="8">
        <f>AVERAGE(Z212:Z218)</f>
        <v>5.1787780816531397E-2</v>
      </c>
      <c r="AB212" s="9">
        <f>_xlfn.STDEV.P(Z212:Z218)/SQRT(7)</f>
        <v>2.376727447618085E-2</v>
      </c>
    </row>
    <row r="213" spans="1:28" x14ac:dyDescent="0.2">
      <c r="A213">
        <v>2</v>
      </c>
      <c r="B213" t="s">
        <v>15</v>
      </c>
      <c r="C213" t="s">
        <v>19</v>
      </c>
      <c r="D213" t="s">
        <v>28</v>
      </c>
      <c r="E213" s="7">
        <v>15</v>
      </c>
      <c r="F213" s="13">
        <v>13</v>
      </c>
      <c r="G213" s="14">
        <f t="shared" si="21"/>
        <v>2</v>
      </c>
      <c r="H213" s="15">
        <v>16</v>
      </c>
      <c r="I213" s="13">
        <f t="shared" ref="I213:I218" si="28">H213*0.75</f>
        <v>12</v>
      </c>
      <c r="J213" s="9">
        <f t="shared" si="22"/>
        <v>4</v>
      </c>
      <c r="K213" s="7">
        <f t="shared" si="23"/>
        <v>0.8666666666666667</v>
      </c>
      <c r="N213" s="7">
        <f t="shared" si="24"/>
        <v>0.25</v>
      </c>
      <c r="Q213" s="7">
        <f t="shared" si="25"/>
        <v>0.75</v>
      </c>
      <c r="T213" s="7">
        <f t="shared" si="26"/>
        <v>0.13333333333333333</v>
      </c>
      <c r="W213" s="7">
        <f t="shared" si="27"/>
        <v>0.71153846153846156</v>
      </c>
      <c r="Z213" s="7">
        <f>165/920</f>
        <v>0.17934782608695651</v>
      </c>
    </row>
    <row r="214" spans="1:28" x14ac:dyDescent="0.2">
      <c r="A214">
        <v>3</v>
      </c>
      <c r="B214" t="s">
        <v>15</v>
      </c>
      <c r="C214" t="s">
        <v>19</v>
      </c>
      <c r="D214" t="s">
        <v>28</v>
      </c>
      <c r="E214" s="7">
        <v>16</v>
      </c>
      <c r="F214" s="13">
        <v>13</v>
      </c>
      <c r="G214" s="14">
        <f t="shared" si="21"/>
        <v>3</v>
      </c>
      <c r="H214" s="15">
        <v>16</v>
      </c>
      <c r="I214" s="13">
        <v>13</v>
      </c>
      <c r="J214" s="9">
        <f t="shared" si="22"/>
        <v>3</v>
      </c>
      <c r="K214" s="7">
        <f t="shared" si="23"/>
        <v>0.8125</v>
      </c>
      <c r="N214" s="7">
        <f t="shared" si="24"/>
        <v>0.1875</v>
      </c>
      <c r="Q214" s="7">
        <f t="shared" si="25"/>
        <v>0.8125</v>
      </c>
      <c r="T214" s="7">
        <f t="shared" si="26"/>
        <v>0.1875</v>
      </c>
      <c r="W214" s="7">
        <f t="shared" si="27"/>
        <v>0.76923076923076927</v>
      </c>
      <c r="Z214" s="7">
        <f>6/907</f>
        <v>6.615214994487321E-3</v>
      </c>
    </row>
    <row r="215" spans="1:28" x14ac:dyDescent="0.2">
      <c r="A215">
        <v>4</v>
      </c>
      <c r="B215" t="s">
        <v>15</v>
      </c>
      <c r="C215" t="s">
        <v>19</v>
      </c>
      <c r="D215" t="s">
        <v>28</v>
      </c>
      <c r="E215" s="7">
        <v>16</v>
      </c>
      <c r="F215" s="13">
        <v>14</v>
      </c>
      <c r="G215" s="14">
        <f t="shared" si="21"/>
        <v>2</v>
      </c>
      <c r="H215" s="15">
        <v>16</v>
      </c>
      <c r="I215" s="13">
        <f t="shared" si="28"/>
        <v>12</v>
      </c>
      <c r="J215" s="9">
        <f t="shared" si="22"/>
        <v>4</v>
      </c>
      <c r="K215" s="7">
        <f t="shared" si="23"/>
        <v>0.875</v>
      </c>
      <c r="N215" s="7">
        <f t="shared" si="24"/>
        <v>0.25</v>
      </c>
      <c r="Q215" s="7">
        <f t="shared" si="25"/>
        <v>0.75</v>
      </c>
      <c r="T215" s="7">
        <f t="shared" si="26"/>
        <v>0.125</v>
      </c>
      <c r="W215" s="7">
        <f t="shared" si="27"/>
        <v>0.7142857142857143</v>
      </c>
      <c r="Z215" s="7">
        <f>10/910</f>
        <v>1.098901098901099E-2</v>
      </c>
    </row>
    <row r="216" spans="1:28" x14ac:dyDescent="0.2">
      <c r="A216">
        <v>5</v>
      </c>
      <c r="B216" t="s">
        <v>15</v>
      </c>
      <c r="C216" t="s">
        <v>19</v>
      </c>
      <c r="D216" t="s">
        <v>28</v>
      </c>
      <c r="E216" s="7">
        <v>15</v>
      </c>
      <c r="F216" s="13">
        <v>12</v>
      </c>
      <c r="G216" s="14">
        <f t="shared" si="21"/>
        <v>3</v>
      </c>
      <c r="H216" s="15">
        <v>16</v>
      </c>
      <c r="I216" s="13">
        <f t="shared" si="28"/>
        <v>12</v>
      </c>
      <c r="J216" s="9">
        <f t="shared" si="22"/>
        <v>4</v>
      </c>
      <c r="K216" s="7">
        <f t="shared" si="23"/>
        <v>0.8</v>
      </c>
      <c r="N216" s="7">
        <f t="shared" si="24"/>
        <v>0.25</v>
      </c>
      <c r="Q216" s="7">
        <f t="shared" si="25"/>
        <v>0.75</v>
      </c>
      <c r="T216" s="7">
        <f t="shared" si="26"/>
        <v>0.2</v>
      </c>
      <c r="W216" s="7">
        <f t="shared" si="27"/>
        <v>0.6875</v>
      </c>
      <c r="Z216" s="7">
        <f>12/929</f>
        <v>1.2917115177610334E-2</v>
      </c>
    </row>
    <row r="217" spans="1:28" x14ac:dyDescent="0.2">
      <c r="A217">
        <v>6</v>
      </c>
      <c r="B217" t="s">
        <v>15</v>
      </c>
      <c r="C217" t="s">
        <v>19</v>
      </c>
      <c r="D217" t="s">
        <v>28</v>
      </c>
      <c r="E217" s="7">
        <v>16</v>
      </c>
      <c r="F217" s="13">
        <v>14</v>
      </c>
      <c r="G217" s="14">
        <f t="shared" si="21"/>
        <v>2</v>
      </c>
      <c r="H217" s="15">
        <v>15</v>
      </c>
      <c r="I217" s="13">
        <v>11</v>
      </c>
      <c r="J217" s="9">
        <f t="shared" si="22"/>
        <v>4</v>
      </c>
      <c r="K217" s="7">
        <f t="shared" si="23"/>
        <v>0.875</v>
      </c>
      <c r="N217" s="7">
        <f t="shared" si="24"/>
        <v>0.26666666666666666</v>
      </c>
      <c r="Q217" s="7">
        <f t="shared" si="25"/>
        <v>0.73333333333333328</v>
      </c>
      <c r="T217" s="7">
        <f t="shared" si="26"/>
        <v>0.125</v>
      </c>
      <c r="W217" s="7">
        <f t="shared" si="27"/>
        <v>0.69523809523809521</v>
      </c>
      <c r="Z217" s="7">
        <f>24/911</f>
        <v>2.6344676180021953E-2</v>
      </c>
    </row>
    <row r="218" spans="1:28" x14ac:dyDescent="0.2">
      <c r="A218">
        <v>7</v>
      </c>
      <c r="B218" t="s">
        <v>15</v>
      </c>
      <c r="C218" t="s">
        <v>19</v>
      </c>
      <c r="D218" t="s">
        <v>28</v>
      </c>
      <c r="E218" s="7">
        <v>16</v>
      </c>
      <c r="F218" s="13">
        <v>13</v>
      </c>
      <c r="G218" s="14">
        <f t="shared" si="21"/>
        <v>3</v>
      </c>
      <c r="H218" s="15">
        <v>16</v>
      </c>
      <c r="I218" s="13">
        <f t="shared" si="28"/>
        <v>12</v>
      </c>
      <c r="J218" s="9">
        <f t="shared" si="22"/>
        <v>4</v>
      </c>
      <c r="K218" s="7">
        <f t="shared" si="23"/>
        <v>0.8125</v>
      </c>
      <c r="N218" s="7">
        <f t="shared" si="24"/>
        <v>0.25</v>
      </c>
      <c r="Q218" s="7">
        <f t="shared" si="25"/>
        <v>0.75</v>
      </c>
      <c r="T218" s="7">
        <f t="shared" si="26"/>
        <v>0.1875</v>
      </c>
      <c r="W218" s="7">
        <f t="shared" si="27"/>
        <v>0.69230769230769229</v>
      </c>
      <c r="Z218" s="7">
        <f>11/937</f>
        <v>1.1739594450373533E-2</v>
      </c>
    </row>
    <row r="219" spans="1:28" x14ac:dyDescent="0.2">
      <c r="A219">
        <v>8</v>
      </c>
      <c r="B219" t="s">
        <v>18</v>
      </c>
      <c r="C219" t="s">
        <v>19</v>
      </c>
      <c r="D219" t="s">
        <v>28</v>
      </c>
      <c r="E219" s="7">
        <v>17</v>
      </c>
      <c r="F219" s="13">
        <v>15</v>
      </c>
      <c r="G219" s="14">
        <f t="shared" si="21"/>
        <v>2</v>
      </c>
      <c r="H219" s="15">
        <v>16</v>
      </c>
      <c r="I219" s="13">
        <v>12</v>
      </c>
      <c r="J219" s="9">
        <f t="shared" si="22"/>
        <v>4</v>
      </c>
      <c r="K219" s="7">
        <f t="shared" si="23"/>
        <v>0.88235294117647056</v>
      </c>
      <c r="L219" s="8">
        <f>AVERAGE(K219:K225)</f>
        <v>0.86474089635854334</v>
      </c>
      <c r="M219" s="9">
        <f>_xlfn.STDEV.P(K219:K225)/SQRT(7)</f>
        <v>8.2838177387966391E-3</v>
      </c>
      <c r="N219" s="7">
        <f t="shared" si="24"/>
        <v>0.25</v>
      </c>
      <c r="O219" s="8">
        <f>AVERAGE(N219:N225)</f>
        <v>0.24373249299719887</v>
      </c>
      <c r="P219" s="9">
        <f>_xlfn.STDEV.P(N219:N225)/SQRT(7)</f>
        <v>9.4794051986861194E-3</v>
      </c>
      <c r="Q219" s="7">
        <f t="shared" si="25"/>
        <v>0.75</v>
      </c>
      <c r="R219" s="8">
        <f>AVERAGE(Q219:Q225)</f>
        <v>0.7562675070028011</v>
      </c>
      <c r="S219" s="9">
        <f>_xlfn.STDEV.P(Q219:Q225)/SQRT(7)</f>
        <v>9.4794051986861038E-3</v>
      </c>
      <c r="T219" s="7">
        <f t="shared" si="26"/>
        <v>0.11764705882352941</v>
      </c>
      <c r="U219" s="8">
        <f>AVERAGE(T219:T225)</f>
        <v>0.13525910364145657</v>
      </c>
      <c r="V219" s="9">
        <f>_xlfn.STDEV.P(T219:T225)/SQRT(7)</f>
        <v>8.2838177387966512E-3</v>
      </c>
      <c r="W219" s="7">
        <f t="shared" si="27"/>
        <v>0.71666666666666667</v>
      </c>
      <c r="X219" s="8">
        <f>AVERAGE(W219:W225)</f>
        <v>0.71867208421830264</v>
      </c>
      <c r="Y219" s="9">
        <f>_xlfn.STDEV.P(W219:W225)/SQRT(7)</f>
        <v>8.8356377266812659E-3</v>
      </c>
      <c r="Z219" s="7">
        <f>35/948</f>
        <v>3.6919831223628692E-2</v>
      </c>
      <c r="AA219" s="8">
        <f>AVERAGE(Z219:Z225)</f>
        <v>2.4121372689248324E-2</v>
      </c>
      <c r="AB219" s="9">
        <f>_xlfn.STDEV.P(Z219:Z225)/SQRT(7)</f>
        <v>5.8712584537470112E-3</v>
      </c>
    </row>
    <row r="220" spans="1:28" x14ac:dyDescent="0.2">
      <c r="A220">
        <v>9</v>
      </c>
      <c r="B220" t="s">
        <v>18</v>
      </c>
      <c r="C220" t="s">
        <v>19</v>
      </c>
      <c r="D220" t="s">
        <v>28</v>
      </c>
      <c r="E220" s="7">
        <v>15</v>
      </c>
      <c r="F220" s="13">
        <v>13</v>
      </c>
      <c r="G220" s="14">
        <f t="shared" ref="G220:G283" si="29">E220-F220</f>
        <v>2</v>
      </c>
      <c r="H220" s="15">
        <v>17</v>
      </c>
      <c r="I220" s="13">
        <v>13</v>
      </c>
      <c r="J220" s="9">
        <f t="shared" ref="J220:J283" si="30">H220-I220</f>
        <v>4</v>
      </c>
      <c r="K220" s="7">
        <f t="shared" si="23"/>
        <v>0.8666666666666667</v>
      </c>
      <c r="N220" s="7">
        <f t="shared" si="24"/>
        <v>0.23529411764705882</v>
      </c>
      <c r="Q220" s="7">
        <f t="shared" si="25"/>
        <v>0.76470588235294112</v>
      </c>
      <c r="T220" s="7">
        <f t="shared" si="26"/>
        <v>0.13333333333333333</v>
      </c>
      <c r="W220" s="7">
        <f t="shared" si="27"/>
        <v>0.72850678733031671</v>
      </c>
      <c r="Z220" s="7">
        <f>3/936</f>
        <v>3.205128205128205E-3</v>
      </c>
    </row>
    <row r="221" spans="1:28" x14ac:dyDescent="0.2">
      <c r="A221">
        <v>10</v>
      </c>
      <c r="B221" t="s">
        <v>18</v>
      </c>
      <c r="C221" t="s">
        <v>19</v>
      </c>
      <c r="D221" t="s">
        <v>28</v>
      </c>
      <c r="E221" s="7">
        <v>16</v>
      </c>
      <c r="F221" s="13">
        <v>14</v>
      </c>
      <c r="G221" s="14">
        <f t="shared" si="29"/>
        <v>2</v>
      </c>
      <c r="H221" s="15">
        <v>15</v>
      </c>
      <c r="I221" s="13">
        <v>11</v>
      </c>
      <c r="J221" s="9">
        <f t="shared" si="30"/>
        <v>4</v>
      </c>
      <c r="K221" s="7">
        <f t="shared" si="23"/>
        <v>0.875</v>
      </c>
      <c r="N221" s="7">
        <f t="shared" si="24"/>
        <v>0.26666666666666666</v>
      </c>
      <c r="Q221" s="7">
        <f t="shared" si="25"/>
        <v>0.73333333333333328</v>
      </c>
      <c r="T221" s="7">
        <f t="shared" si="26"/>
        <v>0.125</v>
      </c>
      <c r="W221" s="7">
        <f t="shared" si="27"/>
        <v>0.69523809523809521</v>
      </c>
      <c r="Z221" s="7">
        <f>14/952</f>
        <v>1.4705882352941176E-2</v>
      </c>
    </row>
    <row r="222" spans="1:28" x14ac:dyDescent="0.2">
      <c r="A222">
        <v>11</v>
      </c>
      <c r="B222" t="s">
        <v>18</v>
      </c>
      <c r="C222" t="s">
        <v>19</v>
      </c>
      <c r="D222" t="s">
        <v>28</v>
      </c>
      <c r="E222" s="7">
        <v>16</v>
      </c>
      <c r="F222" s="13">
        <v>13</v>
      </c>
      <c r="G222" s="14">
        <f t="shared" si="29"/>
        <v>3</v>
      </c>
      <c r="H222" s="15">
        <v>16</v>
      </c>
      <c r="I222" s="13">
        <v>13</v>
      </c>
      <c r="J222" s="9">
        <f t="shared" si="30"/>
        <v>3</v>
      </c>
      <c r="K222" s="7">
        <f t="shared" si="23"/>
        <v>0.8125</v>
      </c>
      <c r="N222" s="7">
        <f t="shared" si="24"/>
        <v>0.1875</v>
      </c>
      <c r="Q222" s="7">
        <f t="shared" si="25"/>
        <v>0.8125</v>
      </c>
      <c r="T222" s="7">
        <f t="shared" si="26"/>
        <v>0.1875</v>
      </c>
      <c r="W222" s="7">
        <f t="shared" si="27"/>
        <v>0.76923076923076927</v>
      </c>
      <c r="Z222" s="7">
        <f>9/960</f>
        <v>9.3749999999999997E-3</v>
      </c>
    </row>
    <row r="223" spans="1:28" x14ac:dyDescent="0.2">
      <c r="A223">
        <v>12</v>
      </c>
      <c r="B223" t="s">
        <v>18</v>
      </c>
      <c r="C223" t="s">
        <v>19</v>
      </c>
      <c r="D223" t="s">
        <v>28</v>
      </c>
      <c r="E223" s="7">
        <v>15</v>
      </c>
      <c r="F223" s="13">
        <v>13</v>
      </c>
      <c r="G223" s="14">
        <f t="shared" si="29"/>
        <v>2</v>
      </c>
      <c r="H223" s="15">
        <v>16</v>
      </c>
      <c r="I223" s="13">
        <v>12</v>
      </c>
      <c r="J223" s="9">
        <f t="shared" si="30"/>
        <v>4</v>
      </c>
      <c r="K223" s="7">
        <f t="shared" si="23"/>
        <v>0.8666666666666667</v>
      </c>
      <c r="N223" s="7">
        <f t="shared" si="24"/>
        <v>0.25</v>
      </c>
      <c r="Q223" s="7">
        <f t="shared" si="25"/>
        <v>0.75</v>
      </c>
      <c r="T223" s="7">
        <f t="shared" si="26"/>
        <v>0.13333333333333333</v>
      </c>
      <c r="W223" s="7">
        <f t="shared" si="27"/>
        <v>0.71153846153846156</v>
      </c>
      <c r="Z223" s="7">
        <f>17/949</f>
        <v>1.7913593256059009E-2</v>
      </c>
    </row>
    <row r="224" spans="1:28" x14ac:dyDescent="0.2">
      <c r="A224">
        <v>13</v>
      </c>
      <c r="B224" t="s">
        <v>18</v>
      </c>
      <c r="C224" t="s">
        <v>19</v>
      </c>
      <c r="D224" t="s">
        <v>28</v>
      </c>
      <c r="E224" s="7">
        <v>16</v>
      </c>
      <c r="F224" s="13">
        <v>14</v>
      </c>
      <c r="G224" s="14">
        <f t="shared" si="29"/>
        <v>2</v>
      </c>
      <c r="H224" s="15">
        <v>15</v>
      </c>
      <c r="I224" s="13">
        <v>11</v>
      </c>
      <c r="J224" s="9">
        <f t="shared" si="30"/>
        <v>4</v>
      </c>
      <c r="K224" s="7">
        <f t="shared" si="23"/>
        <v>0.875</v>
      </c>
      <c r="N224" s="7">
        <f t="shared" si="24"/>
        <v>0.26666666666666666</v>
      </c>
      <c r="Q224" s="7">
        <f t="shared" si="25"/>
        <v>0.73333333333333328</v>
      </c>
      <c r="T224" s="7">
        <f t="shared" si="26"/>
        <v>0.125</v>
      </c>
      <c r="W224" s="7">
        <f t="shared" si="27"/>
        <v>0.69523809523809521</v>
      </c>
      <c r="Z224" s="7">
        <f>40/947</f>
        <v>4.2238648363252376E-2</v>
      </c>
    </row>
    <row r="225" spans="1:28" x14ac:dyDescent="0.2">
      <c r="A225">
        <v>14</v>
      </c>
      <c r="B225" t="s">
        <v>18</v>
      </c>
      <c r="C225" t="s">
        <v>19</v>
      </c>
      <c r="D225" t="s">
        <v>28</v>
      </c>
      <c r="E225" s="7">
        <v>16</v>
      </c>
      <c r="F225" s="13">
        <v>14</v>
      </c>
      <c r="G225" s="14">
        <f t="shared" si="29"/>
        <v>2</v>
      </c>
      <c r="H225" s="15">
        <v>16</v>
      </c>
      <c r="I225" s="13">
        <v>12</v>
      </c>
      <c r="J225" s="9">
        <f t="shared" si="30"/>
        <v>4</v>
      </c>
      <c r="K225" s="7">
        <f t="shared" si="23"/>
        <v>0.875</v>
      </c>
      <c r="N225" s="7">
        <f t="shared" si="24"/>
        <v>0.25</v>
      </c>
      <c r="Q225" s="7">
        <f t="shared" si="25"/>
        <v>0.75</v>
      </c>
      <c r="T225" s="7">
        <f t="shared" si="26"/>
        <v>0.125</v>
      </c>
      <c r="W225" s="7">
        <f t="shared" si="27"/>
        <v>0.7142857142857143</v>
      </c>
      <c r="Z225" s="7">
        <f>42/944</f>
        <v>4.4491525423728813E-2</v>
      </c>
    </row>
    <row r="226" spans="1:28" x14ac:dyDescent="0.2">
      <c r="A226">
        <v>1</v>
      </c>
      <c r="B226" t="s">
        <v>15</v>
      </c>
      <c r="C226" t="s">
        <v>19</v>
      </c>
      <c r="D226" t="s">
        <v>29</v>
      </c>
      <c r="E226" s="7">
        <v>17</v>
      </c>
      <c r="F226" s="13">
        <v>14</v>
      </c>
      <c r="G226" s="14">
        <f t="shared" si="29"/>
        <v>3</v>
      </c>
      <c r="H226" s="15">
        <v>16</v>
      </c>
      <c r="I226" s="13">
        <v>12</v>
      </c>
      <c r="J226" s="9">
        <f t="shared" si="30"/>
        <v>4</v>
      </c>
      <c r="K226" s="7">
        <f t="shared" si="23"/>
        <v>0.82352941176470584</v>
      </c>
      <c r="L226" s="8">
        <f>AVERAGE(K226:K232)</f>
        <v>0.82762605042016812</v>
      </c>
      <c r="M226" s="9">
        <f>_xlfn.STDEV.P(K226:K232)/SQRT(7)</f>
        <v>1.259616033631096E-2</v>
      </c>
      <c r="N226" s="7">
        <f t="shared" si="24"/>
        <v>0.25</v>
      </c>
      <c r="O226" s="8">
        <f>AVERAGE(N226:N232)</f>
        <v>0.23480392156862745</v>
      </c>
      <c r="P226" s="9">
        <f>_xlfn.STDEV.P(N226:N232)/SQRT(7)</f>
        <v>1.1924826558005558E-2</v>
      </c>
      <c r="Q226" s="7">
        <f t="shared" si="25"/>
        <v>0.75</v>
      </c>
      <c r="R226" s="8">
        <f>AVERAGE(Q226:Q232)</f>
        <v>0.76519607843137261</v>
      </c>
      <c r="S226" s="9">
        <f>_xlfn.STDEV.P(Q226:Q232)/SQRT(7)</f>
        <v>1.1924826558005478E-2</v>
      </c>
      <c r="T226" s="7">
        <f t="shared" si="26"/>
        <v>0.17647058823529413</v>
      </c>
      <c r="U226" s="8">
        <f>AVERAGE(T226:T232)</f>
        <v>0.17237394957983193</v>
      </c>
      <c r="V226" s="9">
        <f>_xlfn.STDEV.P(T226:T232)/SQRT(7)</f>
        <v>1.2596160336311E-2</v>
      </c>
      <c r="W226" s="7">
        <f t="shared" si="27"/>
        <v>0.6964285714285714</v>
      </c>
      <c r="X226" s="8">
        <f>AVERAGE(W226:W232)</f>
        <v>0.71529467556253279</v>
      </c>
      <c r="Y226" s="9">
        <f>_xlfn.STDEV.P(W226:W232)/SQRT(7)</f>
        <v>1.6414805585388537E-2</v>
      </c>
      <c r="Z226" s="7">
        <f>29/941</f>
        <v>3.0818278427205102E-2</v>
      </c>
      <c r="AA226" s="8">
        <f>AVERAGE(Z226:Z232)</f>
        <v>2.9262708461201169E-2</v>
      </c>
      <c r="AB226" s="9">
        <f>_xlfn.STDEV.P(Z226:Z232)/SQRT(7)</f>
        <v>2.3163051729313973E-3</v>
      </c>
    </row>
    <row r="227" spans="1:28" x14ac:dyDescent="0.2">
      <c r="A227">
        <v>2</v>
      </c>
      <c r="B227" t="s">
        <v>15</v>
      </c>
      <c r="C227" t="s">
        <v>19</v>
      </c>
      <c r="D227" t="s">
        <v>29</v>
      </c>
      <c r="E227" s="7">
        <v>15</v>
      </c>
      <c r="F227" s="13">
        <v>12</v>
      </c>
      <c r="G227" s="14">
        <f t="shared" si="29"/>
        <v>3</v>
      </c>
      <c r="H227" s="15">
        <v>16</v>
      </c>
      <c r="I227" s="13">
        <v>13</v>
      </c>
      <c r="J227" s="9">
        <f t="shared" si="30"/>
        <v>3</v>
      </c>
      <c r="K227" s="7">
        <f t="shared" si="23"/>
        <v>0.8</v>
      </c>
      <c r="N227" s="7">
        <f t="shared" si="24"/>
        <v>0.1875</v>
      </c>
      <c r="Q227" s="7">
        <f t="shared" si="25"/>
        <v>0.8125</v>
      </c>
      <c r="T227" s="7">
        <f t="shared" si="26"/>
        <v>0.2</v>
      </c>
      <c r="W227" s="7">
        <f t="shared" si="27"/>
        <v>0.765625</v>
      </c>
      <c r="Z227" s="7">
        <f>22/941</f>
        <v>2.3379383634431455E-2</v>
      </c>
    </row>
    <row r="228" spans="1:28" x14ac:dyDescent="0.2">
      <c r="A228">
        <v>3</v>
      </c>
      <c r="B228" t="s">
        <v>15</v>
      </c>
      <c r="C228" t="s">
        <v>19</v>
      </c>
      <c r="D228" t="s">
        <v>29</v>
      </c>
      <c r="E228" s="7">
        <v>16</v>
      </c>
      <c r="F228" s="13">
        <v>13</v>
      </c>
      <c r="G228" s="14">
        <f t="shared" si="29"/>
        <v>3</v>
      </c>
      <c r="H228" s="15">
        <v>15</v>
      </c>
      <c r="I228" s="13">
        <v>11</v>
      </c>
      <c r="J228" s="9">
        <f t="shared" si="30"/>
        <v>4</v>
      </c>
      <c r="K228" s="7">
        <f t="shared" si="23"/>
        <v>0.8125</v>
      </c>
      <c r="N228" s="7">
        <f t="shared" si="24"/>
        <v>0.26666666666666666</v>
      </c>
      <c r="Q228" s="7">
        <f t="shared" si="25"/>
        <v>0.73333333333333328</v>
      </c>
      <c r="T228" s="7">
        <f t="shared" si="26"/>
        <v>0.1875</v>
      </c>
      <c r="W228" s="7">
        <f t="shared" si="27"/>
        <v>0.67179487179487174</v>
      </c>
      <c r="Z228" s="7">
        <f>19/933</f>
        <v>2.0364415862808145E-2</v>
      </c>
    </row>
    <row r="229" spans="1:28" x14ac:dyDescent="0.2">
      <c r="A229">
        <v>4</v>
      </c>
      <c r="B229" t="s">
        <v>15</v>
      </c>
      <c r="C229" t="s">
        <v>19</v>
      </c>
      <c r="D229" t="s">
        <v>29</v>
      </c>
      <c r="E229" s="7">
        <v>16</v>
      </c>
      <c r="F229" s="13">
        <v>14</v>
      </c>
      <c r="G229" s="14">
        <f t="shared" si="29"/>
        <v>2</v>
      </c>
      <c r="H229" s="15">
        <v>16</v>
      </c>
      <c r="I229" s="13">
        <v>13</v>
      </c>
      <c r="J229" s="9">
        <f t="shared" si="30"/>
        <v>3</v>
      </c>
      <c r="K229" s="7">
        <f t="shared" si="23"/>
        <v>0.875</v>
      </c>
      <c r="N229" s="7">
        <f t="shared" si="24"/>
        <v>0.1875</v>
      </c>
      <c r="Q229" s="7">
        <f t="shared" si="25"/>
        <v>0.8125</v>
      </c>
      <c r="T229" s="7">
        <f t="shared" si="26"/>
        <v>0.125</v>
      </c>
      <c r="W229" s="7">
        <f t="shared" si="27"/>
        <v>0.7857142857142857</v>
      </c>
      <c r="Z229" s="7">
        <f>23/964</f>
        <v>2.3858921161825725E-2</v>
      </c>
    </row>
    <row r="230" spans="1:28" x14ac:dyDescent="0.2">
      <c r="A230">
        <v>5</v>
      </c>
      <c r="B230" t="s">
        <v>15</v>
      </c>
      <c r="C230" t="s">
        <v>19</v>
      </c>
      <c r="D230" t="s">
        <v>29</v>
      </c>
      <c r="E230" s="7">
        <v>15</v>
      </c>
      <c r="F230" s="13">
        <v>12</v>
      </c>
      <c r="G230" s="14">
        <f t="shared" si="29"/>
        <v>3</v>
      </c>
      <c r="H230" s="15">
        <v>16</v>
      </c>
      <c r="I230" s="13">
        <v>12</v>
      </c>
      <c r="J230" s="9">
        <f t="shared" si="30"/>
        <v>4</v>
      </c>
      <c r="K230" s="7">
        <f t="shared" si="23"/>
        <v>0.8</v>
      </c>
      <c r="N230" s="7">
        <f t="shared" si="24"/>
        <v>0.25</v>
      </c>
      <c r="Q230" s="7">
        <f t="shared" si="25"/>
        <v>0.75</v>
      </c>
      <c r="T230" s="7">
        <f t="shared" si="26"/>
        <v>0.2</v>
      </c>
      <c r="W230" s="7">
        <f t="shared" si="27"/>
        <v>0.6875</v>
      </c>
      <c r="Z230" s="7">
        <f>33/935</f>
        <v>3.5294117647058823E-2</v>
      </c>
    </row>
    <row r="231" spans="1:28" x14ac:dyDescent="0.2">
      <c r="A231">
        <v>6</v>
      </c>
      <c r="B231" t="s">
        <v>15</v>
      </c>
      <c r="C231" t="s">
        <v>19</v>
      </c>
      <c r="D231" t="s">
        <v>29</v>
      </c>
      <c r="E231" s="7">
        <v>17</v>
      </c>
      <c r="F231" s="13">
        <v>15</v>
      </c>
      <c r="G231" s="14">
        <f t="shared" si="29"/>
        <v>2</v>
      </c>
      <c r="H231" s="15">
        <v>17</v>
      </c>
      <c r="I231" s="13">
        <v>13</v>
      </c>
      <c r="J231" s="9">
        <f t="shared" si="30"/>
        <v>4</v>
      </c>
      <c r="K231" s="7">
        <f t="shared" si="23"/>
        <v>0.88235294117647056</v>
      </c>
      <c r="N231" s="7">
        <f t="shared" si="24"/>
        <v>0.23529411764705882</v>
      </c>
      <c r="Q231" s="7">
        <f t="shared" si="25"/>
        <v>0.76470588235294112</v>
      </c>
      <c r="T231" s="7">
        <f t="shared" si="26"/>
        <v>0.11764705882352941</v>
      </c>
      <c r="W231" s="7">
        <f t="shared" si="27"/>
        <v>0.73333333333333328</v>
      </c>
      <c r="Z231" s="7">
        <f>35/959</f>
        <v>3.6496350364963501E-2</v>
      </c>
    </row>
    <row r="232" spans="1:28" x14ac:dyDescent="0.2">
      <c r="A232">
        <v>7</v>
      </c>
      <c r="B232" t="s">
        <v>15</v>
      </c>
      <c r="C232" t="s">
        <v>19</v>
      </c>
      <c r="D232" t="s">
        <v>29</v>
      </c>
      <c r="E232" s="7">
        <v>15</v>
      </c>
      <c r="F232" s="13">
        <v>12</v>
      </c>
      <c r="G232" s="14">
        <f t="shared" si="29"/>
        <v>3</v>
      </c>
      <c r="H232" s="15">
        <v>15</v>
      </c>
      <c r="I232" s="13">
        <v>11</v>
      </c>
      <c r="J232" s="9">
        <f t="shared" si="30"/>
        <v>4</v>
      </c>
      <c r="K232" s="7">
        <f t="shared" si="23"/>
        <v>0.8</v>
      </c>
      <c r="N232" s="7">
        <f t="shared" si="24"/>
        <v>0.26666666666666666</v>
      </c>
      <c r="Q232" s="7">
        <f t="shared" si="25"/>
        <v>0.73333333333333328</v>
      </c>
      <c r="T232" s="7">
        <f t="shared" si="26"/>
        <v>0.2</v>
      </c>
      <c r="W232" s="7">
        <f t="shared" si="27"/>
        <v>0.66666666666666652</v>
      </c>
      <c r="Z232" s="7">
        <f>33/953</f>
        <v>3.4627492130115428E-2</v>
      </c>
    </row>
    <row r="233" spans="1:28" x14ac:dyDescent="0.2">
      <c r="A233">
        <v>8</v>
      </c>
      <c r="B233" t="s">
        <v>18</v>
      </c>
      <c r="C233" t="s">
        <v>19</v>
      </c>
      <c r="D233" t="s">
        <v>29</v>
      </c>
      <c r="E233" s="7">
        <v>16</v>
      </c>
      <c r="F233" s="13">
        <v>14</v>
      </c>
      <c r="G233" s="14">
        <f t="shared" si="29"/>
        <v>2</v>
      </c>
      <c r="H233" s="15">
        <v>16</v>
      </c>
      <c r="I233" s="13">
        <v>13</v>
      </c>
      <c r="J233" s="9">
        <f t="shared" si="30"/>
        <v>3</v>
      </c>
      <c r="K233" s="7">
        <f t="shared" si="23"/>
        <v>0.875</v>
      </c>
      <c r="L233" s="8">
        <f>AVERAGE(K233:K239)</f>
        <v>0.87261904761904763</v>
      </c>
      <c r="M233" s="9">
        <f>_xlfn.STDEV.P(K233:K239)/SQRT(7)</f>
        <v>1.4228912015885587E-3</v>
      </c>
      <c r="N233" s="7">
        <f t="shared" si="24"/>
        <v>0.1875</v>
      </c>
      <c r="O233" s="8">
        <f>AVERAGE(N233:N239)</f>
        <v>0.20714285714285713</v>
      </c>
      <c r="P233" s="9">
        <f>_xlfn.STDEV.P(N233:N239)/SQRT(7)</f>
        <v>1.036857215964369E-2</v>
      </c>
      <c r="Q233" s="7">
        <f t="shared" si="25"/>
        <v>0.8125</v>
      </c>
      <c r="R233" s="8">
        <f>AVERAGE(Q233:Q239)</f>
        <v>0.79285714285714282</v>
      </c>
      <c r="S233" s="9">
        <f>_xlfn.STDEV.P(Q233:Q239)/SQRT(7)</f>
        <v>1.0368572159643662E-2</v>
      </c>
      <c r="T233" s="7">
        <f t="shared" si="26"/>
        <v>0.125</v>
      </c>
      <c r="U233" s="8">
        <f>AVERAGE(T233:T239)</f>
        <v>0.12738095238095237</v>
      </c>
      <c r="V233" s="9">
        <f>_xlfn.STDEV.P(T233:T239)/SQRT(7)</f>
        <v>1.4228912015885635E-3</v>
      </c>
      <c r="W233" s="7">
        <f t="shared" si="27"/>
        <v>0.7857142857142857</v>
      </c>
      <c r="X233" s="8">
        <f>AVERAGE(W233:W239)</f>
        <v>0.76257849293563584</v>
      </c>
      <c r="Y233" s="9">
        <f>_xlfn.STDEV.P(W233:W239)/SQRT(7)</f>
        <v>1.2008131938397535E-2</v>
      </c>
      <c r="Z233" s="7">
        <f>66/945</f>
        <v>6.9841269841269843E-2</v>
      </c>
      <c r="AA233" s="8">
        <f>AVERAGE(Z233:Z239)</f>
        <v>6.3178300404669249E-2</v>
      </c>
      <c r="AB233" s="9">
        <f>_xlfn.STDEV.P(Z233:Z239)/SQRT(7)</f>
        <v>1.1273156966446499E-2</v>
      </c>
    </row>
    <row r="234" spans="1:28" x14ac:dyDescent="0.2">
      <c r="A234">
        <v>9</v>
      </c>
      <c r="B234" t="s">
        <v>18</v>
      </c>
      <c r="C234" t="s">
        <v>19</v>
      </c>
      <c r="D234" t="s">
        <v>29</v>
      </c>
      <c r="E234" s="7">
        <v>15</v>
      </c>
      <c r="F234" s="13">
        <v>13</v>
      </c>
      <c r="G234" s="14">
        <f t="shared" si="29"/>
        <v>2</v>
      </c>
      <c r="H234" s="15">
        <v>16</v>
      </c>
      <c r="I234" s="13">
        <v>13</v>
      </c>
      <c r="J234" s="9">
        <f t="shared" si="30"/>
        <v>3</v>
      </c>
      <c r="K234" s="7">
        <f t="shared" si="23"/>
        <v>0.8666666666666667</v>
      </c>
      <c r="N234" s="7">
        <f t="shared" si="24"/>
        <v>0.1875</v>
      </c>
      <c r="Q234" s="7">
        <f t="shared" si="25"/>
        <v>0.8125</v>
      </c>
      <c r="T234" s="7">
        <f t="shared" si="26"/>
        <v>0.13333333333333333</v>
      </c>
      <c r="W234" s="7">
        <f t="shared" si="27"/>
        <v>0.78365384615384615</v>
      </c>
      <c r="Z234" s="7">
        <f>45/943</f>
        <v>4.7720042417815481E-2</v>
      </c>
    </row>
    <row r="235" spans="1:28" x14ac:dyDescent="0.2">
      <c r="A235">
        <v>10</v>
      </c>
      <c r="B235" t="s">
        <v>18</v>
      </c>
      <c r="C235" t="s">
        <v>19</v>
      </c>
      <c r="D235" t="s">
        <v>29</v>
      </c>
      <c r="E235" s="7">
        <v>16</v>
      </c>
      <c r="F235" s="13">
        <v>14</v>
      </c>
      <c r="G235" s="14">
        <f t="shared" si="29"/>
        <v>2</v>
      </c>
      <c r="H235" s="15">
        <v>15</v>
      </c>
      <c r="I235" s="13">
        <v>12</v>
      </c>
      <c r="J235" s="9">
        <f t="shared" si="30"/>
        <v>3</v>
      </c>
      <c r="K235" s="7">
        <f t="shared" si="23"/>
        <v>0.875</v>
      </c>
      <c r="N235" s="7">
        <f t="shared" si="24"/>
        <v>0.2</v>
      </c>
      <c r="Q235" s="7">
        <f t="shared" si="25"/>
        <v>0.8</v>
      </c>
      <c r="T235" s="7">
        <f t="shared" si="26"/>
        <v>0.125</v>
      </c>
      <c r="W235" s="7">
        <f t="shared" si="27"/>
        <v>0.77142857142857146</v>
      </c>
      <c r="Z235" s="7">
        <f>76/936</f>
        <v>8.11965811965812E-2</v>
      </c>
    </row>
    <row r="236" spans="1:28" x14ac:dyDescent="0.2">
      <c r="A236">
        <v>11</v>
      </c>
      <c r="B236" t="s">
        <v>18</v>
      </c>
      <c r="C236" t="s">
        <v>19</v>
      </c>
      <c r="D236" t="s">
        <v>29</v>
      </c>
      <c r="E236" s="7">
        <v>16</v>
      </c>
      <c r="F236" s="13">
        <v>14</v>
      </c>
      <c r="G236" s="14">
        <f t="shared" si="29"/>
        <v>2</v>
      </c>
      <c r="H236" s="15">
        <v>16</v>
      </c>
      <c r="I236" s="13">
        <v>13</v>
      </c>
      <c r="J236" s="9">
        <f t="shared" si="30"/>
        <v>3</v>
      </c>
      <c r="K236" s="7">
        <f t="shared" si="23"/>
        <v>0.875</v>
      </c>
      <c r="N236" s="7">
        <f t="shared" si="24"/>
        <v>0.1875</v>
      </c>
      <c r="Q236" s="7">
        <f t="shared" si="25"/>
        <v>0.8125</v>
      </c>
      <c r="T236" s="7">
        <f t="shared" si="26"/>
        <v>0.125</v>
      </c>
      <c r="W236" s="7">
        <f t="shared" si="27"/>
        <v>0.7857142857142857</v>
      </c>
      <c r="Z236" s="7">
        <f>39/926</f>
        <v>4.2116630669546434E-2</v>
      </c>
    </row>
    <row r="237" spans="1:28" x14ac:dyDescent="0.2">
      <c r="A237">
        <v>12</v>
      </c>
      <c r="B237" t="s">
        <v>18</v>
      </c>
      <c r="C237" t="s">
        <v>19</v>
      </c>
      <c r="D237" t="s">
        <v>29</v>
      </c>
      <c r="E237" s="7">
        <v>15</v>
      </c>
      <c r="F237" s="13">
        <v>13</v>
      </c>
      <c r="G237" s="14">
        <f t="shared" si="29"/>
        <v>2</v>
      </c>
      <c r="H237" s="15">
        <v>16</v>
      </c>
      <c r="I237" s="13">
        <v>12</v>
      </c>
      <c r="J237" s="9">
        <f t="shared" si="30"/>
        <v>4</v>
      </c>
      <c r="K237" s="7">
        <f t="shared" si="23"/>
        <v>0.8666666666666667</v>
      </c>
      <c r="N237" s="7">
        <f t="shared" si="24"/>
        <v>0.25</v>
      </c>
      <c r="Q237" s="7">
        <f t="shared" si="25"/>
        <v>0.75</v>
      </c>
      <c r="T237" s="7">
        <f t="shared" si="26"/>
        <v>0.13333333333333333</v>
      </c>
      <c r="W237" s="7">
        <f t="shared" si="27"/>
        <v>0.71153846153846156</v>
      </c>
      <c r="Z237" s="7">
        <f>34/948</f>
        <v>3.5864978902953586E-2</v>
      </c>
    </row>
    <row r="238" spans="1:28" x14ac:dyDescent="0.2">
      <c r="A238">
        <v>13</v>
      </c>
      <c r="B238" t="s">
        <v>18</v>
      </c>
      <c r="C238" t="s">
        <v>19</v>
      </c>
      <c r="D238" t="s">
        <v>29</v>
      </c>
      <c r="E238" s="7">
        <v>16</v>
      </c>
      <c r="F238" s="13">
        <v>14</v>
      </c>
      <c r="G238" s="14">
        <f t="shared" si="29"/>
        <v>2</v>
      </c>
      <c r="H238" s="15">
        <v>16</v>
      </c>
      <c r="I238" s="13">
        <v>13</v>
      </c>
      <c r="J238" s="9">
        <f t="shared" si="30"/>
        <v>3</v>
      </c>
      <c r="K238" s="7">
        <f t="shared" si="23"/>
        <v>0.875</v>
      </c>
      <c r="N238" s="7">
        <f t="shared" si="24"/>
        <v>0.1875</v>
      </c>
      <c r="Q238" s="7">
        <f t="shared" si="25"/>
        <v>0.8125</v>
      </c>
      <c r="T238" s="7">
        <f t="shared" si="26"/>
        <v>0.125</v>
      </c>
      <c r="W238" s="7">
        <f t="shared" si="27"/>
        <v>0.7857142857142857</v>
      </c>
      <c r="Z238" s="7">
        <f>114/908</f>
        <v>0.12555066079295155</v>
      </c>
    </row>
    <row r="239" spans="1:28" x14ac:dyDescent="0.2">
      <c r="A239">
        <v>14</v>
      </c>
      <c r="B239" t="s">
        <v>18</v>
      </c>
      <c r="C239" t="s">
        <v>19</v>
      </c>
      <c r="D239" t="s">
        <v>29</v>
      </c>
      <c r="E239" s="7">
        <v>16</v>
      </c>
      <c r="F239" s="13">
        <v>14</v>
      </c>
      <c r="G239" s="14">
        <f t="shared" si="29"/>
        <v>2</v>
      </c>
      <c r="H239" s="15">
        <v>16</v>
      </c>
      <c r="I239" s="13">
        <v>12</v>
      </c>
      <c r="J239" s="9">
        <f t="shared" si="30"/>
        <v>4</v>
      </c>
      <c r="K239" s="7">
        <f t="shared" si="23"/>
        <v>0.875</v>
      </c>
      <c r="N239" s="7">
        <f t="shared" si="24"/>
        <v>0.25</v>
      </c>
      <c r="Q239" s="7">
        <f t="shared" si="25"/>
        <v>0.75</v>
      </c>
      <c r="T239" s="7">
        <f t="shared" si="26"/>
        <v>0.125</v>
      </c>
      <c r="W239" s="7">
        <f t="shared" si="27"/>
        <v>0.7142857142857143</v>
      </c>
      <c r="Z239" s="7">
        <f>38/951</f>
        <v>3.9957939011566773E-2</v>
      </c>
    </row>
    <row r="240" spans="1:28" x14ac:dyDescent="0.2">
      <c r="A240">
        <v>1</v>
      </c>
      <c r="B240" t="s">
        <v>15</v>
      </c>
      <c r="C240" t="s">
        <v>20</v>
      </c>
      <c r="D240" t="s">
        <v>26</v>
      </c>
      <c r="E240" s="7">
        <v>17</v>
      </c>
      <c r="F240" s="13">
        <v>15</v>
      </c>
      <c r="G240" s="14">
        <f t="shared" si="29"/>
        <v>2</v>
      </c>
      <c r="H240" s="15">
        <v>15</v>
      </c>
      <c r="I240" s="13">
        <v>6</v>
      </c>
      <c r="J240" s="9">
        <f t="shared" si="30"/>
        <v>9</v>
      </c>
      <c r="K240" s="7">
        <f t="shared" si="23"/>
        <v>0.88235294117647056</v>
      </c>
      <c r="L240" s="8">
        <f>AVERAGE(K240:K246)</f>
        <v>0.85738795518207289</v>
      </c>
      <c r="M240" s="9">
        <f>_xlfn.STDEV.P(K240:K246)/SQRT(7)</f>
        <v>9.6649347553569159E-3</v>
      </c>
      <c r="N240" s="7">
        <f t="shared" si="24"/>
        <v>0.6</v>
      </c>
      <c r="O240" s="8">
        <f>AVERAGE(N240:N246)</f>
        <v>0.56796218487394967</v>
      </c>
      <c r="P240" s="9">
        <f>_xlfn.STDEV.P(N240:N246)/SQRT(7)</f>
        <v>1.7487434041328759E-2</v>
      </c>
      <c r="Q240" s="7">
        <f t="shared" si="25"/>
        <v>0.4</v>
      </c>
      <c r="R240" s="8">
        <f>AVERAGE(Q240:Q246)</f>
        <v>0.43203781512605038</v>
      </c>
      <c r="S240" s="9">
        <f>_xlfn.STDEV.P(Q240:Q246)/SQRT(7)</f>
        <v>1.7487434041328933E-2</v>
      </c>
      <c r="T240" s="7">
        <f t="shared" si="26"/>
        <v>0.11764705882352941</v>
      </c>
      <c r="U240" s="8">
        <f>AVERAGE(T240:T246)</f>
        <v>0.14261204481792716</v>
      </c>
      <c r="V240" s="9">
        <f>_xlfn.STDEV.P(T240:T246)/SQRT(7)</f>
        <v>9.6649347553569402E-3</v>
      </c>
      <c r="W240" s="7">
        <f t="shared" si="27"/>
        <v>0.32</v>
      </c>
      <c r="X240" s="8">
        <f>AVERAGE(W240:W246)</f>
        <v>0.33727283220980692</v>
      </c>
      <c r="Y240" s="9">
        <f>_xlfn.STDEV.P(W240:W246)/SQRT(7)</f>
        <v>2.0484412688041482E-2</v>
      </c>
      <c r="Z240" s="7">
        <f>6/971</f>
        <v>6.1791967044284241E-3</v>
      </c>
      <c r="AA240" s="8">
        <f>AVERAGE(Z240:Z246)</f>
        <v>0.10006450518757926</v>
      </c>
      <c r="AB240" s="9">
        <f>_xlfn.STDEV.P(Z240:Z246)/SQRT(7)</f>
        <v>2.6818306018709152E-2</v>
      </c>
    </row>
    <row r="241" spans="1:28" x14ac:dyDescent="0.2">
      <c r="A241">
        <v>2</v>
      </c>
      <c r="B241" t="s">
        <v>15</v>
      </c>
      <c r="C241" t="s">
        <v>20</v>
      </c>
      <c r="D241" t="s">
        <v>26</v>
      </c>
      <c r="E241" s="7">
        <v>16</v>
      </c>
      <c r="F241" s="13">
        <v>14</v>
      </c>
      <c r="G241" s="14">
        <f t="shared" si="29"/>
        <v>2</v>
      </c>
      <c r="H241" s="15">
        <v>16</v>
      </c>
      <c r="I241" s="13">
        <v>6</v>
      </c>
      <c r="J241" s="9">
        <f t="shared" si="30"/>
        <v>10</v>
      </c>
      <c r="K241" s="7">
        <f t="shared" si="23"/>
        <v>0.875</v>
      </c>
      <c r="N241" s="7">
        <f t="shared" si="24"/>
        <v>0.625</v>
      </c>
      <c r="Q241" s="7">
        <f t="shared" si="25"/>
        <v>0.375</v>
      </c>
      <c r="T241" s="7">
        <f t="shared" si="26"/>
        <v>0.125</v>
      </c>
      <c r="W241" s="7">
        <f t="shared" si="27"/>
        <v>0.2857142857142857</v>
      </c>
      <c r="Z241" s="7">
        <f>2/943</f>
        <v>2.1208907741251328E-3</v>
      </c>
    </row>
    <row r="242" spans="1:28" x14ac:dyDescent="0.2">
      <c r="A242">
        <v>3</v>
      </c>
      <c r="B242" t="s">
        <v>15</v>
      </c>
      <c r="C242" t="s">
        <v>20</v>
      </c>
      <c r="D242" t="s">
        <v>26</v>
      </c>
      <c r="E242" s="7">
        <v>17</v>
      </c>
      <c r="F242" s="13">
        <v>14</v>
      </c>
      <c r="G242" s="14">
        <f t="shared" si="29"/>
        <v>3</v>
      </c>
      <c r="H242" s="15">
        <v>16</v>
      </c>
      <c r="I242" s="13">
        <v>8</v>
      </c>
      <c r="J242" s="9">
        <f t="shared" si="30"/>
        <v>8</v>
      </c>
      <c r="K242" s="7">
        <f t="shared" si="23"/>
        <v>0.82352941176470584</v>
      </c>
      <c r="N242" s="7">
        <f t="shared" si="24"/>
        <v>0.5</v>
      </c>
      <c r="Q242" s="7">
        <f t="shared" si="25"/>
        <v>0.5</v>
      </c>
      <c r="T242" s="7">
        <f t="shared" si="26"/>
        <v>0.17647058823529413</v>
      </c>
      <c r="W242" s="7">
        <f t="shared" si="27"/>
        <v>0.39285714285714285</v>
      </c>
      <c r="Z242" s="7">
        <f>180/871</f>
        <v>0.20665901262916189</v>
      </c>
    </row>
    <row r="243" spans="1:28" x14ac:dyDescent="0.2">
      <c r="A243">
        <v>4</v>
      </c>
      <c r="B243" t="s">
        <v>15</v>
      </c>
      <c r="C243" t="s">
        <v>20</v>
      </c>
      <c r="D243" t="s">
        <v>26</v>
      </c>
      <c r="E243" s="7">
        <v>15</v>
      </c>
      <c r="F243" s="13">
        <v>13</v>
      </c>
      <c r="G243" s="14">
        <f t="shared" si="29"/>
        <v>2</v>
      </c>
      <c r="H243" s="15">
        <v>17</v>
      </c>
      <c r="I243" s="13">
        <v>7</v>
      </c>
      <c r="J243" s="9">
        <f t="shared" si="30"/>
        <v>10</v>
      </c>
      <c r="K243" s="7">
        <f t="shared" si="23"/>
        <v>0.8666666666666667</v>
      </c>
      <c r="N243" s="7">
        <f t="shared" si="24"/>
        <v>0.58823529411764708</v>
      </c>
      <c r="Q243" s="7">
        <f t="shared" si="25"/>
        <v>0.41176470588235292</v>
      </c>
      <c r="T243" s="7">
        <f t="shared" si="26"/>
        <v>0.13333333333333333</v>
      </c>
      <c r="W243" s="7">
        <f t="shared" si="27"/>
        <v>0.32126696832579188</v>
      </c>
      <c r="Z243" s="7">
        <f>150/902</f>
        <v>0.16629711751662971</v>
      </c>
    </row>
    <row r="244" spans="1:28" x14ac:dyDescent="0.2">
      <c r="A244">
        <v>5</v>
      </c>
      <c r="B244" t="s">
        <v>15</v>
      </c>
      <c r="C244" t="s">
        <v>20</v>
      </c>
      <c r="D244" t="s">
        <v>26</v>
      </c>
      <c r="E244" s="7">
        <v>16</v>
      </c>
      <c r="F244" s="13">
        <v>13</v>
      </c>
      <c r="G244" s="14">
        <f t="shared" si="29"/>
        <v>3</v>
      </c>
      <c r="H244" s="15">
        <v>15</v>
      </c>
      <c r="I244" s="13">
        <v>6</v>
      </c>
      <c r="J244" s="9">
        <f t="shared" si="30"/>
        <v>9</v>
      </c>
      <c r="K244" s="7">
        <f t="shared" si="23"/>
        <v>0.8125</v>
      </c>
      <c r="N244" s="7">
        <f t="shared" si="24"/>
        <v>0.6</v>
      </c>
      <c r="Q244" s="7">
        <f t="shared" si="25"/>
        <v>0.4</v>
      </c>
      <c r="T244" s="7">
        <f t="shared" si="26"/>
        <v>0.1875</v>
      </c>
      <c r="W244" s="7">
        <f t="shared" si="27"/>
        <v>0.26153846153846155</v>
      </c>
      <c r="Z244" s="7">
        <f>105/915</f>
        <v>0.11475409836065574</v>
      </c>
    </row>
    <row r="245" spans="1:28" x14ac:dyDescent="0.2">
      <c r="A245">
        <v>6</v>
      </c>
      <c r="B245" t="s">
        <v>15</v>
      </c>
      <c r="C245" t="s">
        <v>20</v>
      </c>
      <c r="D245" t="s">
        <v>26</v>
      </c>
      <c r="E245" s="7">
        <v>16</v>
      </c>
      <c r="F245" s="13">
        <v>14</v>
      </c>
      <c r="G245" s="14">
        <f t="shared" si="29"/>
        <v>2</v>
      </c>
      <c r="H245" s="15">
        <v>16</v>
      </c>
      <c r="I245" s="13">
        <v>8</v>
      </c>
      <c r="J245" s="9">
        <f t="shared" si="30"/>
        <v>8</v>
      </c>
      <c r="K245" s="7">
        <f t="shared" si="23"/>
        <v>0.875</v>
      </c>
      <c r="N245" s="7">
        <f t="shared" si="24"/>
        <v>0.5</v>
      </c>
      <c r="Q245" s="7">
        <f t="shared" si="25"/>
        <v>0.5</v>
      </c>
      <c r="T245" s="7">
        <f t="shared" si="26"/>
        <v>0.125</v>
      </c>
      <c r="W245" s="7">
        <f t="shared" si="27"/>
        <v>0.42857142857142855</v>
      </c>
      <c r="Z245" s="7">
        <f>113/919</f>
        <v>0.12295973884657237</v>
      </c>
    </row>
    <row r="246" spans="1:28" x14ac:dyDescent="0.2">
      <c r="A246">
        <v>7</v>
      </c>
      <c r="B246" t="s">
        <v>15</v>
      </c>
      <c r="C246" t="s">
        <v>20</v>
      </c>
      <c r="D246" t="s">
        <v>26</v>
      </c>
      <c r="E246" s="7">
        <v>15</v>
      </c>
      <c r="F246" s="13">
        <v>13</v>
      </c>
      <c r="G246" s="14">
        <f t="shared" si="29"/>
        <v>2</v>
      </c>
      <c r="H246" s="15">
        <v>16</v>
      </c>
      <c r="I246" s="13">
        <v>7</v>
      </c>
      <c r="J246" s="9">
        <f t="shared" si="30"/>
        <v>9</v>
      </c>
      <c r="K246" s="7">
        <f t="shared" si="23"/>
        <v>0.8666666666666667</v>
      </c>
      <c r="N246" s="7">
        <f t="shared" si="24"/>
        <v>0.5625</v>
      </c>
      <c r="Q246" s="7">
        <f t="shared" si="25"/>
        <v>0.4375</v>
      </c>
      <c r="T246" s="7">
        <f t="shared" si="26"/>
        <v>0.13333333333333333</v>
      </c>
      <c r="W246" s="7">
        <f t="shared" si="27"/>
        <v>0.35096153846153849</v>
      </c>
      <c r="Z246" s="7">
        <f>77/945</f>
        <v>8.1481481481481488E-2</v>
      </c>
    </row>
    <row r="247" spans="1:28" x14ac:dyDescent="0.2">
      <c r="A247">
        <v>8</v>
      </c>
      <c r="B247" t="s">
        <v>18</v>
      </c>
      <c r="C247" t="s">
        <v>20</v>
      </c>
      <c r="D247" t="s">
        <v>26</v>
      </c>
      <c r="E247" s="7">
        <v>16</v>
      </c>
      <c r="F247" s="13">
        <v>14</v>
      </c>
      <c r="G247" s="14">
        <f t="shared" si="29"/>
        <v>2</v>
      </c>
      <c r="H247" s="15">
        <v>15</v>
      </c>
      <c r="I247" s="13">
        <v>11</v>
      </c>
      <c r="J247" s="9">
        <f t="shared" si="30"/>
        <v>4</v>
      </c>
      <c r="K247" s="7">
        <f t="shared" si="23"/>
        <v>0.875</v>
      </c>
      <c r="L247" s="8">
        <f>AVERAGE(K247:K253)</f>
        <v>0.87366946778711474</v>
      </c>
      <c r="M247" s="9">
        <f>_xlfn.STDEV.P(K247:K253)/SQRT(7)</f>
        <v>1.9196216732218451E-3</v>
      </c>
      <c r="N247" s="7">
        <f t="shared" si="24"/>
        <v>0.26666666666666666</v>
      </c>
      <c r="O247" s="8">
        <f>AVERAGE(N247:N253)</f>
        <v>0.27261904761904759</v>
      </c>
      <c r="P247" s="9">
        <f>_xlfn.STDEV.P(N247:N253)/SQRT(7)</f>
        <v>1.6035169477990746E-2</v>
      </c>
      <c r="Q247" s="7">
        <f t="shared" si="25"/>
        <v>0.73333333333333328</v>
      </c>
      <c r="R247" s="8">
        <f>AVERAGE(Q247:Q253)</f>
        <v>0.72738095238095235</v>
      </c>
      <c r="S247" s="9">
        <f>_xlfn.STDEV.P(Q247:Q253)/SQRT(7)</f>
        <v>1.6035169477990701E-2</v>
      </c>
      <c r="T247" s="7">
        <f t="shared" si="26"/>
        <v>0.125</v>
      </c>
      <c r="U247" s="8">
        <f>AVERAGE(T247:T253)</f>
        <v>0.12633053221288515</v>
      </c>
      <c r="V247" s="9">
        <f>_xlfn.STDEV.P(T247:T253)/SQRT(7)</f>
        <v>1.919621673221852E-3</v>
      </c>
      <c r="W247" s="7">
        <f t="shared" si="27"/>
        <v>0.69523809523809521</v>
      </c>
      <c r="X247" s="8">
        <f>AVERAGE(W247:W253)</f>
        <v>0.68816064887493467</v>
      </c>
      <c r="Y247" s="9">
        <f>_xlfn.STDEV.P(W247:W253)/SQRT(7)</f>
        <v>1.7707138698288015E-2</v>
      </c>
      <c r="Z247" s="7">
        <f>78/947</f>
        <v>8.236536430834214E-2</v>
      </c>
      <c r="AA247" s="8">
        <f>AVERAGE(Z247:Z253)</f>
        <v>3.3043666964237557E-2</v>
      </c>
      <c r="AB247" s="9">
        <f>_xlfn.STDEV.P(Z247:Z253)/SQRT(7)</f>
        <v>1.1986888667640656E-2</v>
      </c>
    </row>
    <row r="248" spans="1:28" x14ac:dyDescent="0.2">
      <c r="A248">
        <v>9</v>
      </c>
      <c r="B248" t="s">
        <v>18</v>
      </c>
      <c r="C248" t="s">
        <v>20</v>
      </c>
      <c r="D248" t="s">
        <v>26</v>
      </c>
      <c r="E248" s="7">
        <v>16</v>
      </c>
      <c r="F248" s="13">
        <v>14</v>
      </c>
      <c r="G248" s="14">
        <f t="shared" si="29"/>
        <v>2</v>
      </c>
      <c r="H248" s="15">
        <v>16</v>
      </c>
      <c r="I248" s="13">
        <v>12</v>
      </c>
      <c r="J248" s="9">
        <f t="shared" si="30"/>
        <v>4</v>
      </c>
      <c r="K248" s="7">
        <f t="shared" si="23"/>
        <v>0.875</v>
      </c>
      <c r="N248" s="7">
        <f t="shared" si="24"/>
        <v>0.25</v>
      </c>
      <c r="Q248" s="7">
        <f t="shared" si="25"/>
        <v>0.75</v>
      </c>
      <c r="T248" s="7">
        <f t="shared" si="26"/>
        <v>0.125</v>
      </c>
      <c r="W248" s="7">
        <f t="shared" si="27"/>
        <v>0.7142857142857143</v>
      </c>
      <c r="Z248" s="7">
        <f>78/955</f>
        <v>8.1675392670157068E-2</v>
      </c>
    </row>
    <row r="249" spans="1:28" x14ac:dyDescent="0.2">
      <c r="A249">
        <v>10</v>
      </c>
      <c r="B249" t="s">
        <v>18</v>
      </c>
      <c r="C249" t="s">
        <v>20</v>
      </c>
      <c r="D249" t="s">
        <v>26</v>
      </c>
      <c r="E249" s="7">
        <v>17</v>
      </c>
      <c r="F249" s="13">
        <v>15</v>
      </c>
      <c r="G249" s="14">
        <f t="shared" si="29"/>
        <v>2</v>
      </c>
      <c r="H249" s="15">
        <v>16</v>
      </c>
      <c r="I249" s="13">
        <v>10</v>
      </c>
      <c r="J249" s="9">
        <f t="shared" si="30"/>
        <v>6</v>
      </c>
      <c r="K249" s="7">
        <f t="shared" si="23"/>
        <v>0.88235294117647056</v>
      </c>
      <c r="N249" s="7">
        <f t="shared" si="24"/>
        <v>0.375</v>
      </c>
      <c r="Q249" s="7">
        <f t="shared" si="25"/>
        <v>0.625</v>
      </c>
      <c r="T249" s="7">
        <f t="shared" si="26"/>
        <v>0.11764705882352941</v>
      </c>
      <c r="W249" s="7">
        <f t="shared" si="27"/>
        <v>0.57499999999999996</v>
      </c>
      <c r="Z249" s="7">
        <f>14/964</f>
        <v>1.4522821576763486E-2</v>
      </c>
    </row>
    <row r="250" spans="1:28" x14ac:dyDescent="0.2">
      <c r="A250">
        <v>11</v>
      </c>
      <c r="B250" t="s">
        <v>18</v>
      </c>
      <c r="C250" t="s">
        <v>20</v>
      </c>
      <c r="D250" t="s">
        <v>26</v>
      </c>
      <c r="E250" s="7">
        <v>15</v>
      </c>
      <c r="F250" s="13">
        <v>13</v>
      </c>
      <c r="G250" s="14">
        <f t="shared" si="29"/>
        <v>2</v>
      </c>
      <c r="H250" s="15">
        <v>16</v>
      </c>
      <c r="I250" s="13">
        <v>12</v>
      </c>
      <c r="J250" s="9">
        <f t="shared" si="30"/>
        <v>4</v>
      </c>
      <c r="K250" s="7">
        <f t="shared" si="23"/>
        <v>0.8666666666666667</v>
      </c>
      <c r="N250" s="7">
        <f t="shared" si="24"/>
        <v>0.25</v>
      </c>
      <c r="Q250" s="7">
        <f t="shared" si="25"/>
        <v>0.75</v>
      </c>
      <c r="T250" s="7">
        <f t="shared" si="26"/>
        <v>0.13333333333333333</v>
      </c>
      <c r="W250" s="7">
        <f t="shared" si="27"/>
        <v>0.71153846153846156</v>
      </c>
      <c r="Z250" s="7">
        <f>24/949</f>
        <v>2.5289778714436249E-2</v>
      </c>
    </row>
    <row r="251" spans="1:28" x14ac:dyDescent="0.2">
      <c r="A251">
        <v>12</v>
      </c>
      <c r="B251" t="s">
        <v>18</v>
      </c>
      <c r="C251" t="s">
        <v>20</v>
      </c>
      <c r="D251" t="s">
        <v>26</v>
      </c>
      <c r="E251" s="7">
        <v>16</v>
      </c>
      <c r="F251" s="13">
        <v>14</v>
      </c>
      <c r="G251" s="14">
        <f t="shared" si="29"/>
        <v>2</v>
      </c>
      <c r="H251" s="15">
        <v>16</v>
      </c>
      <c r="I251" s="13">
        <v>12</v>
      </c>
      <c r="J251" s="9">
        <f t="shared" si="30"/>
        <v>4</v>
      </c>
      <c r="K251" s="7">
        <f t="shared" si="23"/>
        <v>0.875</v>
      </c>
      <c r="N251" s="7">
        <f t="shared" si="24"/>
        <v>0.25</v>
      </c>
      <c r="Q251" s="7">
        <f t="shared" si="25"/>
        <v>0.75</v>
      </c>
      <c r="T251" s="7">
        <f t="shared" si="26"/>
        <v>0.125</v>
      </c>
      <c r="W251" s="7">
        <f t="shared" si="27"/>
        <v>0.7142857142857143</v>
      </c>
      <c r="Z251" s="7">
        <f>17/954</f>
        <v>1.781970649895178E-2</v>
      </c>
    </row>
    <row r="252" spans="1:28" x14ac:dyDescent="0.2">
      <c r="A252">
        <v>13</v>
      </c>
      <c r="B252" t="s">
        <v>18</v>
      </c>
      <c r="C252" t="s">
        <v>20</v>
      </c>
      <c r="D252" t="s">
        <v>26</v>
      </c>
      <c r="E252" s="7">
        <v>16</v>
      </c>
      <c r="F252" s="13">
        <v>14</v>
      </c>
      <c r="G252" s="14">
        <f t="shared" si="29"/>
        <v>2</v>
      </c>
      <c r="H252" s="15">
        <v>15</v>
      </c>
      <c r="I252" s="13">
        <v>11</v>
      </c>
      <c r="J252" s="9">
        <f t="shared" si="30"/>
        <v>4</v>
      </c>
      <c r="K252" s="7">
        <f t="shared" si="23"/>
        <v>0.875</v>
      </c>
      <c r="N252" s="7">
        <f t="shared" si="24"/>
        <v>0.26666666666666666</v>
      </c>
      <c r="Q252" s="7">
        <f t="shared" si="25"/>
        <v>0.73333333333333328</v>
      </c>
      <c r="T252" s="7">
        <f t="shared" si="26"/>
        <v>0.125</v>
      </c>
      <c r="W252" s="7">
        <f t="shared" si="27"/>
        <v>0.69523809523809521</v>
      </c>
      <c r="Z252" s="7">
        <f>7/933</f>
        <v>7.502679528403001E-3</v>
      </c>
    </row>
    <row r="253" spans="1:28" x14ac:dyDescent="0.2">
      <c r="A253">
        <v>14</v>
      </c>
      <c r="B253" t="s">
        <v>18</v>
      </c>
      <c r="C253" t="s">
        <v>20</v>
      </c>
      <c r="D253" t="s">
        <v>26</v>
      </c>
      <c r="E253" s="7">
        <v>15</v>
      </c>
      <c r="F253" s="13">
        <v>13</v>
      </c>
      <c r="G253" s="14">
        <f t="shared" si="29"/>
        <v>2</v>
      </c>
      <c r="H253" s="15">
        <v>16</v>
      </c>
      <c r="I253" s="13">
        <v>12</v>
      </c>
      <c r="J253" s="9">
        <f t="shared" si="30"/>
        <v>4</v>
      </c>
      <c r="K253" s="7">
        <f t="shared" si="23"/>
        <v>0.8666666666666667</v>
      </c>
      <c r="N253" s="7">
        <f t="shared" si="24"/>
        <v>0.25</v>
      </c>
      <c r="Q253" s="7">
        <f t="shared" si="25"/>
        <v>0.75</v>
      </c>
      <c r="T253" s="7">
        <f t="shared" si="26"/>
        <v>0.13333333333333333</v>
      </c>
      <c r="W253" s="7">
        <f t="shared" si="27"/>
        <v>0.71153846153846156</v>
      </c>
      <c r="Z253" s="7">
        <f>2/939</f>
        <v>2.1299254526091589E-3</v>
      </c>
    </row>
    <row r="254" spans="1:28" x14ac:dyDescent="0.2">
      <c r="A254">
        <v>1</v>
      </c>
      <c r="B254" t="s">
        <v>15</v>
      </c>
      <c r="C254" t="s">
        <v>20</v>
      </c>
      <c r="D254" t="s">
        <v>27</v>
      </c>
      <c r="E254" s="7">
        <v>17</v>
      </c>
      <c r="F254" s="13">
        <v>15</v>
      </c>
      <c r="G254" s="14">
        <f t="shared" si="29"/>
        <v>2</v>
      </c>
      <c r="H254" s="15">
        <v>16</v>
      </c>
      <c r="I254" s="13">
        <v>9</v>
      </c>
      <c r="J254" s="9">
        <f t="shared" si="30"/>
        <v>7</v>
      </c>
      <c r="K254" s="7">
        <f t="shared" si="23"/>
        <v>0.88235294117647056</v>
      </c>
      <c r="L254" s="8">
        <f>AVERAGE(K254:K260)</f>
        <v>0.90997899159663853</v>
      </c>
      <c r="M254" s="9">
        <f>_xlfn.STDEV.P(K254:K260)/SQRT(7)</f>
        <v>1.1676182800149492E-2</v>
      </c>
      <c r="N254" s="7">
        <f t="shared" si="24"/>
        <v>0.4375</v>
      </c>
      <c r="O254" s="8">
        <f>AVERAGE(N254:N260)</f>
        <v>0.43746498599439781</v>
      </c>
      <c r="P254" s="9">
        <f>_xlfn.STDEV.P(N254:N260)/SQRT(7)</f>
        <v>1.0928120604575486E-2</v>
      </c>
      <c r="Q254" s="7">
        <f t="shared" si="25"/>
        <v>0.5625</v>
      </c>
      <c r="R254" s="8">
        <f>AVERAGE(Q254:Q260)</f>
        <v>0.56253501400560224</v>
      </c>
      <c r="S254" s="9">
        <f>_xlfn.STDEV.P(Q254:Q260)/SQRT(7)</f>
        <v>1.0928120604575486E-2</v>
      </c>
      <c r="T254" s="7">
        <f t="shared" si="26"/>
        <v>0.11764705882352941</v>
      </c>
      <c r="U254" s="8">
        <f>AVERAGE(T254:T260)</f>
        <v>9.0021008403361344E-2</v>
      </c>
      <c r="V254" s="9">
        <f>_xlfn.STDEV.P(T254:T260)/SQRT(7)</f>
        <v>1.1676182800149499E-2</v>
      </c>
      <c r="W254" s="7">
        <f t="shared" si="27"/>
        <v>0.50416666666666665</v>
      </c>
      <c r="X254" s="8">
        <f>AVERAGE(W254:W260)</f>
        <v>0.51867326417746595</v>
      </c>
      <c r="Y254" s="9">
        <f>_xlfn.STDEV.P(W254:W260)/SQRT(7)</f>
        <v>1.3350336657326866E-2</v>
      </c>
      <c r="Z254" s="7">
        <f>85/913</f>
        <v>9.3099671412924426E-2</v>
      </c>
      <c r="AA254" s="8">
        <f>AVERAGE(Z254:Z260)</f>
        <v>0.12707116285705475</v>
      </c>
      <c r="AB254" s="9">
        <f>_xlfn.STDEV.P(Z254:Z260)/SQRT(7)</f>
        <v>2.4704465028705283E-2</v>
      </c>
    </row>
    <row r="255" spans="1:28" x14ac:dyDescent="0.2">
      <c r="A255">
        <v>2</v>
      </c>
      <c r="B255" t="s">
        <v>15</v>
      </c>
      <c r="C255" t="s">
        <v>20</v>
      </c>
      <c r="D255" t="s">
        <v>27</v>
      </c>
      <c r="E255" s="7">
        <v>15</v>
      </c>
      <c r="F255" s="13">
        <v>14</v>
      </c>
      <c r="G255" s="14">
        <f t="shared" si="29"/>
        <v>1</v>
      </c>
      <c r="H255" s="15">
        <v>17</v>
      </c>
      <c r="I255" s="13">
        <v>9</v>
      </c>
      <c r="J255" s="9">
        <f t="shared" si="30"/>
        <v>8</v>
      </c>
      <c r="K255" s="7">
        <f t="shared" si="23"/>
        <v>0.93333333333333335</v>
      </c>
      <c r="N255" s="7">
        <f t="shared" si="24"/>
        <v>0.47058823529411764</v>
      </c>
      <c r="Q255" s="7">
        <f t="shared" si="25"/>
        <v>0.52941176470588236</v>
      </c>
      <c r="T255" s="7">
        <f t="shared" si="26"/>
        <v>6.6666666666666666E-2</v>
      </c>
      <c r="W255" s="7">
        <f t="shared" si="27"/>
        <v>0.49579831932773111</v>
      </c>
      <c r="Z255" s="7">
        <f>194/897</f>
        <v>0.21627647714604237</v>
      </c>
    </row>
    <row r="256" spans="1:28" x14ac:dyDescent="0.2">
      <c r="A256">
        <v>3</v>
      </c>
      <c r="B256" t="s">
        <v>15</v>
      </c>
      <c r="C256" t="s">
        <v>20</v>
      </c>
      <c r="D256" t="s">
        <v>27</v>
      </c>
      <c r="E256" s="7">
        <v>16</v>
      </c>
      <c r="F256" s="13">
        <v>15</v>
      </c>
      <c r="G256" s="14">
        <f t="shared" si="29"/>
        <v>1</v>
      </c>
      <c r="H256" s="15">
        <v>15</v>
      </c>
      <c r="I256" s="13">
        <v>8</v>
      </c>
      <c r="J256" s="9">
        <f t="shared" si="30"/>
        <v>7</v>
      </c>
      <c r="K256" s="7">
        <f t="shared" si="23"/>
        <v>0.9375</v>
      </c>
      <c r="N256" s="7">
        <f t="shared" si="24"/>
        <v>0.46666666666666667</v>
      </c>
      <c r="Q256" s="7">
        <f t="shared" si="25"/>
        <v>0.53333333333333333</v>
      </c>
      <c r="T256" s="7">
        <f t="shared" si="26"/>
        <v>6.25E-2</v>
      </c>
      <c r="W256" s="7">
        <f t="shared" si="27"/>
        <v>0.50222222222222224</v>
      </c>
      <c r="Z256" s="7">
        <f>88/932</f>
        <v>9.4420600858369105E-2</v>
      </c>
    </row>
    <row r="257" spans="1:28" x14ac:dyDescent="0.2">
      <c r="A257">
        <v>4</v>
      </c>
      <c r="B257" t="s">
        <v>15</v>
      </c>
      <c r="C257" t="s">
        <v>20</v>
      </c>
      <c r="D257" t="s">
        <v>27</v>
      </c>
      <c r="E257" s="7">
        <v>16</v>
      </c>
      <c r="F257" s="13">
        <v>14</v>
      </c>
      <c r="G257" s="14">
        <f t="shared" si="29"/>
        <v>2</v>
      </c>
      <c r="H257" s="15">
        <v>16</v>
      </c>
      <c r="I257" s="13">
        <v>9</v>
      </c>
      <c r="J257" s="9">
        <f t="shared" si="30"/>
        <v>7</v>
      </c>
      <c r="K257" s="7">
        <f t="shared" si="23"/>
        <v>0.875</v>
      </c>
      <c r="N257" s="7">
        <f t="shared" si="24"/>
        <v>0.4375</v>
      </c>
      <c r="Q257" s="7">
        <f t="shared" si="25"/>
        <v>0.5625</v>
      </c>
      <c r="T257" s="7">
        <f t="shared" si="26"/>
        <v>0.125</v>
      </c>
      <c r="W257" s="7">
        <f t="shared" si="27"/>
        <v>0.5</v>
      </c>
      <c r="Z257" s="7">
        <f>150/913</f>
        <v>0.16429353778751368</v>
      </c>
    </row>
    <row r="258" spans="1:28" x14ac:dyDescent="0.2">
      <c r="A258">
        <v>5</v>
      </c>
      <c r="B258" t="s">
        <v>15</v>
      </c>
      <c r="C258" t="s">
        <v>20</v>
      </c>
      <c r="D258" t="s">
        <v>27</v>
      </c>
      <c r="E258" s="7">
        <v>16</v>
      </c>
      <c r="F258" s="13">
        <v>15</v>
      </c>
      <c r="G258" s="14">
        <f t="shared" si="29"/>
        <v>1</v>
      </c>
      <c r="H258" s="15">
        <v>16</v>
      </c>
      <c r="I258" s="13">
        <v>10</v>
      </c>
      <c r="J258" s="9">
        <f t="shared" si="30"/>
        <v>6</v>
      </c>
      <c r="K258" s="7">
        <f t="shared" ref="K258:K295" si="31">F258/E258</f>
        <v>0.9375</v>
      </c>
      <c r="N258" s="7">
        <f t="shared" ref="N258:N295" si="32">J258/H258</f>
        <v>0.375</v>
      </c>
      <c r="Q258" s="7">
        <f t="shared" ref="Q258:Q295" si="33">I258/H258</f>
        <v>0.625</v>
      </c>
      <c r="T258" s="7">
        <f t="shared" ref="T258:T295" si="34">G258/E258</f>
        <v>6.25E-2</v>
      </c>
      <c r="W258" s="7">
        <f t="shared" ref="W258:W295" si="35">(Q258-T258)/(1-T258)</f>
        <v>0.6</v>
      </c>
      <c r="Z258" s="7">
        <f>114/929</f>
        <v>0.12271259418729817</v>
      </c>
    </row>
    <row r="259" spans="1:28" x14ac:dyDescent="0.2">
      <c r="A259">
        <v>6</v>
      </c>
      <c r="B259" t="s">
        <v>15</v>
      </c>
      <c r="C259" t="s">
        <v>20</v>
      </c>
      <c r="D259" t="s">
        <v>27</v>
      </c>
      <c r="E259" s="7">
        <v>15</v>
      </c>
      <c r="F259" s="13">
        <v>13</v>
      </c>
      <c r="G259" s="14">
        <f t="shared" si="29"/>
        <v>2</v>
      </c>
      <c r="H259" s="15">
        <v>16</v>
      </c>
      <c r="I259" s="13">
        <v>9</v>
      </c>
      <c r="J259" s="9">
        <f t="shared" si="30"/>
        <v>7</v>
      </c>
      <c r="K259" s="7">
        <f t="shared" si="31"/>
        <v>0.8666666666666667</v>
      </c>
      <c r="N259" s="7">
        <f t="shared" si="32"/>
        <v>0.4375</v>
      </c>
      <c r="Q259" s="7">
        <f t="shared" si="33"/>
        <v>0.5625</v>
      </c>
      <c r="T259" s="7">
        <f t="shared" si="34"/>
        <v>0.13333333333333333</v>
      </c>
      <c r="W259" s="7">
        <f t="shared" si="35"/>
        <v>0.49519230769230771</v>
      </c>
      <c r="Z259" s="7">
        <f>169/885</f>
        <v>0.19096045197740114</v>
      </c>
    </row>
    <row r="260" spans="1:28" x14ac:dyDescent="0.2">
      <c r="A260">
        <v>7</v>
      </c>
      <c r="B260" t="s">
        <v>15</v>
      </c>
      <c r="C260" t="s">
        <v>20</v>
      </c>
      <c r="D260" t="s">
        <v>27</v>
      </c>
      <c r="E260" s="7">
        <v>16</v>
      </c>
      <c r="F260" s="13">
        <v>15</v>
      </c>
      <c r="G260" s="14">
        <f t="shared" si="29"/>
        <v>1</v>
      </c>
      <c r="H260" s="15">
        <v>16</v>
      </c>
      <c r="I260" s="13">
        <v>9</v>
      </c>
      <c r="J260" s="9">
        <f t="shared" si="30"/>
        <v>7</v>
      </c>
      <c r="K260" s="7">
        <f t="shared" si="31"/>
        <v>0.9375</v>
      </c>
      <c r="N260" s="7">
        <f t="shared" si="32"/>
        <v>0.4375</v>
      </c>
      <c r="Q260" s="7">
        <f t="shared" si="33"/>
        <v>0.5625</v>
      </c>
      <c r="T260" s="7">
        <f t="shared" si="34"/>
        <v>6.25E-2</v>
      </c>
      <c r="W260" s="7">
        <f t="shared" si="35"/>
        <v>0.53333333333333333</v>
      </c>
      <c r="Z260" s="7">
        <f>7/905</f>
        <v>7.7348066298342545E-3</v>
      </c>
    </row>
    <row r="261" spans="1:28" x14ac:dyDescent="0.2">
      <c r="A261">
        <v>8</v>
      </c>
      <c r="B261" t="s">
        <v>18</v>
      </c>
      <c r="C261" t="s">
        <v>20</v>
      </c>
      <c r="D261" t="s">
        <v>27</v>
      </c>
      <c r="E261" s="7">
        <v>16</v>
      </c>
      <c r="F261" s="13">
        <v>13</v>
      </c>
      <c r="G261" s="14">
        <f t="shared" si="29"/>
        <v>3</v>
      </c>
      <c r="H261" s="15">
        <v>15</v>
      </c>
      <c r="I261" s="13">
        <v>11</v>
      </c>
      <c r="J261" s="9">
        <f t="shared" si="30"/>
        <v>4</v>
      </c>
      <c r="K261" s="7">
        <f t="shared" si="31"/>
        <v>0.8125</v>
      </c>
      <c r="L261" s="8">
        <f>AVERAGE(K261:K267)</f>
        <v>0.83112745098039209</v>
      </c>
      <c r="M261" s="9">
        <f>_xlfn.STDEV.P(K261:K267)/SQRT(7)</f>
        <v>8.6690605064005284E-3</v>
      </c>
      <c r="N261" s="7">
        <f t="shared" si="32"/>
        <v>0.26666666666666666</v>
      </c>
      <c r="O261" s="8">
        <f>AVERAGE(N261:N267)</f>
        <v>0.23532913165266106</v>
      </c>
      <c r="P261" s="9">
        <f>_xlfn.STDEV.P(N261:N267)/SQRT(7)</f>
        <v>1.3063220923228463E-2</v>
      </c>
      <c r="Q261" s="7">
        <f t="shared" si="33"/>
        <v>0.73333333333333328</v>
      </c>
      <c r="R261" s="8">
        <f>AVERAGE(Q261:Q267)</f>
        <v>0.76467086834733888</v>
      </c>
      <c r="S261" s="9">
        <f>_xlfn.STDEV.P(Q261:Q267)/SQRT(7)</f>
        <v>1.3063220923228419E-2</v>
      </c>
      <c r="T261" s="7">
        <f t="shared" si="34"/>
        <v>0.1875</v>
      </c>
      <c r="U261" s="8">
        <f>AVERAGE(T261:T267)</f>
        <v>0.16887254901960785</v>
      </c>
      <c r="V261" s="9">
        <f>_xlfn.STDEV.P(T261:T267)/SQRT(7)</f>
        <v>8.6690605064005145E-3</v>
      </c>
      <c r="W261" s="7">
        <f t="shared" si="35"/>
        <v>0.67179487179487174</v>
      </c>
      <c r="X261" s="8">
        <f>AVERAGE(W261:W267)</f>
        <v>0.7163492320004925</v>
      </c>
      <c r="Y261" s="9">
        <f>_xlfn.STDEV.P(W261:W267)/SQRT(7)</f>
        <v>1.6741326292268172E-2</v>
      </c>
      <c r="Z261" s="7">
        <f>8/913</f>
        <v>8.7623220153340634E-3</v>
      </c>
      <c r="AA261" s="8">
        <f>AVERAGE(Z261:Z267)</f>
        <v>9.1066228687820602E-3</v>
      </c>
      <c r="AB261" s="9">
        <f>_xlfn.STDEV.P(Z261:Z267)/SQRT(7)</f>
        <v>2.2220341209068361E-3</v>
      </c>
    </row>
    <row r="262" spans="1:28" x14ac:dyDescent="0.2">
      <c r="A262">
        <v>9</v>
      </c>
      <c r="B262" t="s">
        <v>18</v>
      </c>
      <c r="C262" t="s">
        <v>20</v>
      </c>
      <c r="D262" t="s">
        <v>27</v>
      </c>
      <c r="E262" s="7">
        <v>17</v>
      </c>
      <c r="F262" s="13">
        <v>14</v>
      </c>
      <c r="G262" s="14">
        <f t="shared" si="29"/>
        <v>3</v>
      </c>
      <c r="H262" s="15">
        <v>16</v>
      </c>
      <c r="I262" s="13">
        <v>12</v>
      </c>
      <c r="J262" s="9">
        <f t="shared" si="30"/>
        <v>4</v>
      </c>
      <c r="K262" s="7">
        <f t="shared" si="31"/>
        <v>0.82352941176470584</v>
      </c>
      <c r="N262" s="7">
        <f t="shared" si="32"/>
        <v>0.25</v>
      </c>
      <c r="Q262" s="7">
        <f t="shared" si="33"/>
        <v>0.75</v>
      </c>
      <c r="T262" s="7">
        <f t="shared" si="34"/>
        <v>0.17647058823529413</v>
      </c>
      <c r="W262" s="7">
        <f t="shared" si="35"/>
        <v>0.6964285714285714</v>
      </c>
      <c r="Z262" s="7">
        <f>4/909</f>
        <v>4.4004400440044002E-3</v>
      </c>
    </row>
    <row r="263" spans="1:28" x14ac:dyDescent="0.2">
      <c r="A263">
        <v>10</v>
      </c>
      <c r="B263" t="s">
        <v>18</v>
      </c>
      <c r="C263" t="s">
        <v>20</v>
      </c>
      <c r="D263" t="s">
        <v>27</v>
      </c>
      <c r="E263" s="7">
        <v>15</v>
      </c>
      <c r="F263" s="13">
        <v>13</v>
      </c>
      <c r="G263" s="14">
        <f t="shared" si="29"/>
        <v>2</v>
      </c>
      <c r="H263" s="15">
        <v>16</v>
      </c>
      <c r="I263" s="13">
        <v>13</v>
      </c>
      <c r="J263" s="9">
        <f t="shared" si="30"/>
        <v>3</v>
      </c>
      <c r="K263" s="7">
        <f t="shared" si="31"/>
        <v>0.8666666666666667</v>
      </c>
      <c r="N263" s="7">
        <f t="shared" si="32"/>
        <v>0.1875</v>
      </c>
      <c r="Q263" s="7">
        <f t="shared" si="33"/>
        <v>0.8125</v>
      </c>
      <c r="T263" s="7">
        <f t="shared" si="34"/>
        <v>0.13333333333333333</v>
      </c>
      <c r="W263" s="7">
        <f t="shared" si="35"/>
        <v>0.78365384615384615</v>
      </c>
      <c r="Z263" s="7">
        <f>19/909</f>
        <v>2.0902090209020903E-2</v>
      </c>
    </row>
    <row r="264" spans="1:28" x14ac:dyDescent="0.2">
      <c r="A264">
        <v>11</v>
      </c>
      <c r="B264" t="s">
        <v>18</v>
      </c>
      <c r="C264" t="s">
        <v>20</v>
      </c>
      <c r="D264" t="s">
        <v>27</v>
      </c>
      <c r="E264" s="7">
        <v>16</v>
      </c>
      <c r="F264" s="13">
        <v>13</v>
      </c>
      <c r="G264" s="14">
        <f t="shared" si="29"/>
        <v>3</v>
      </c>
      <c r="H264" s="15">
        <v>17</v>
      </c>
      <c r="I264" s="13">
        <v>14</v>
      </c>
      <c r="J264" s="9">
        <f t="shared" si="30"/>
        <v>3</v>
      </c>
      <c r="K264" s="7">
        <f t="shared" si="31"/>
        <v>0.8125</v>
      </c>
      <c r="N264" s="7">
        <f t="shared" si="32"/>
        <v>0.17647058823529413</v>
      </c>
      <c r="Q264" s="7">
        <f t="shared" si="33"/>
        <v>0.82352941176470584</v>
      </c>
      <c r="T264" s="7">
        <f t="shared" si="34"/>
        <v>0.1875</v>
      </c>
      <c r="W264" s="7">
        <f t="shared" si="35"/>
        <v>0.78280542986425339</v>
      </c>
      <c r="Z264" s="7">
        <f>1/948</f>
        <v>1.0548523206751054E-3</v>
      </c>
    </row>
    <row r="265" spans="1:28" x14ac:dyDescent="0.2">
      <c r="A265">
        <v>12</v>
      </c>
      <c r="B265" t="s">
        <v>18</v>
      </c>
      <c r="C265" t="s">
        <v>20</v>
      </c>
      <c r="D265" t="s">
        <v>27</v>
      </c>
      <c r="E265" s="7">
        <v>16</v>
      </c>
      <c r="F265" s="13">
        <v>13</v>
      </c>
      <c r="G265" s="14">
        <f t="shared" si="29"/>
        <v>3</v>
      </c>
      <c r="H265" s="15">
        <v>15</v>
      </c>
      <c r="I265" s="13">
        <v>11</v>
      </c>
      <c r="J265" s="9">
        <f t="shared" si="30"/>
        <v>4</v>
      </c>
      <c r="K265" s="7">
        <f t="shared" si="31"/>
        <v>0.8125</v>
      </c>
      <c r="N265" s="7">
        <f t="shared" si="32"/>
        <v>0.26666666666666666</v>
      </c>
      <c r="Q265" s="7">
        <f t="shared" si="33"/>
        <v>0.73333333333333328</v>
      </c>
      <c r="T265" s="7">
        <f t="shared" si="34"/>
        <v>0.1875</v>
      </c>
      <c r="W265" s="7">
        <f t="shared" si="35"/>
        <v>0.67179487179487174</v>
      </c>
      <c r="Z265" s="7">
        <f>10/939</f>
        <v>1.0649627263045794E-2</v>
      </c>
    </row>
    <row r="266" spans="1:28" x14ac:dyDescent="0.2">
      <c r="A266">
        <v>13</v>
      </c>
      <c r="B266" t="s">
        <v>18</v>
      </c>
      <c r="C266" t="s">
        <v>20</v>
      </c>
      <c r="D266" t="s">
        <v>27</v>
      </c>
      <c r="E266" s="7">
        <v>15</v>
      </c>
      <c r="F266" s="13">
        <v>13</v>
      </c>
      <c r="G266" s="14">
        <f t="shared" si="29"/>
        <v>2</v>
      </c>
      <c r="H266" s="15">
        <v>16</v>
      </c>
      <c r="I266" s="13">
        <v>12</v>
      </c>
      <c r="J266" s="9">
        <f t="shared" si="30"/>
        <v>4</v>
      </c>
      <c r="K266" s="7">
        <f t="shared" si="31"/>
        <v>0.8666666666666667</v>
      </c>
      <c r="N266" s="7">
        <f t="shared" si="32"/>
        <v>0.25</v>
      </c>
      <c r="Q266" s="7">
        <f t="shared" si="33"/>
        <v>0.75</v>
      </c>
      <c r="T266" s="7">
        <f t="shared" si="34"/>
        <v>0.13333333333333333</v>
      </c>
      <c r="W266" s="7">
        <f t="shared" si="35"/>
        <v>0.71153846153846156</v>
      </c>
      <c r="Z266" s="7">
        <f>6/936</f>
        <v>6.41025641025641E-3</v>
      </c>
    </row>
    <row r="267" spans="1:28" x14ac:dyDescent="0.2">
      <c r="A267">
        <v>14</v>
      </c>
      <c r="B267" t="s">
        <v>18</v>
      </c>
      <c r="C267" t="s">
        <v>20</v>
      </c>
      <c r="D267" t="s">
        <v>27</v>
      </c>
      <c r="E267" s="7">
        <v>17</v>
      </c>
      <c r="F267" s="13">
        <v>14</v>
      </c>
      <c r="G267" s="14">
        <f t="shared" si="29"/>
        <v>3</v>
      </c>
      <c r="H267" s="15">
        <v>16</v>
      </c>
      <c r="I267" s="13">
        <v>12</v>
      </c>
      <c r="J267" s="9">
        <f t="shared" si="30"/>
        <v>4</v>
      </c>
      <c r="K267" s="7">
        <f t="shared" si="31"/>
        <v>0.82352941176470584</v>
      </c>
      <c r="N267" s="7">
        <f t="shared" si="32"/>
        <v>0.25</v>
      </c>
      <c r="Q267" s="7">
        <f t="shared" si="33"/>
        <v>0.75</v>
      </c>
      <c r="T267" s="7">
        <f t="shared" si="34"/>
        <v>0.17647058823529413</v>
      </c>
      <c r="W267" s="7">
        <f t="shared" si="35"/>
        <v>0.6964285714285714</v>
      </c>
      <c r="Z267" s="7">
        <f>11/951</f>
        <v>1.1566771819137749E-2</v>
      </c>
    </row>
    <row r="268" spans="1:28" x14ac:dyDescent="0.2">
      <c r="A268">
        <v>1</v>
      </c>
      <c r="B268" t="s">
        <v>15</v>
      </c>
      <c r="C268" t="s">
        <v>20</v>
      </c>
      <c r="D268" t="s">
        <v>28</v>
      </c>
      <c r="E268" s="7">
        <v>15</v>
      </c>
      <c r="F268" s="13">
        <v>13</v>
      </c>
      <c r="G268" s="14">
        <f t="shared" si="29"/>
        <v>2</v>
      </c>
      <c r="H268" s="15">
        <v>15</v>
      </c>
      <c r="I268" s="13">
        <v>10</v>
      </c>
      <c r="J268" s="9">
        <f t="shared" si="30"/>
        <v>5</v>
      </c>
      <c r="K268" s="7">
        <f t="shared" si="31"/>
        <v>0.8666666666666667</v>
      </c>
      <c r="L268" s="8">
        <f>AVERAGE(K268:K274)</f>
        <v>0.88259803921568625</v>
      </c>
      <c r="M268" s="9">
        <f>_xlfn.STDEV.P(K268:K274)/SQRT(7)</f>
        <v>8.6838969355456513E-3</v>
      </c>
      <c r="N268" s="7">
        <f t="shared" si="32"/>
        <v>0.33333333333333331</v>
      </c>
      <c r="O268" s="8">
        <f>AVERAGE(N268:N274)</f>
        <v>0.33375350140056026</v>
      </c>
      <c r="P268" s="9">
        <f>_xlfn.STDEV.P(N268:N274)/SQRT(7)</f>
        <v>1.7128736612820574E-2</v>
      </c>
      <c r="Q268" s="7">
        <f t="shared" si="33"/>
        <v>0.66666666666666663</v>
      </c>
      <c r="R268" s="8">
        <f>AVERAGE(Q268:Q274)</f>
        <v>0.66624649859943985</v>
      </c>
      <c r="S268" s="9">
        <f>_xlfn.STDEV.P(Q268:Q274)/SQRT(7)</f>
        <v>1.7128736612820637E-2</v>
      </c>
      <c r="T268" s="7">
        <f t="shared" si="34"/>
        <v>0.13333333333333333</v>
      </c>
      <c r="U268" s="8">
        <f>AVERAGE(T268:T274)</f>
        <v>0.11740196078431372</v>
      </c>
      <c r="V268" s="9">
        <f>_xlfn.STDEV.P(T268:T274)/SQRT(7)</f>
        <v>8.6838969355456808E-3</v>
      </c>
      <c r="W268" s="7">
        <f t="shared" si="35"/>
        <v>0.61538461538461531</v>
      </c>
      <c r="X268" s="8">
        <f>AVERAGE(W268:W274)</f>
        <v>0.62129774986917841</v>
      </c>
      <c r="Y268" s="9">
        <f>_xlfn.STDEV.P(W268:W274)/SQRT(7)</f>
        <v>2.0705534974953834E-2</v>
      </c>
      <c r="Z268" s="7">
        <f>28/960</f>
        <v>2.9166666666666667E-2</v>
      </c>
      <c r="AA268" s="8">
        <f>AVERAGE(Z268:Z274)</f>
        <v>2.5116640112527292E-2</v>
      </c>
      <c r="AB268" s="9">
        <f>_xlfn.STDEV.P(Z268:Z274)/SQRT(7)</f>
        <v>5.0900795017963857E-3</v>
      </c>
    </row>
    <row r="269" spans="1:28" x14ac:dyDescent="0.2">
      <c r="A269">
        <v>2</v>
      </c>
      <c r="B269" t="s">
        <v>15</v>
      </c>
      <c r="C269" t="s">
        <v>20</v>
      </c>
      <c r="D269" t="s">
        <v>28</v>
      </c>
      <c r="E269" s="7">
        <v>16</v>
      </c>
      <c r="F269" s="13">
        <v>14</v>
      </c>
      <c r="G269" s="14">
        <f t="shared" si="29"/>
        <v>2</v>
      </c>
      <c r="H269" s="15">
        <v>16</v>
      </c>
      <c r="I269" s="13">
        <v>11</v>
      </c>
      <c r="J269" s="9">
        <f t="shared" si="30"/>
        <v>5</v>
      </c>
      <c r="K269" s="7">
        <f t="shared" si="31"/>
        <v>0.875</v>
      </c>
      <c r="N269" s="7">
        <f t="shared" si="32"/>
        <v>0.3125</v>
      </c>
      <c r="Q269" s="7">
        <f t="shared" si="33"/>
        <v>0.6875</v>
      </c>
      <c r="T269" s="7">
        <f t="shared" si="34"/>
        <v>0.125</v>
      </c>
      <c r="W269" s="7">
        <f t="shared" si="35"/>
        <v>0.6428571428571429</v>
      </c>
      <c r="Z269" s="7">
        <f>14/961</f>
        <v>1.4568158168574402E-2</v>
      </c>
    </row>
    <row r="270" spans="1:28" x14ac:dyDescent="0.2">
      <c r="A270">
        <v>3</v>
      </c>
      <c r="B270" t="s">
        <v>15</v>
      </c>
      <c r="C270" t="s">
        <v>20</v>
      </c>
      <c r="D270" t="s">
        <v>28</v>
      </c>
      <c r="E270" s="7">
        <v>16</v>
      </c>
      <c r="F270" s="13">
        <v>15</v>
      </c>
      <c r="G270" s="14">
        <f t="shared" si="29"/>
        <v>1</v>
      </c>
      <c r="H270" s="15">
        <v>16</v>
      </c>
      <c r="I270" s="13">
        <v>11</v>
      </c>
      <c r="J270" s="9">
        <f t="shared" si="30"/>
        <v>5</v>
      </c>
      <c r="K270" s="7">
        <f t="shared" si="31"/>
        <v>0.9375</v>
      </c>
      <c r="N270" s="7">
        <f t="shared" si="32"/>
        <v>0.3125</v>
      </c>
      <c r="Q270" s="7">
        <f t="shared" si="33"/>
        <v>0.6875</v>
      </c>
      <c r="T270" s="7">
        <f t="shared" si="34"/>
        <v>6.25E-2</v>
      </c>
      <c r="W270" s="7">
        <f t="shared" si="35"/>
        <v>0.66666666666666663</v>
      </c>
      <c r="Z270" s="7">
        <f>11/944</f>
        <v>1.1652542372881356E-2</v>
      </c>
    </row>
    <row r="271" spans="1:28" x14ac:dyDescent="0.2">
      <c r="A271">
        <v>4</v>
      </c>
      <c r="B271" t="s">
        <v>15</v>
      </c>
      <c r="C271" t="s">
        <v>20</v>
      </c>
      <c r="D271" t="s">
        <v>28</v>
      </c>
      <c r="E271" s="7">
        <v>15</v>
      </c>
      <c r="F271" s="13">
        <v>13</v>
      </c>
      <c r="G271" s="14">
        <f t="shared" si="29"/>
        <v>2</v>
      </c>
      <c r="H271" s="15">
        <v>15</v>
      </c>
      <c r="I271" s="13">
        <v>9</v>
      </c>
      <c r="J271" s="9">
        <f t="shared" si="30"/>
        <v>6</v>
      </c>
      <c r="K271" s="7">
        <f t="shared" si="31"/>
        <v>0.8666666666666667</v>
      </c>
      <c r="N271" s="7">
        <f t="shared" si="32"/>
        <v>0.4</v>
      </c>
      <c r="Q271" s="7">
        <f t="shared" si="33"/>
        <v>0.6</v>
      </c>
      <c r="T271" s="7">
        <f t="shared" si="34"/>
        <v>0.13333333333333333</v>
      </c>
      <c r="W271" s="7">
        <f t="shared" si="35"/>
        <v>0.53846153846153844</v>
      </c>
      <c r="Z271" s="7">
        <f>24/955</f>
        <v>2.5130890052356022E-2</v>
      </c>
    </row>
    <row r="272" spans="1:28" x14ac:dyDescent="0.2">
      <c r="A272">
        <v>5</v>
      </c>
      <c r="B272" t="s">
        <v>15</v>
      </c>
      <c r="C272" t="s">
        <v>20</v>
      </c>
      <c r="D272" t="s">
        <v>28</v>
      </c>
      <c r="E272" s="7">
        <v>16</v>
      </c>
      <c r="F272" s="13">
        <v>14</v>
      </c>
      <c r="G272" s="14">
        <f t="shared" si="29"/>
        <v>2</v>
      </c>
      <c r="H272" s="15">
        <v>16</v>
      </c>
      <c r="I272" s="13">
        <v>10</v>
      </c>
      <c r="J272" s="9">
        <f t="shared" si="30"/>
        <v>6</v>
      </c>
      <c r="K272" s="7">
        <f t="shared" si="31"/>
        <v>0.875</v>
      </c>
      <c r="N272" s="7">
        <f t="shared" si="32"/>
        <v>0.375</v>
      </c>
      <c r="Q272" s="7">
        <f t="shared" si="33"/>
        <v>0.625</v>
      </c>
      <c r="T272" s="7">
        <f t="shared" si="34"/>
        <v>0.125</v>
      </c>
      <c r="W272" s="7">
        <f t="shared" si="35"/>
        <v>0.5714285714285714</v>
      </c>
      <c r="Z272" s="7">
        <f>35/960</f>
        <v>3.6458333333333336E-2</v>
      </c>
    </row>
    <row r="273" spans="1:28" x14ac:dyDescent="0.2">
      <c r="A273">
        <v>6</v>
      </c>
      <c r="B273" t="s">
        <v>15</v>
      </c>
      <c r="C273" t="s">
        <v>20</v>
      </c>
      <c r="D273" t="s">
        <v>28</v>
      </c>
      <c r="E273" s="7">
        <v>16</v>
      </c>
      <c r="F273" s="13">
        <v>14</v>
      </c>
      <c r="G273" s="14">
        <f t="shared" si="29"/>
        <v>2</v>
      </c>
      <c r="H273" s="15">
        <v>16</v>
      </c>
      <c r="I273" s="13">
        <v>12</v>
      </c>
      <c r="J273" s="9">
        <f t="shared" si="30"/>
        <v>4</v>
      </c>
      <c r="K273" s="7">
        <f t="shared" si="31"/>
        <v>0.875</v>
      </c>
      <c r="N273" s="7">
        <f t="shared" si="32"/>
        <v>0.25</v>
      </c>
      <c r="Q273" s="7">
        <f t="shared" si="33"/>
        <v>0.75</v>
      </c>
      <c r="T273" s="7">
        <f t="shared" si="34"/>
        <v>0.125</v>
      </c>
      <c r="W273" s="7">
        <f t="shared" si="35"/>
        <v>0.7142857142857143</v>
      </c>
      <c r="Z273" s="7">
        <f>46/932</f>
        <v>4.9356223175965663E-2</v>
      </c>
    </row>
    <row r="274" spans="1:28" x14ac:dyDescent="0.2">
      <c r="A274">
        <v>7</v>
      </c>
      <c r="B274" t="s">
        <v>15</v>
      </c>
      <c r="C274" t="s">
        <v>20</v>
      </c>
      <c r="D274" t="s">
        <v>28</v>
      </c>
      <c r="E274" s="7">
        <v>17</v>
      </c>
      <c r="F274" s="13">
        <v>15</v>
      </c>
      <c r="G274" s="14">
        <f t="shared" si="29"/>
        <v>2</v>
      </c>
      <c r="H274" s="15">
        <v>17</v>
      </c>
      <c r="I274" s="13">
        <v>11</v>
      </c>
      <c r="J274" s="9">
        <f t="shared" si="30"/>
        <v>6</v>
      </c>
      <c r="K274" s="7">
        <f t="shared" si="31"/>
        <v>0.88235294117647056</v>
      </c>
      <c r="N274" s="7">
        <f t="shared" si="32"/>
        <v>0.35294117647058826</v>
      </c>
      <c r="Q274" s="7">
        <f t="shared" si="33"/>
        <v>0.6470588235294118</v>
      </c>
      <c r="T274" s="7">
        <f t="shared" si="34"/>
        <v>0.11764705882352941</v>
      </c>
      <c r="W274" s="7">
        <f t="shared" si="35"/>
        <v>0.6</v>
      </c>
      <c r="Z274" s="7">
        <f>9/949</f>
        <v>9.4836670179135937E-3</v>
      </c>
    </row>
    <row r="275" spans="1:28" x14ac:dyDescent="0.2">
      <c r="A275">
        <v>8</v>
      </c>
      <c r="B275" t="s">
        <v>18</v>
      </c>
      <c r="C275" t="s">
        <v>20</v>
      </c>
      <c r="D275" t="s">
        <v>28</v>
      </c>
      <c r="E275" s="7">
        <v>15</v>
      </c>
      <c r="F275" s="13">
        <v>12</v>
      </c>
      <c r="G275" s="14">
        <f t="shared" si="29"/>
        <v>3</v>
      </c>
      <c r="H275" s="15">
        <v>15</v>
      </c>
      <c r="I275" s="13">
        <v>12</v>
      </c>
      <c r="J275" s="9">
        <f t="shared" si="30"/>
        <v>3</v>
      </c>
      <c r="K275" s="7">
        <f t="shared" si="31"/>
        <v>0.8</v>
      </c>
      <c r="L275" s="8">
        <f>AVERAGE(K275:K281)</f>
        <v>0.8355042016806723</v>
      </c>
      <c r="M275" s="9">
        <f>_xlfn.STDEV.P(K275:K281)/SQRT(7)</f>
        <v>1.8304284576557313E-2</v>
      </c>
      <c r="N275" s="7">
        <f t="shared" si="32"/>
        <v>0.2</v>
      </c>
      <c r="O275" s="8">
        <f>AVERAGE(N275:N281)</f>
        <v>0.21130952380952378</v>
      </c>
      <c r="P275" s="9">
        <f>_xlfn.STDEV.P(N275:N281)/SQRT(7)</f>
        <v>1.1533320974956475E-2</v>
      </c>
      <c r="Q275" s="7">
        <f t="shared" si="33"/>
        <v>0.8</v>
      </c>
      <c r="R275" s="8">
        <f>AVERAGE(Q275:Q281)</f>
        <v>0.78869047619047616</v>
      </c>
      <c r="S275" s="9">
        <f>_xlfn.STDEV.P(Q275:Q281)/SQRT(7)</f>
        <v>1.153332097495645E-2</v>
      </c>
      <c r="T275" s="7">
        <f t="shared" si="34"/>
        <v>0.2</v>
      </c>
      <c r="U275" s="8">
        <f>AVERAGE(T275:T281)</f>
        <v>0.16449579831932773</v>
      </c>
      <c r="V275" s="9">
        <f>_xlfn.STDEV.P(T275:T281)/SQRT(7)</f>
        <v>1.8304284576557365E-2</v>
      </c>
      <c r="W275" s="7">
        <f t="shared" si="35"/>
        <v>0.75000000000000011</v>
      </c>
      <c r="X275" s="8">
        <f>AVERAGE(W275:W281)</f>
        <v>0.74546866823652536</v>
      </c>
      <c r="Y275" s="9">
        <f>_xlfn.STDEV.P(W275:W281)/SQRT(7)</f>
        <v>1.6724084648551175E-2</v>
      </c>
      <c r="Z275" s="7">
        <f>36/950</f>
        <v>3.7894736842105266E-2</v>
      </c>
      <c r="AA275" s="8">
        <f>AVERAGE(Z275:Z281)</f>
        <v>5.4475145512832439E-2</v>
      </c>
      <c r="AB275" s="9">
        <f>_xlfn.STDEV.P(Z275:Z281)/SQRT(7)</f>
        <v>1.8095798911903594E-2</v>
      </c>
    </row>
    <row r="276" spans="1:28" x14ac:dyDescent="0.2">
      <c r="A276">
        <v>9</v>
      </c>
      <c r="B276" t="s">
        <v>18</v>
      </c>
      <c r="C276" t="s">
        <v>20</v>
      </c>
      <c r="D276" t="s">
        <v>28</v>
      </c>
      <c r="E276" s="7">
        <v>16</v>
      </c>
      <c r="F276" s="13">
        <v>14</v>
      </c>
      <c r="G276" s="14">
        <f t="shared" si="29"/>
        <v>2</v>
      </c>
      <c r="H276" s="15">
        <v>16</v>
      </c>
      <c r="I276" s="13">
        <v>13</v>
      </c>
      <c r="J276" s="9">
        <f t="shared" si="30"/>
        <v>3</v>
      </c>
      <c r="K276" s="7">
        <f t="shared" si="31"/>
        <v>0.875</v>
      </c>
      <c r="N276" s="7">
        <f t="shared" si="32"/>
        <v>0.1875</v>
      </c>
      <c r="Q276" s="7">
        <f t="shared" si="33"/>
        <v>0.8125</v>
      </c>
      <c r="T276" s="7">
        <f t="shared" si="34"/>
        <v>0.125</v>
      </c>
      <c r="W276" s="7">
        <f t="shared" si="35"/>
        <v>0.7857142857142857</v>
      </c>
      <c r="Z276" s="7">
        <f>12/959</f>
        <v>1.251303441084463E-2</v>
      </c>
    </row>
    <row r="277" spans="1:28" x14ac:dyDescent="0.2">
      <c r="A277">
        <v>10</v>
      </c>
      <c r="B277" t="s">
        <v>18</v>
      </c>
      <c r="C277" t="s">
        <v>20</v>
      </c>
      <c r="D277" t="s">
        <v>28</v>
      </c>
      <c r="E277" s="7">
        <v>17</v>
      </c>
      <c r="F277" s="13">
        <v>14</v>
      </c>
      <c r="G277" s="14">
        <f t="shared" si="29"/>
        <v>3</v>
      </c>
      <c r="H277" s="15">
        <v>16</v>
      </c>
      <c r="I277" s="13">
        <v>12</v>
      </c>
      <c r="J277" s="9">
        <f t="shared" si="30"/>
        <v>4</v>
      </c>
      <c r="K277" s="7">
        <f t="shared" si="31"/>
        <v>0.82352941176470584</v>
      </c>
      <c r="N277" s="7">
        <f t="shared" si="32"/>
        <v>0.25</v>
      </c>
      <c r="Q277" s="7">
        <f t="shared" si="33"/>
        <v>0.75</v>
      </c>
      <c r="T277" s="7">
        <f t="shared" si="34"/>
        <v>0.17647058823529413</v>
      </c>
      <c r="W277" s="7">
        <f t="shared" si="35"/>
        <v>0.6964285714285714</v>
      </c>
      <c r="Z277" s="7">
        <f>22/967</f>
        <v>2.2750775594622543E-2</v>
      </c>
    </row>
    <row r="278" spans="1:28" x14ac:dyDescent="0.2">
      <c r="A278">
        <v>11</v>
      </c>
      <c r="B278" t="s">
        <v>18</v>
      </c>
      <c r="C278" t="s">
        <v>20</v>
      </c>
      <c r="D278" t="s">
        <v>28</v>
      </c>
      <c r="E278" s="7">
        <v>15</v>
      </c>
      <c r="F278" s="13">
        <v>12</v>
      </c>
      <c r="G278" s="14">
        <f t="shared" si="29"/>
        <v>3</v>
      </c>
      <c r="H278" s="15">
        <v>15</v>
      </c>
      <c r="I278" s="13">
        <v>11</v>
      </c>
      <c r="J278" s="9">
        <f t="shared" si="30"/>
        <v>4</v>
      </c>
      <c r="K278" s="7">
        <f t="shared" si="31"/>
        <v>0.8</v>
      </c>
      <c r="N278" s="7">
        <f t="shared" si="32"/>
        <v>0.26666666666666666</v>
      </c>
      <c r="Q278" s="7">
        <f t="shared" si="33"/>
        <v>0.73333333333333328</v>
      </c>
      <c r="T278" s="7">
        <f t="shared" si="34"/>
        <v>0.2</v>
      </c>
      <c r="W278" s="7">
        <f t="shared" si="35"/>
        <v>0.66666666666666652</v>
      </c>
      <c r="Z278" s="7">
        <f>24/934</f>
        <v>2.569593147751606E-2</v>
      </c>
    </row>
    <row r="279" spans="1:28" x14ac:dyDescent="0.2">
      <c r="A279">
        <v>12</v>
      </c>
      <c r="B279" t="s">
        <v>18</v>
      </c>
      <c r="C279" t="s">
        <v>20</v>
      </c>
      <c r="D279" t="s">
        <v>28</v>
      </c>
      <c r="E279" s="7">
        <v>16</v>
      </c>
      <c r="F279" s="13">
        <v>15</v>
      </c>
      <c r="G279" s="14">
        <f t="shared" si="29"/>
        <v>1</v>
      </c>
      <c r="H279" s="15">
        <v>16</v>
      </c>
      <c r="I279" s="13">
        <v>13</v>
      </c>
      <c r="J279" s="9">
        <f t="shared" si="30"/>
        <v>3</v>
      </c>
      <c r="K279" s="7">
        <f t="shared" si="31"/>
        <v>0.9375</v>
      </c>
      <c r="N279" s="7">
        <f t="shared" si="32"/>
        <v>0.1875</v>
      </c>
      <c r="Q279" s="7">
        <f t="shared" si="33"/>
        <v>0.8125</v>
      </c>
      <c r="T279" s="7">
        <f t="shared" si="34"/>
        <v>6.25E-2</v>
      </c>
      <c r="W279" s="7">
        <f t="shared" si="35"/>
        <v>0.8</v>
      </c>
      <c r="Z279" s="7">
        <f>38/946</f>
        <v>4.0169133192389003E-2</v>
      </c>
    </row>
    <row r="280" spans="1:28" x14ac:dyDescent="0.2">
      <c r="A280">
        <v>13</v>
      </c>
      <c r="B280" t="s">
        <v>18</v>
      </c>
      <c r="C280" t="s">
        <v>20</v>
      </c>
      <c r="D280" t="s">
        <v>28</v>
      </c>
      <c r="E280" s="7">
        <v>16</v>
      </c>
      <c r="F280" s="13">
        <v>13</v>
      </c>
      <c r="G280" s="14">
        <f t="shared" si="29"/>
        <v>3</v>
      </c>
      <c r="H280" s="15">
        <v>15</v>
      </c>
      <c r="I280" s="13">
        <v>12</v>
      </c>
      <c r="J280" s="9">
        <f t="shared" si="30"/>
        <v>3</v>
      </c>
      <c r="K280" s="7">
        <f t="shared" si="31"/>
        <v>0.8125</v>
      </c>
      <c r="N280" s="7">
        <f t="shared" si="32"/>
        <v>0.2</v>
      </c>
      <c r="Q280" s="7">
        <f t="shared" si="33"/>
        <v>0.8</v>
      </c>
      <c r="T280" s="7">
        <f t="shared" si="34"/>
        <v>0.1875</v>
      </c>
      <c r="W280" s="7">
        <f t="shared" si="35"/>
        <v>0.75384615384615394</v>
      </c>
      <c r="Z280" s="7">
        <f>77/940</f>
        <v>8.191489361702127E-2</v>
      </c>
    </row>
    <row r="281" spans="1:28" x14ac:dyDescent="0.2">
      <c r="A281">
        <v>14</v>
      </c>
      <c r="B281" t="s">
        <v>18</v>
      </c>
      <c r="C281" t="s">
        <v>20</v>
      </c>
      <c r="D281" t="s">
        <v>28</v>
      </c>
      <c r="E281" s="7">
        <v>15</v>
      </c>
      <c r="F281" s="13">
        <v>12</v>
      </c>
      <c r="G281" s="14">
        <f t="shared" si="29"/>
        <v>3</v>
      </c>
      <c r="H281" s="15">
        <v>16</v>
      </c>
      <c r="I281" s="13">
        <v>13</v>
      </c>
      <c r="J281" s="9">
        <f t="shared" si="30"/>
        <v>3</v>
      </c>
      <c r="K281" s="7">
        <f t="shared" si="31"/>
        <v>0.8</v>
      </c>
      <c r="N281" s="7">
        <f t="shared" si="32"/>
        <v>0.1875</v>
      </c>
      <c r="Q281" s="7">
        <f t="shared" si="33"/>
        <v>0.8125</v>
      </c>
      <c r="T281" s="7">
        <f t="shared" si="34"/>
        <v>0.2</v>
      </c>
      <c r="W281" s="7">
        <f t="shared" si="35"/>
        <v>0.765625</v>
      </c>
      <c r="Z281" s="7">
        <f>149/929</f>
        <v>0.16038751345532831</v>
      </c>
    </row>
    <row r="282" spans="1:28" x14ac:dyDescent="0.2">
      <c r="A282">
        <v>1</v>
      </c>
      <c r="B282" t="s">
        <v>15</v>
      </c>
      <c r="C282" t="s">
        <v>20</v>
      </c>
      <c r="D282" t="s">
        <v>29</v>
      </c>
      <c r="E282" s="7">
        <v>16</v>
      </c>
      <c r="F282" s="13">
        <v>14</v>
      </c>
      <c r="G282" s="14">
        <f t="shared" si="29"/>
        <v>2</v>
      </c>
      <c r="H282" s="15">
        <v>16</v>
      </c>
      <c r="I282" s="13">
        <v>12</v>
      </c>
      <c r="J282" s="9">
        <f t="shared" si="30"/>
        <v>4</v>
      </c>
      <c r="K282" s="7">
        <f t="shared" si="31"/>
        <v>0.875</v>
      </c>
      <c r="L282" s="8">
        <f>AVERAGE(K282:K288)</f>
        <v>0.84628851540616246</v>
      </c>
      <c r="M282" s="9">
        <f>_xlfn.STDEV.P(K282:K288)/SQRT(7)</f>
        <v>1.2609167992194623E-2</v>
      </c>
      <c r="N282" s="7">
        <f t="shared" si="32"/>
        <v>0.25</v>
      </c>
      <c r="O282" s="8">
        <f>AVERAGE(N282:N288)</f>
        <v>0.2255952380952381</v>
      </c>
      <c r="P282" s="9">
        <f>_xlfn.STDEV.P(N282:N288)/SQRT(7)</f>
        <v>1.7865644234847589E-2</v>
      </c>
      <c r="Q282" s="7">
        <f t="shared" si="33"/>
        <v>0.75</v>
      </c>
      <c r="R282" s="8">
        <f>AVERAGE(Q282:Q288)</f>
        <v>0.77440476190476193</v>
      </c>
      <c r="S282" s="9">
        <f>_xlfn.STDEV.P(Q282:Q288)/SQRT(7)</f>
        <v>1.7865644234847562E-2</v>
      </c>
      <c r="T282" s="7">
        <f t="shared" si="34"/>
        <v>0.125</v>
      </c>
      <c r="U282" s="8">
        <f>AVERAGE(T282:T288)</f>
        <v>0.15371148459383752</v>
      </c>
      <c r="V282" s="9">
        <f>_xlfn.STDEV.P(T282:T288)/SQRT(7)</f>
        <v>1.2609167992194642E-2</v>
      </c>
      <c r="W282" s="7">
        <f t="shared" si="35"/>
        <v>0.7142857142857143</v>
      </c>
      <c r="X282" s="8">
        <f>AVERAGE(W282:W288)</f>
        <v>0.73163919413919409</v>
      </c>
      <c r="Y282" s="9">
        <f>_xlfn.STDEV.P(W282:W288)/SQRT(7)</f>
        <v>2.3368075886637932E-2</v>
      </c>
      <c r="Z282" s="7">
        <f>111/926</f>
        <v>0.11987041036717062</v>
      </c>
      <c r="AA282" s="8">
        <f>AVERAGE(Z282:Z288)</f>
        <v>0.13251886289531387</v>
      </c>
      <c r="AB282" s="9">
        <f>_xlfn.STDEV.P(Z282:Z288)/SQRT(7)</f>
        <v>1.1633009446453313E-2</v>
      </c>
    </row>
    <row r="283" spans="1:28" x14ac:dyDescent="0.2">
      <c r="A283">
        <v>2</v>
      </c>
      <c r="B283" t="s">
        <v>15</v>
      </c>
      <c r="C283" t="s">
        <v>20</v>
      </c>
      <c r="D283" t="s">
        <v>29</v>
      </c>
      <c r="E283" s="7">
        <v>16</v>
      </c>
      <c r="F283" s="13">
        <v>13</v>
      </c>
      <c r="G283" s="14">
        <f t="shared" si="29"/>
        <v>3</v>
      </c>
      <c r="H283" s="15">
        <v>16</v>
      </c>
      <c r="I283" s="13">
        <v>12</v>
      </c>
      <c r="J283" s="9">
        <f t="shared" si="30"/>
        <v>4</v>
      </c>
      <c r="K283" s="7">
        <f t="shared" si="31"/>
        <v>0.8125</v>
      </c>
      <c r="N283" s="7">
        <f t="shared" si="32"/>
        <v>0.25</v>
      </c>
      <c r="Q283" s="7">
        <f t="shared" si="33"/>
        <v>0.75</v>
      </c>
      <c r="T283" s="7">
        <f t="shared" si="34"/>
        <v>0.1875</v>
      </c>
      <c r="W283" s="7">
        <f t="shared" si="35"/>
        <v>0.69230769230769229</v>
      </c>
      <c r="Z283" s="7">
        <f>92/910</f>
        <v>0.1010989010989011</v>
      </c>
    </row>
    <row r="284" spans="1:28" x14ac:dyDescent="0.2">
      <c r="A284">
        <v>3</v>
      </c>
      <c r="B284" t="s">
        <v>15</v>
      </c>
      <c r="C284" t="s">
        <v>20</v>
      </c>
      <c r="D284" t="s">
        <v>29</v>
      </c>
      <c r="E284" s="7">
        <v>17</v>
      </c>
      <c r="F284" s="13">
        <v>15</v>
      </c>
      <c r="G284" s="14">
        <f t="shared" ref="G284:G295" si="36">E284-F284</f>
        <v>2</v>
      </c>
      <c r="H284" s="15">
        <v>16</v>
      </c>
      <c r="I284" s="13">
        <v>14</v>
      </c>
      <c r="J284" s="9">
        <f t="shared" ref="J284:J295" si="37">H284-I284</f>
        <v>2</v>
      </c>
      <c r="K284" s="7">
        <f t="shared" si="31"/>
        <v>0.88235294117647056</v>
      </c>
      <c r="N284" s="7">
        <f t="shared" si="32"/>
        <v>0.125</v>
      </c>
      <c r="Q284" s="7">
        <f t="shared" si="33"/>
        <v>0.875</v>
      </c>
      <c r="T284" s="7">
        <f t="shared" si="34"/>
        <v>0.11764705882352941</v>
      </c>
      <c r="W284" s="7">
        <f t="shared" si="35"/>
        <v>0.85833333333333328</v>
      </c>
      <c r="Z284" s="7">
        <f>117/923</f>
        <v>0.12676056338028169</v>
      </c>
    </row>
    <row r="285" spans="1:28" x14ac:dyDescent="0.2">
      <c r="A285">
        <v>4</v>
      </c>
      <c r="B285" t="s">
        <v>15</v>
      </c>
      <c r="C285" t="s">
        <v>20</v>
      </c>
      <c r="D285" t="s">
        <v>29</v>
      </c>
      <c r="E285" s="7">
        <v>15</v>
      </c>
      <c r="F285" s="13">
        <v>13</v>
      </c>
      <c r="G285" s="14">
        <f t="shared" si="36"/>
        <v>2</v>
      </c>
      <c r="H285" s="15">
        <v>16</v>
      </c>
      <c r="I285" s="13">
        <v>12</v>
      </c>
      <c r="J285" s="9">
        <f t="shared" si="37"/>
        <v>4</v>
      </c>
      <c r="K285" s="7">
        <f t="shared" si="31"/>
        <v>0.8666666666666667</v>
      </c>
      <c r="N285" s="7">
        <f t="shared" si="32"/>
        <v>0.25</v>
      </c>
      <c r="Q285" s="7">
        <f t="shared" si="33"/>
        <v>0.75</v>
      </c>
      <c r="T285" s="7">
        <f t="shared" si="34"/>
        <v>0.13333333333333333</v>
      </c>
      <c r="W285" s="7">
        <f t="shared" si="35"/>
        <v>0.71153846153846156</v>
      </c>
      <c r="Z285" s="7">
        <f>178/902</f>
        <v>0.19733924611973391</v>
      </c>
    </row>
    <row r="286" spans="1:28" x14ac:dyDescent="0.2">
      <c r="A286">
        <v>5</v>
      </c>
      <c r="B286" t="s">
        <v>15</v>
      </c>
      <c r="C286" t="s">
        <v>20</v>
      </c>
      <c r="D286" t="s">
        <v>29</v>
      </c>
      <c r="E286" s="7">
        <v>16</v>
      </c>
      <c r="F286" s="13">
        <v>14</v>
      </c>
      <c r="G286" s="14">
        <f t="shared" si="36"/>
        <v>2</v>
      </c>
      <c r="H286" s="15">
        <v>16</v>
      </c>
      <c r="I286" s="13">
        <v>13</v>
      </c>
      <c r="J286" s="9">
        <f t="shared" si="37"/>
        <v>3</v>
      </c>
      <c r="K286" s="7">
        <f t="shared" si="31"/>
        <v>0.875</v>
      </c>
      <c r="N286" s="7">
        <f t="shared" si="32"/>
        <v>0.1875</v>
      </c>
      <c r="Q286" s="7">
        <f t="shared" si="33"/>
        <v>0.8125</v>
      </c>
      <c r="T286" s="7">
        <f t="shared" si="34"/>
        <v>0.125</v>
      </c>
      <c r="W286" s="7">
        <f t="shared" si="35"/>
        <v>0.7857142857142857</v>
      </c>
      <c r="Z286" s="7">
        <f>113/922</f>
        <v>0.12255965292841649</v>
      </c>
    </row>
    <row r="287" spans="1:28" x14ac:dyDescent="0.2">
      <c r="A287">
        <v>6</v>
      </c>
      <c r="B287" t="s">
        <v>15</v>
      </c>
      <c r="C287" t="s">
        <v>20</v>
      </c>
      <c r="D287" t="s">
        <v>29</v>
      </c>
      <c r="E287" s="7">
        <v>16</v>
      </c>
      <c r="F287" s="13">
        <v>13</v>
      </c>
      <c r="G287" s="14">
        <f t="shared" si="36"/>
        <v>3</v>
      </c>
      <c r="H287" s="15">
        <v>15</v>
      </c>
      <c r="I287" s="13">
        <v>11</v>
      </c>
      <c r="J287" s="9">
        <f t="shared" si="37"/>
        <v>4</v>
      </c>
      <c r="K287" s="7">
        <f t="shared" si="31"/>
        <v>0.8125</v>
      </c>
      <c r="N287" s="7">
        <f t="shared" si="32"/>
        <v>0.26666666666666666</v>
      </c>
      <c r="Q287" s="7">
        <f t="shared" si="33"/>
        <v>0.73333333333333328</v>
      </c>
      <c r="T287" s="7">
        <f t="shared" si="34"/>
        <v>0.1875</v>
      </c>
      <c r="W287" s="7">
        <f t="shared" si="35"/>
        <v>0.67179487179487174</v>
      </c>
      <c r="Z287" s="7">
        <f>100/942</f>
        <v>0.10615711252653928</v>
      </c>
    </row>
    <row r="288" spans="1:28" x14ac:dyDescent="0.2">
      <c r="A288">
        <v>7</v>
      </c>
      <c r="B288" t="s">
        <v>15</v>
      </c>
      <c r="C288" t="s">
        <v>20</v>
      </c>
      <c r="D288" t="s">
        <v>29</v>
      </c>
      <c r="E288" s="7">
        <v>15</v>
      </c>
      <c r="F288" s="13">
        <v>12</v>
      </c>
      <c r="G288" s="14">
        <f t="shared" si="36"/>
        <v>3</v>
      </c>
      <c r="H288" s="15">
        <v>16</v>
      </c>
      <c r="I288" s="13">
        <v>12</v>
      </c>
      <c r="J288" s="9">
        <f t="shared" si="37"/>
        <v>4</v>
      </c>
      <c r="K288" s="7">
        <f t="shared" si="31"/>
        <v>0.8</v>
      </c>
      <c r="N288" s="7">
        <f t="shared" si="32"/>
        <v>0.25</v>
      </c>
      <c r="Q288" s="7">
        <f t="shared" si="33"/>
        <v>0.75</v>
      </c>
      <c r="T288" s="7">
        <f t="shared" si="34"/>
        <v>0.2</v>
      </c>
      <c r="W288" s="7">
        <f t="shared" si="35"/>
        <v>0.6875</v>
      </c>
      <c r="Z288" s="7">
        <f>138/897</f>
        <v>0.15384615384615385</v>
      </c>
    </row>
    <row r="289" spans="1:28" x14ac:dyDescent="0.2">
      <c r="A289">
        <v>8</v>
      </c>
      <c r="B289" t="s">
        <v>18</v>
      </c>
      <c r="C289" t="s">
        <v>20</v>
      </c>
      <c r="D289" t="s">
        <v>29</v>
      </c>
      <c r="E289" s="7">
        <v>17</v>
      </c>
      <c r="F289" s="13">
        <v>14</v>
      </c>
      <c r="G289" s="14">
        <f t="shared" si="36"/>
        <v>3</v>
      </c>
      <c r="H289" s="15">
        <v>16</v>
      </c>
      <c r="I289" s="13">
        <v>13</v>
      </c>
      <c r="J289" s="9">
        <f t="shared" si="37"/>
        <v>3</v>
      </c>
      <c r="K289" s="7">
        <f t="shared" si="31"/>
        <v>0.82352941176470584</v>
      </c>
      <c r="L289" s="8">
        <f>AVERAGE(K289:K295)</f>
        <v>0.8210084033613444</v>
      </c>
      <c r="M289" s="9">
        <f>_xlfn.STDEV.P(K289:K295)/SQRT(7)</f>
        <v>8.9844484157580937E-3</v>
      </c>
      <c r="N289" s="7">
        <f t="shared" si="32"/>
        <v>0.1875</v>
      </c>
      <c r="O289" s="8">
        <f>AVERAGE(N289:N295)</f>
        <v>0.16323529411764706</v>
      </c>
      <c r="P289" s="9">
        <f>_xlfn.STDEV.P(N289:N295)/SQRT(7)</f>
        <v>1.3464239658961661E-2</v>
      </c>
      <c r="Q289" s="7">
        <f t="shared" si="33"/>
        <v>0.8125</v>
      </c>
      <c r="R289" s="8">
        <f>AVERAGE(Q289:Q295)</f>
        <v>0.83676470588235297</v>
      </c>
      <c r="S289" s="9">
        <f>_xlfn.STDEV.P(Q289:Q295)/SQRT(7)</f>
        <v>1.3464239658961626E-2</v>
      </c>
      <c r="T289" s="7">
        <f t="shared" si="34"/>
        <v>0.17647058823529413</v>
      </c>
      <c r="U289" s="8">
        <f>AVERAGE(T289:T295)</f>
        <v>0.17899159663865546</v>
      </c>
      <c r="V289" s="9">
        <f>_xlfn.STDEV.P(T289:T295)/SQRT(7)</f>
        <v>8.9844484157581214E-3</v>
      </c>
      <c r="W289" s="7">
        <f t="shared" si="35"/>
        <v>0.7723214285714286</v>
      </c>
      <c r="X289" s="8">
        <f>AVERAGE(W289:W295)</f>
        <v>0.80169567827130839</v>
      </c>
      <c r="Y289" s="9">
        <f>_xlfn.STDEV.P(W289:W295)/SQRT(7)</f>
        <v>1.5494553397844696E-2</v>
      </c>
      <c r="Z289" s="7">
        <f>141/910</f>
        <v>0.15494505494505495</v>
      </c>
      <c r="AA289" s="8">
        <f>AVERAGE(Z289:Z295)</f>
        <v>7.3522769737397423E-2</v>
      </c>
      <c r="AB289" s="9">
        <f>_xlfn.STDEV.P(Z289:Z295)/SQRT(7)</f>
        <v>2.7500341452513385E-2</v>
      </c>
    </row>
    <row r="290" spans="1:28" x14ac:dyDescent="0.2">
      <c r="A290">
        <v>9</v>
      </c>
      <c r="B290" t="s">
        <v>18</v>
      </c>
      <c r="C290" t="s">
        <v>20</v>
      </c>
      <c r="D290" t="s">
        <v>29</v>
      </c>
      <c r="E290" s="7">
        <v>15</v>
      </c>
      <c r="F290" s="13">
        <v>12</v>
      </c>
      <c r="G290" s="14">
        <f t="shared" si="36"/>
        <v>3</v>
      </c>
      <c r="H290" s="15">
        <v>17</v>
      </c>
      <c r="I290" s="13">
        <v>15</v>
      </c>
      <c r="J290" s="9">
        <f t="shared" si="37"/>
        <v>2</v>
      </c>
      <c r="K290" s="7">
        <f t="shared" si="31"/>
        <v>0.8</v>
      </c>
      <c r="N290" s="7">
        <f t="shared" si="32"/>
        <v>0.11764705882352941</v>
      </c>
      <c r="Q290" s="7">
        <f t="shared" si="33"/>
        <v>0.88235294117647056</v>
      </c>
      <c r="T290" s="7">
        <f t="shared" si="34"/>
        <v>0.2</v>
      </c>
      <c r="W290" s="7">
        <f t="shared" si="35"/>
        <v>0.8529411764705882</v>
      </c>
      <c r="Z290" s="7">
        <f>150/929</f>
        <v>0.16146393972012918</v>
      </c>
    </row>
    <row r="291" spans="1:28" x14ac:dyDescent="0.2">
      <c r="A291">
        <v>10</v>
      </c>
      <c r="B291" t="s">
        <v>18</v>
      </c>
      <c r="C291" t="s">
        <v>20</v>
      </c>
      <c r="D291" t="s">
        <v>29</v>
      </c>
      <c r="E291" s="7">
        <v>16</v>
      </c>
      <c r="F291" s="13">
        <v>13</v>
      </c>
      <c r="G291" s="14">
        <f t="shared" si="36"/>
        <v>3</v>
      </c>
      <c r="H291" s="15">
        <v>15</v>
      </c>
      <c r="I291" s="13">
        <v>12</v>
      </c>
      <c r="J291" s="9">
        <f t="shared" si="37"/>
        <v>3</v>
      </c>
      <c r="K291" s="7">
        <f t="shared" si="31"/>
        <v>0.8125</v>
      </c>
      <c r="N291" s="7">
        <f t="shared" si="32"/>
        <v>0.2</v>
      </c>
      <c r="Q291" s="7">
        <f t="shared" si="33"/>
        <v>0.8</v>
      </c>
      <c r="T291" s="7">
        <f t="shared" si="34"/>
        <v>0.1875</v>
      </c>
      <c r="W291" s="7">
        <f t="shared" si="35"/>
        <v>0.75384615384615394</v>
      </c>
      <c r="Z291" s="7">
        <f>143/922</f>
        <v>0.15509761388286333</v>
      </c>
    </row>
    <row r="292" spans="1:28" x14ac:dyDescent="0.2">
      <c r="A292">
        <v>11</v>
      </c>
      <c r="B292" t="s">
        <v>18</v>
      </c>
      <c r="C292" t="s">
        <v>20</v>
      </c>
      <c r="D292" t="s">
        <v>29</v>
      </c>
      <c r="E292" s="7">
        <v>16</v>
      </c>
      <c r="F292" s="13">
        <v>14</v>
      </c>
      <c r="G292" s="14">
        <f t="shared" si="36"/>
        <v>2</v>
      </c>
      <c r="H292" s="15">
        <v>16</v>
      </c>
      <c r="I292" s="13">
        <v>13</v>
      </c>
      <c r="J292" s="9">
        <f t="shared" si="37"/>
        <v>3</v>
      </c>
      <c r="K292" s="7">
        <f t="shared" si="31"/>
        <v>0.875</v>
      </c>
      <c r="N292" s="7">
        <f t="shared" si="32"/>
        <v>0.1875</v>
      </c>
      <c r="Q292" s="7">
        <f t="shared" si="33"/>
        <v>0.8125</v>
      </c>
      <c r="T292" s="7">
        <f t="shared" si="34"/>
        <v>0.125</v>
      </c>
      <c r="W292" s="7">
        <f t="shared" si="35"/>
        <v>0.7857142857142857</v>
      </c>
      <c r="Z292" s="7">
        <f>2/925</f>
        <v>2.1621621621621622E-3</v>
      </c>
    </row>
    <row r="293" spans="1:28" x14ac:dyDescent="0.2">
      <c r="A293">
        <v>12</v>
      </c>
      <c r="B293" t="s">
        <v>18</v>
      </c>
      <c r="C293" t="s">
        <v>20</v>
      </c>
      <c r="D293" t="s">
        <v>29</v>
      </c>
      <c r="E293" s="7">
        <v>16</v>
      </c>
      <c r="F293" s="13">
        <v>13</v>
      </c>
      <c r="G293" s="14">
        <f t="shared" si="36"/>
        <v>3</v>
      </c>
      <c r="H293" s="15">
        <v>16</v>
      </c>
      <c r="I293" s="13">
        <v>14</v>
      </c>
      <c r="J293" s="9">
        <f t="shared" si="37"/>
        <v>2</v>
      </c>
      <c r="K293" s="7">
        <f t="shared" si="31"/>
        <v>0.8125</v>
      </c>
      <c r="N293" s="7">
        <f t="shared" si="32"/>
        <v>0.125</v>
      </c>
      <c r="Q293" s="7">
        <f t="shared" si="33"/>
        <v>0.875</v>
      </c>
      <c r="T293" s="7">
        <f t="shared" si="34"/>
        <v>0.1875</v>
      </c>
      <c r="W293" s="7">
        <f t="shared" si="35"/>
        <v>0.84615384615384615</v>
      </c>
      <c r="Z293" s="7">
        <f>23/932</f>
        <v>2.4678111587982832E-2</v>
      </c>
    </row>
    <row r="294" spans="1:28" x14ac:dyDescent="0.2">
      <c r="A294">
        <v>13</v>
      </c>
      <c r="B294" t="s">
        <v>18</v>
      </c>
      <c r="C294" t="s">
        <v>20</v>
      </c>
      <c r="D294" t="s">
        <v>29</v>
      </c>
      <c r="E294" s="7">
        <v>17</v>
      </c>
      <c r="F294" s="13">
        <v>14</v>
      </c>
      <c r="G294" s="14">
        <f t="shared" si="36"/>
        <v>3</v>
      </c>
      <c r="H294" s="15">
        <v>15</v>
      </c>
      <c r="I294" s="13">
        <v>12</v>
      </c>
      <c r="J294" s="9">
        <f t="shared" si="37"/>
        <v>3</v>
      </c>
      <c r="K294" s="7">
        <f t="shared" si="31"/>
        <v>0.82352941176470584</v>
      </c>
      <c r="N294" s="7">
        <f t="shared" si="32"/>
        <v>0.2</v>
      </c>
      <c r="Q294" s="7">
        <f t="shared" si="33"/>
        <v>0.8</v>
      </c>
      <c r="T294" s="7">
        <f t="shared" si="34"/>
        <v>0.17647058823529413</v>
      </c>
      <c r="W294" s="7">
        <f t="shared" si="35"/>
        <v>0.75714285714285723</v>
      </c>
      <c r="Z294" s="7">
        <f>10/912</f>
        <v>1.0964912280701754E-2</v>
      </c>
    </row>
    <row r="295" spans="1:28" x14ac:dyDescent="0.2">
      <c r="A295">
        <v>14</v>
      </c>
      <c r="B295" t="s">
        <v>18</v>
      </c>
      <c r="C295" t="s">
        <v>20</v>
      </c>
      <c r="D295" t="s">
        <v>29</v>
      </c>
      <c r="E295" s="7">
        <v>15</v>
      </c>
      <c r="F295" s="13">
        <v>12</v>
      </c>
      <c r="G295" s="14">
        <f t="shared" si="36"/>
        <v>3</v>
      </c>
      <c r="H295" s="15">
        <v>16</v>
      </c>
      <c r="I295" s="13">
        <v>14</v>
      </c>
      <c r="J295" s="9">
        <f t="shared" si="37"/>
        <v>2</v>
      </c>
      <c r="K295" s="7">
        <f t="shared" si="31"/>
        <v>0.8</v>
      </c>
      <c r="N295" s="7">
        <f t="shared" si="32"/>
        <v>0.125</v>
      </c>
      <c r="Q295" s="7">
        <f t="shared" si="33"/>
        <v>0.875</v>
      </c>
      <c r="T295" s="7">
        <f t="shared" si="34"/>
        <v>0.2</v>
      </c>
      <c r="W295" s="7">
        <f t="shared" si="35"/>
        <v>0.84375</v>
      </c>
      <c r="Z295" s="7">
        <f>5/935</f>
        <v>5.3475935828877002E-3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39EB-2651-4D8E-9E83-DB4F7E122A3C}">
  <dimension ref="A1:R43"/>
  <sheetViews>
    <sheetView topLeftCell="A24" zoomScaleNormal="100" workbookViewId="0">
      <selection activeCell="H51" sqref="H51"/>
    </sheetView>
  </sheetViews>
  <sheetFormatPr baseColWidth="10" defaultColWidth="8.83203125" defaultRowHeight="15" x14ac:dyDescent="0.2"/>
  <sheetData>
    <row r="1" spans="1:18" s="2" customFormat="1" x14ac:dyDescent="0.2">
      <c r="A1" s="2" t="str">
        <f>RawData!B1</f>
        <v>Genotype</v>
      </c>
      <c r="B1" s="2" t="str">
        <f>RawData!C1</f>
        <v>LaserFreq</v>
      </c>
      <c r="C1" s="2" t="str">
        <f>RawData!D1</f>
        <v>DrugGroup</v>
      </c>
      <c r="D1" s="2" t="str">
        <f>RawData!K1</f>
        <v>Hits</v>
      </c>
      <c r="E1" s="2" t="str">
        <f>RawData!L1</f>
        <v>Group Avg</v>
      </c>
      <c r="F1" s="2" t="str">
        <f>RawData!M1</f>
        <v>STDERR</v>
      </c>
      <c r="G1" s="2" t="str">
        <f>RawData!N1</f>
        <v>FalseAlarms</v>
      </c>
      <c r="H1" s="2" t="str">
        <f>RawData!O1</f>
        <v>Group Avg</v>
      </c>
      <c r="I1" s="2" t="str">
        <f>RawData!P1</f>
        <v>STDERR</v>
      </c>
      <c r="J1" s="2" t="str">
        <f>RawData!Q1</f>
        <v>PNoGo</v>
      </c>
      <c r="K1" s="2" t="str">
        <f>RawData!R1</f>
        <v>Group Avg</v>
      </c>
      <c r="L1" s="2" t="str">
        <f>RawData!S1</f>
        <v>STDERR</v>
      </c>
      <c r="M1" s="2" t="str">
        <f>RawData!T1</f>
        <v>Pomission</v>
      </c>
      <c r="N1" s="2" t="str">
        <f>RawData!U1</f>
        <v>Group Avg</v>
      </c>
      <c r="O1" s="2" t="str">
        <f>RawData!V1</f>
        <v>STDERR</v>
      </c>
      <c r="P1" s="2" t="str">
        <f>RawData!W1</f>
        <v>Pinhibition</v>
      </c>
      <c r="Q1" s="2" t="str">
        <f>RawData!X1</f>
        <v>Group Avg</v>
      </c>
      <c r="R1" s="2" t="str">
        <f>RawData!Y1</f>
        <v>STDERR</v>
      </c>
    </row>
    <row r="2" spans="1:18" x14ac:dyDescent="0.2">
      <c r="A2" t="str">
        <f>RawData!B2</f>
        <v>+</v>
      </c>
      <c r="B2" t="str">
        <f>RawData!C2</f>
        <v>0Hz</v>
      </c>
      <c r="C2" t="str">
        <f>RawData!D2</f>
        <v>NoTreatment</v>
      </c>
      <c r="D2">
        <f>RawData!K2</f>
        <v>0.875</v>
      </c>
      <c r="E2">
        <f>RawData!L2</f>
        <v>0.85340136054421767</v>
      </c>
      <c r="F2">
        <f>RawData!M2</f>
        <v>1.0035969403039715E-2</v>
      </c>
      <c r="G2">
        <f>RawData!N2</f>
        <v>0.23529411764705882</v>
      </c>
      <c r="H2">
        <f>RawData!O2</f>
        <v>0.25776310524209683</v>
      </c>
      <c r="I2">
        <f>RawData!P2</f>
        <v>5.7595849383062277E-3</v>
      </c>
      <c r="J2">
        <f>RawData!Q2</f>
        <v>0.76470588235294112</v>
      </c>
      <c r="K2">
        <f>RawData!R2</f>
        <v>0.74223689475790322</v>
      </c>
      <c r="L2">
        <f>RawData!S2</f>
        <v>5.7595849383062269E-3</v>
      </c>
      <c r="M2">
        <f>RawData!T2</f>
        <v>0.125</v>
      </c>
      <c r="N2">
        <f>RawData!U2</f>
        <v>0.1465986394557823</v>
      </c>
      <c r="O2">
        <f>RawData!V2</f>
        <v>1.0035969403039744E-2</v>
      </c>
      <c r="P2">
        <f>RawData!W2</f>
        <v>0.73109243697478987</v>
      </c>
      <c r="Q2">
        <f>RawData!X2</f>
        <v>0.69786519003205683</v>
      </c>
      <c r="R2">
        <f>RawData!Y2</f>
        <v>6.2406601270252682E-3</v>
      </c>
    </row>
    <row r="3" spans="1:18" x14ac:dyDescent="0.2">
      <c r="A3" t="str">
        <f>RawData!B9</f>
        <v>-</v>
      </c>
      <c r="B3" t="str">
        <f>RawData!C9</f>
        <v>0Hz</v>
      </c>
      <c r="C3" t="str">
        <f>RawData!D9</f>
        <v>NoTreatment</v>
      </c>
      <c r="D3">
        <f>RawData!K9</f>
        <v>0.8666666666666667</v>
      </c>
      <c r="E3">
        <f>RawData!L9</f>
        <v>0.84523809523809523</v>
      </c>
      <c r="F3">
        <f>RawData!M9</f>
        <v>2.7256817099457195E-2</v>
      </c>
      <c r="G3">
        <f>RawData!N9</f>
        <v>0.25</v>
      </c>
      <c r="H3">
        <f>RawData!O9</f>
        <v>0.21065426170468185</v>
      </c>
      <c r="I3">
        <f>RawData!P9</f>
        <v>8.4124098392045835E-3</v>
      </c>
      <c r="J3">
        <f>RawData!Q9</f>
        <v>0.75</v>
      </c>
      <c r="K3">
        <f>RawData!R9</f>
        <v>0.78934573829531807</v>
      </c>
      <c r="L3">
        <f>RawData!S9</f>
        <v>8.4124098392045609E-3</v>
      </c>
      <c r="M3">
        <f>RawData!T9</f>
        <v>0.13333333333333333</v>
      </c>
      <c r="N3">
        <f>RawData!U9</f>
        <v>0.15476190476190474</v>
      </c>
      <c r="O3">
        <f>RawData!V9</f>
        <v>2.7256817099457202E-2</v>
      </c>
      <c r="P3">
        <f>RawData!W9</f>
        <v>0.71153846153846156</v>
      </c>
      <c r="Q3">
        <f>RawData!X9</f>
        <v>0.74835044157523156</v>
      </c>
      <c r="R3">
        <f>RawData!Y9</f>
        <v>1.4205953685936018E-2</v>
      </c>
    </row>
    <row r="4" spans="1:18" x14ac:dyDescent="0.2">
      <c r="A4" t="str">
        <f>RawData!B16</f>
        <v>+</v>
      </c>
      <c r="B4" t="str">
        <f>RawData!C16</f>
        <v>5Hz</v>
      </c>
      <c r="C4" t="str">
        <f>RawData!D16</f>
        <v>NoTreatment</v>
      </c>
      <c r="D4">
        <f>RawData!K16</f>
        <v>0.875</v>
      </c>
      <c r="E4">
        <f>RawData!L16</f>
        <v>0.87366946778711474</v>
      </c>
      <c r="F4">
        <f>RawData!M16</f>
        <v>1.9196216732218451E-3</v>
      </c>
      <c r="G4">
        <f>RawData!N16</f>
        <v>0.33333333333333331</v>
      </c>
      <c r="H4">
        <f>RawData!O16</f>
        <v>0.34523809523809523</v>
      </c>
      <c r="I4">
        <f>RawData!P16</f>
        <v>2.0558192863497641E-2</v>
      </c>
      <c r="J4">
        <f>RawData!Q16</f>
        <v>0.66666666666666663</v>
      </c>
      <c r="K4">
        <f>RawData!R16</f>
        <v>0.65476190476190477</v>
      </c>
      <c r="L4">
        <f>RawData!S16</f>
        <v>2.0558192863497589E-2</v>
      </c>
      <c r="M4">
        <f>RawData!T16</f>
        <v>0.125</v>
      </c>
      <c r="N4">
        <f>RawData!U16</f>
        <v>0.12633053221288515</v>
      </c>
      <c r="O4">
        <f>RawData!V16</f>
        <v>1.919621673221852E-3</v>
      </c>
      <c r="P4">
        <f>RawData!W16</f>
        <v>0.61904761904761896</v>
      </c>
      <c r="Q4">
        <f>RawData!X16</f>
        <v>0.60467687074829934</v>
      </c>
      <c r="R4">
        <f>RawData!Y16</f>
        <v>2.3968052833813029E-2</v>
      </c>
    </row>
    <row r="5" spans="1:18" x14ac:dyDescent="0.2">
      <c r="A5" t="str">
        <f>RawData!B23</f>
        <v>-</v>
      </c>
      <c r="B5" t="str">
        <f>RawData!C23</f>
        <v>5Hz</v>
      </c>
      <c r="C5" t="str">
        <f>RawData!D23</f>
        <v>NoTreatment</v>
      </c>
      <c r="D5">
        <f>RawData!K23</f>
        <v>0.88235294117647056</v>
      </c>
      <c r="E5">
        <f>RawData!L23</f>
        <v>0.85453681472589038</v>
      </c>
      <c r="F5">
        <f>RawData!M23</f>
        <v>2.0032070680194674E-2</v>
      </c>
      <c r="G5">
        <f>RawData!N23</f>
        <v>0.25</v>
      </c>
      <c r="H5">
        <f>RawData!O23</f>
        <v>0.23333333333333334</v>
      </c>
      <c r="I5">
        <f>RawData!P23</f>
        <v>1.9938255029100259E-2</v>
      </c>
      <c r="J5">
        <f>RawData!Q23</f>
        <v>0.75</v>
      </c>
      <c r="K5">
        <f>RawData!R23</f>
        <v>0.76666666666666672</v>
      </c>
      <c r="L5">
        <f>RawData!S23</f>
        <v>1.9938255029100269E-2</v>
      </c>
      <c r="M5">
        <f>RawData!T23</f>
        <v>0.11764705882352941</v>
      </c>
      <c r="N5">
        <f>RawData!U23</f>
        <v>0.14546318527410965</v>
      </c>
      <c r="O5">
        <f>RawData!V23</f>
        <v>2.0032070680194681E-2</v>
      </c>
      <c r="P5">
        <f>RawData!W23</f>
        <v>0.71666666666666667</v>
      </c>
      <c r="Q5">
        <f>RawData!X23</f>
        <v>0.72626896912611194</v>
      </c>
      <c r="R5">
        <f>RawData!Y23</f>
        <v>2.3498810933594579E-2</v>
      </c>
    </row>
    <row r="6" spans="1:18" x14ac:dyDescent="0.2">
      <c r="A6" t="str">
        <f>RawData!B30</f>
        <v>+</v>
      </c>
      <c r="B6" t="str">
        <f>RawData!C30</f>
        <v>10Hz</v>
      </c>
      <c r="C6" t="str">
        <f>RawData!D30</f>
        <v>NoTreatment</v>
      </c>
      <c r="D6">
        <f>RawData!K30</f>
        <v>0.875</v>
      </c>
      <c r="E6">
        <f>RawData!L30</f>
        <v>0.83676470588235285</v>
      </c>
      <c r="F6">
        <f>RawData!M30</f>
        <v>1.3464239658961622E-2</v>
      </c>
      <c r="G6">
        <f>RawData!N30</f>
        <v>0.6</v>
      </c>
      <c r="H6">
        <f>RawData!O30</f>
        <v>0.57689075630252107</v>
      </c>
      <c r="I6">
        <f>RawData!P30</f>
        <v>6.4288068125350562E-3</v>
      </c>
      <c r="J6">
        <f>RawData!Q30</f>
        <v>0.4</v>
      </c>
      <c r="K6">
        <f>RawData!R30</f>
        <v>0.42310924369747893</v>
      </c>
      <c r="L6">
        <f>RawData!S30</f>
        <v>6.4288068125350562E-3</v>
      </c>
      <c r="M6">
        <f>RawData!T30</f>
        <v>0.125</v>
      </c>
      <c r="N6">
        <f>RawData!U30</f>
        <v>0.16323529411764706</v>
      </c>
      <c r="O6">
        <f>RawData!V30</f>
        <v>1.3464239658961636E-2</v>
      </c>
      <c r="P6">
        <f>RawData!W30</f>
        <v>0.31428571428571433</v>
      </c>
      <c r="Q6">
        <f>RawData!X30</f>
        <v>0.30984128266691291</v>
      </c>
      <c r="R6">
        <f>RawData!Y30</f>
        <v>8.858601539260106E-3</v>
      </c>
    </row>
    <row r="7" spans="1:18" x14ac:dyDescent="0.2">
      <c r="A7" t="str">
        <f>RawData!B37</f>
        <v>-</v>
      </c>
      <c r="B7" t="str">
        <f>RawData!C37</f>
        <v>10Hz</v>
      </c>
      <c r="C7" t="str">
        <f>RawData!D37</f>
        <v>NoTreatment</v>
      </c>
      <c r="D7">
        <f>RawData!K37</f>
        <v>0.8125</v>
      </c>
      <c r="E7">
        <f>RawData!L37</f>
        <v>0.83571428571428563</v>
      </c>
      <c r="F7">
        <f>RawData!M37</f>
        <v>1.8110448315611066E-2</v>
      </c>
      <c r="G7">
        <f>RawData!N37</f>
        <v>0.26666666666666666</v>
      </c>
      <c r="H7">
        <f>RawData!O37</f>
        <v>0.25476190476190474</v>
      </c>
      <c r="I7">
        <f>RawData!P37</f>
        <v>2.8457824031771269E-3</v>
      </c>
      <c r="J7">
        <f>RawData!Q37</f>
        <v>0.73333333333333328</v>
      </c>
      <c r="K7">
        <f>RawData!R37</f>
        <v>0.74523809523809526</v>
      </c>
      <c r="L7">
        <f>RawData!S37</f>
        <v>2.8457824031771365E-3</v>
      </c>
      <c r="M7">
        <f>RawData!T37</f>
        <v>0.1875</v>
      </c>
      <c r="N7">
        <f>RawData!U37</f>
        <v>0.16428571428571428</v>
      </c>
      <c r="O7">
        <f>RawData!V37</f>
        <v>1.8110448315611091E-2</v>
      </c>
      <c r="P7">
        <f>RawData!W37</f>
        <v>0.67179487179487174</v>
      </c>
      <c r="Q7">
        <f>RawData!X37</f>
        <v>0.69407378335949765</v>
      </c>
      <c r="R7">
        <f>RawData!Y37</f>
        <v>7.8663355961370359E-3</v>
      </c>
    </row>
    <row r="8" spans="1:18" x14ac:dyDescent="0.2">
      <c r="A8" t="str">
        <f>RawData!B44</f>
        <v>+</v>
      </c>
      <c r="B8" t="str">
        <f>RawData!C44</f>
        <v>5Hz</v>
      </c>
      <c r="C8" t="str">
        <f>RawData!D44</f>
        <v>Ctrl-IP</v>
      </c>
      <c r="D8">
        <f>RawData!K44</f>
        <v>0.8571428571428571</v>
      </c>
      <c r="E8">
        <f>RawData!L44</f>
        <v>0.85280612244897969</v>
      </c>
      <c r="F8">
        <f>RawData!M44</f>
        <v>1.7032172525374863E-2</v>
      </c>
      <c r="G8">
        <f>RawData!N44</f>
        <v>0.375</v>
      </c>
      <c r="H8">
        <f>RawData!O44</f>
        <v>0.33368347338935578</v>
      </c>
      <c r="I8">
        <f>RawData!P44</f>
        <v>1.0951926157443566E-2</v>
      </c>
      <c r="J8">
        <f>RawData!Q44</f>
        <v>0.625</v>
      </c>
      <c r="K8">
        <f>RawData!R44</f>
        <v>0.66631652661064422</v>
      </c>
      <c r="L8">
        <f>RawData!S44</f>
        <v>1.0951926157443571E-2</v>
      </c>
      <c r="M8">
        <f>RawData!T44</f>
        <v>0.14285714285714285</v>
      </c>
      <c r="N8">
        <f>RawData!U44</f>
        <v>0.14719387755102042</v>
      </c>
      <c r="O8">
        <f>RawData!V44</f>
        <v>1.7032172525374853E-2</v>
      </c>
      <c r="P8">
        <f>RawData!W44</f>
        <v>0.5625</v>
      </c>
      <c r="Q8">
        <f>RawData!X44</f>
        <v>0.60741097721139747</v>
      </c>
      <c r="R8">
        <f>RawData!Y44</f>
        <v>1.6060253654955722E-2</v>
      </c>
    </row>
    <row r="9" spans="1:18" x14ac:dyDescent="0.2">
      <c r="A9" t="str">
        <f>RawData!B51</f>
        <v>-</v>
      </c>
      <c r="B9" t="str">
        <f>RawData!C51</f>
        <v>5Hz</v>
      </c>
      <c r="C9" t="str">
        <f>RawData!D51</f>
        <v>Ctrl-IP</v>
      </c>
      <c r="D9">
        <f>RawData!K51</f>
        <v>0.875</v>
      </c>
      <c r="E9">
        <f>RawData!L51</f>
        <v>0.88191776710684289</v>
      </c>
      <c r="F9">
        <f>RawData!M51</f>
        <v>1.4262443484399593E-2</v>
      </c>
      <c r="G9">
        <f>RawData!N51</f>
        <v>0.25</v>
      </c>
      <c r="H9">
        <f>RawData!O51</f>
        <v>0.24523809523809523</v>
      </c>
      <c r="I9">
        <f>RawData!P51</f>
        <v>1.4590706868391938E-2</v>
      </c>
      <c r="J9">
        <f>RawData!Q51</f>
        <v>0.75</v>
      </c>
      <c r="K9">
        <f>RawData!R51</f>
        <v>0.75476190476190474</v>
      </c>
      <c r="L9">
        <f>RawData!S51</f>
        <v>1.4590706868391923E-2</v>
      </c>
      <c r="M9">
        <f>RawData!T51</f>
        <v>0.125</v>
      </c>
      <c r="N9">
        <f>RawData!U51</f>
        <v>0.11808223289315725</v>
      </c>
      <c r="O9">
        <f>RawData!V51</f>
        <v>1.4262443484399617E-2</v>
      </c>
      <c r="P9">
        <f>RawData!W51</f>
        <v>0.7142857142857143</v>
      </c>
      <c r="Q9">
        <f>RawData!X51</f>
        <v>0.72232775161346585</v>
      </c>
      <c r="R9">
        <f>RawData!Y51</f>
        <v>1.4660397537687808E-2</v>
      </c>
    </row>
    <row r="10" spans="1:18" x14ac:dyDescent="0.2">
      <c r="A10" t="str">
        <f>RawData!B58</f>
        <v>+</v>
      </c>
      <c r="B10" t="str">
        <f>RawData!C58</f>
        <v>5Hz</v>
      </c>
      <c r="C10" t="str">
        <f>RawData!D58</f>
        <v>Amph 1</v>
      </c>
      <c r="D10">
        <f>RawData!K58</f>
        <v>0.8125</v>
      </c>
      <c r="E10">
        <f>RawData!L58</f>
        <v>0.82857142857142851</v>
      </c>
      <c r="F10">
        <f>RawData!M58</f>
        <v>1.1212888252977503E-2</v>
      </c>
      <c r="G10">
        <f>RawData!N58</f>
        <v>0.35294117647058826</v>
      </c>
      <c r="H10">
        <f>RawData!O58</f>
        <v>0.36649159663865544</v>
      </c>
      <c r="I10">
        <f>RawData!P58</f>
        <v>9.5949510545128413E-3</v>
      </c>
      <c r="J10">
        <f>RawData!Q58</f>
        <v>0.6470588235294118</v>
      </c>
      <c r="K10">
        <f>RawData!R58</f>
        <v>0.63350840336134451</v>
      </c>
      <c r="L10">
        <f>RawData!S58</f>
        <v>9.594951054512843E-3</v>
      </c>
      <c r="M10">
        <f>RawData!T58</f>
        <v>0.1875</v>
      </c>
      <c r="N10">
        <f>RawData!U58</f>
        <v>0.17142857142857143</v>
      </c>
      <c r="O10">
        <f>RawData!V58</f>
        <v>1.1212888252977515E-2</v>
      </c>
      <c r="P10">
        <f>RawData!W58</f>
        <v>0.56561085972850678</v>
      </c>
      <c r="Q10">
        <f>RawData!X58</f>
        <v>0.55780802705697663</v>
      </c>
      <c r="R10">
        <f>RawData!Y58</f>
        <v>9.3152770358335708E-3</v>
      </c>
    </row>
    <row r="11" spans="1:18" x14ac:dyDescent="0.2">
      <c r="A11" t="str">
        <f>RawData!B65</f>
        <v>-</v>
      </c>
      <c r="B11" t="str">
        <f>RawData!C65</f>
        <v>5Hz</v>
      </c>
      <c r="C11" t="str">
        <f>RawData!D65</f>
        <v>Amph 1</v>
      </c>
      <c r="D11">
        <f>RawData!K65</f>
        <v>0.8</v>
      </c>
      <c r="E11">
        <f>RawData!L65</f>
        <v>0.83676470588235297</v>
      </c>
      <c r="F11">
        <f>RawData!M65</f>
        <v>1.3464239658961626E-2</v>
      </c>
      <c r="G11">
        <f>RawData!N65</f>
        <v>0.375</v>
      </c>
      <c r="H11">
        <f>RawData!O65</f>
        <v>0.37899159663865545</v>
      </c>
      <c r="I11">
        <f>RawData!P65</f>
        <v>5.7588650196655575E-3</v>
      </c>
      <c r="J11">
        <f>RawData!Q65</f>
        <v>0.625</v>
      </c>
      <c r="K11">
        <f>RawData!R65</f>
        <v>0.62100840336134466</v>
      </c>
      <c r="L11">
        <f>RawData!S65</f>
        <v>5.7588650196655627E-3</v>
      </c>
      <c r="M11">
        <f>RawData!T65</f>
        <v>0.2</v>
      </c>
      <c r="N11">
        <f>RawData!U65</f>
        <v>0.16323529411764706</v>
      </c>
      <c r="O11">
        <f>RawData!V65</f>
        <v>1.3464239658961636E-2</v>
      </c>
      <c r="P11">
        <f>RawData!W65</f>
        <v>0.53125</v>
      </c>
      <c r="Q11">
        <f>RawData!X65</f>
        <v>0.54585026318219587</v>
      </c>
      <c r="R11">
        <f>RawData!Y65</f>
        <v>1.230713440344228E-2</v>
      </c>
    </row>
    <row r="12" spans="1:18" x14ac:dyDescent="0.2">
      <c r="A12" t="str">
        <f>RawData!B72</f>
        <v>+</v>
      </c>
      <c r="B12" t="str">
        <f>RawData!C72</f>
        <v>5Hz</v>
      </c>
      <c r="C12" t="str">
        <f>RawData!D72</f>
        <v>Amph 2.5</v>
      </c>
      <c r="D12">
        <f>RawData!K72</f>
        <v>0.8</v>
      </c>
      <c r="E12">
        <f>RawData!L72</f>
        <v>0.81688175270108032</v>
      </c>
      <c r="F12">
        <f>RawData!M72</f>
        <v>6.8403579101654613E-3</v>
      </c>
      <c r="G12">
        <f>RawData!N72</f>
        <v>0.5</v>
      </c>
      <c r="H12">
        <f>RawData!O72</f>
        <v>0.47738095238095241</v>
      </c>
      <c r="I12">
        <f>RawData!P72</f>
        <v>1.0441539788671315E-2</v>
      </c>
      <c r="J12">
        <f>RawData!Q72</f>
        <v>0.5</v>
      </c>
      <c r="K12">
        <f>RawData!R72</f>
        <v>0.52261904761904765</v>
      </c>
      <c r="L12">
        <f>RawData!S72</f>
        <v>1.0441539788671315E-2</v>
      </c>
      <c r="M12">
        <f>RawData!T72</f>
        <v>0.2</v>
      </c>
      <c r="N12">
        <f>RawData!U72</f>
        <v>0.18311824729891954</v>
      </c>
      <c r="O12">
        <f>RawData!V72</f>
        <v>6.8403579101654743E-3</v>
      </c>
      <c r="P12">
        <f>RawData!W72</f>
        <v>0.37499999999999994</v>
      </c>
      <c r="Q12">
        <f>RawData!X72</f>
        <v>0.41498233908948196</v>
      </c>
      <c r="R12">
        <f>RawData!Y72</f>
        <v>1.5431238813399653E-2</v>
      </c>
    </row>
    <row r="13" spans="1:18" x14ac:dyDescent="0.2">
      <c r="A13" t="str">
        <f>RawData!B79</f>
        <v>-</v>
      </c>
      <c r="B13" t="str">
        <f>RawData!C79</f>
        <v>5Hz</v>
      </c>
      <c r="C13" t="str">
        <f>RawData!D79</f>
        <v>Amph 2.5</v>
      </c>
      <c r="D13">
        <f>RawData!K79</f>
        <v>0.8</v>
      </c>
      <c r="E13">
        <f>RawData!L79</f>
        <v>0.80157563025210077</v>
      </c>
      <c r="F13">
        <f>RawData!M79</f>
        <v>8.4575831728447293E-3</v>
      </c>
      <c r="G13">
        <f>RawData!N79</f>
        <v>0.47058823529411764</v>
      </c>
      <c r="H13">
        <f>RawData!O79</f>
        <v>0.46841736694677871</v>
      </c>
      <c r="I13">
        <f>RawData!P79</f>
        <v>8.9414594427096178E-3</v>
      </c>
      <c r="J13">
        <f>RawData!Q79</f>
        <v>0.52941176470588236</v>
      </c>
      <c r="K13">
        <f>RawData!R79</f>
        <v>0.53158263305322129</v>
      </c>
      <c r="L13">
        <f>RawData!S79</f>
        <v>8.9414594427096178E-3</v>
      </c>
      <c r="M13">
        <f>RawData!T79</f>
        <v>0.2</v>
      </c>
      <c r="N13">
        <f>RawData!U79</f>
        <v>0.19842436974789915</v>
      </c>
      <c r="O13">
        <f>RawData!V79</f>
        <v>8.4575831728447605E-3</v>
      </c>
      <c r="P13">
        <f>RawData!W79</f>
        <v>0.41176470588235292</v>
      </c>
      <c r="Q13">
        <f>RawData!X79</f>
        <v>0.41461565395388922</v>
      </c>
      <c r="R13">
        <f>RawData!Y79</f>
        <v>1.6145386956132074E-2</v>
      </c>
    </row>
    <row r="14" spans="1:18" x14ac:dyDescent="0.2">
      <c r="A14" t="str">
        <f>RawData!B86</f>
        <v>+</v>
      </c>
      <c r="B14" t="str">
        <f>RawData!C86</f>
        <v>10Hz</v>
      </c>
      <c r="C14" t="str">
        <f>RawData!D86</f>
        <v>Ctrl-IP</v>
      </c>
      <c r="D14">
        <f>RawData!K86</f>
        <v>0.8571428571428571</v>
      </c>
      <c r="E14">
        <f>RawData!L86</f>
        <v>0.85340136054421767</v>
      </c>
      <c r="F14">
        <f>RawData!M86</f>
        <v>1.0035969403039715E-2</v>
      </c>
      <c r="G14">
        <f>RawData!N86</f>
        <v>0.625</v>
      </c>
      <c r="H14">
        <f>RawData!O86</f>
        <v>0.60308123249299717</v>
      </c>
      <c r="I14">
        <f>RawData!P86</f>
        <v>1.1966274711609378E-2</v>
      </c>
      <c r="J14">
        <f>RawData!Q86</f>
        <v>0.375</v>
      </c>
      <c r="K14">
        <f>RawData!R86</f>
        <v>0.39691876750700278</v>
      </c>
      <c r="L14">
        <f>RawData!S86</f>
        <v>1.1966274711609378E-2</v>
      </c>
      <c r="M14">
        <f>RawData!T86</f>
        <v>0.14285714285714285</v>
      </c>
      <c r="N14">
        <f>RawData!U86</f>
        <v>0.1465986394557823</v>
      </c>
      <c r="O14">
        <f>RawData!V86</f>
        <v>1.0035969403039744E-2</v>
      </c>
      <c r="P14">
        <f>RawData!W86</f>
        <v>0.27083333333333331</v>
      </c>
      <c r="Q14">
        <f>RawData!X86</f>
        <v>0.29195870655954692</v>
      </c>
      <c r="R14">
        <f>RawData!Y86</f>
        <v>1.9995090127037783E-2</v>
      </c>
    </row>
    <row r="15" spans="1:18" x14ac:dyDescent="0.2">
      <c r="A15" t="str">
        <f>RawData!B93</f>
        <v>-</v>
      </c>
      <c r="B15" t="str">
        <f>RawData!C93</f>
        <v>10Hz</v>
      </c>
      <c r="C15" t="str">
        <f>RawData!D93</f>
        <v>Ctrl-IP</v>
      </c>
      <c r="D15">
        <f>RawData!K93</f>
        <v>0.75</v>
      </c>
      <c r="E15">
        <f>RawData!L93</f>
        <v>0.82700080032012802</v>
      </c>
      <c r="F15">
        <f>RawData!M93</f>
        <v>1.984938933555503E-2</v>
      </c>
      <c r="G15">
        <f>RawData!N93</f>
        <v>0.25</v>
      </c>
      <c r="H15">
        <f>RawData!O93</f>
        <v>0.22738095238095238</v>
      </c>
      <c r="I15">
        <f>RawData!P93</f>
        <v>1.1959906295644003E-2</v>
      </c>
      <c r="J15">
        <f>RawData!Q93</f>
        <v>0.75</v>
      </c>
      <c r="K15">
        <f>RawData!R93</f>
        <v>0.77261904761904765</v>
      </c>
      <c r="L15">
        <f>RawData!S93</f>
        <v>1.1959906295643927E-2</v>
      </c>
      <c r="M15">
        <f>RawData!T93</f>
        <v>0.25</v>
      </c>
      <c r="N15">
        <f>RawData!U93</f>
        <v>0.17299919967987193</v>
      </c>
      <c r="O15">
        <f>RawData!V93</f>
        <v>1.9849389335555058E-2</v>
      </c>
      <c r="P15">
        <f>RawData!W93</f>
        <v>0.66666666666666663</v>
      </c>
      <c r="Q15">
        <f>RawData!X93</f>
        <v>0.72479886185243314</v>
      </c>
      <c r="R15">
        <f>RawData!Y93</f>
        <v>1.3926754531566048E-2</v>
      </c>
    </row>
    <row r="16" spans="1:18" x14ac:dyDescent="0.2">
      <c r="A16" t="str">
        <f>RawData!B100</f>
        <v>+</v>
      </c>
      <c r="B16" t="str">
        <f>RawData!C100</f>
        <v>10Hz</v>
      </c>
      <c r="C16" t="str">
        <f>RawData!D100</f>
        <v>Amph 1</v>
      </c>
      <c r="D16">
        <f>RawData!K100</f>
        <v>0.875</v>
      </c>
      <c r="E16">
        <f>RawData!L100</f>
        <v>0.87380952380952392</v>
      </c>
      <c r="F16">
        <f>RawData!M100</f>
        <v>1.1021667854435096E-3</v>
      </c>
      <c r="G16">
        <f>RawData!N100</f>
        <v>0.58823529411764708</v>
      </c>
      <c r="H16">
        <f>RawData!O100</f>
        <v>0.60784313725490191</v>
      </c>
      <c r="I16">
        <f>RawData!P100</f>
        <v>1.3431420013176909E-2</v>
      </c>
      <c r="J16">
        <f>RawData!Q100</f>
        <v>0.41176470588235292</v>
      </c>
      <c r="K16">
        <f>RawData!R100</f>
        <v>0.39215686274509803</v>
      </c>
      <c r="L16">
        <f>RawData!S100</f>
        <v>1.3431420013176914E-2</v>
      </c>
      <c r="M16">
        <f>RawData!T100</f>
        <v>0.125</v>
      </c>
      <c r="N16">
        <f>RawData!U100</f>
        <v>0.12619047619047619</v>
      </c>
      <c r="O16">
        <f>RawData!V100</f>
        <v>1.1021667854435133E-3</v>
      </c>
      <c r="P16">
        <f>RawData!W100</f>
        <v>0.32773109243697479</v>
      </c>
      <c r="Q16">
        <f>RawData!X100</f>
        <v>0.30443908332563796</v>
      </c>
      <c r="R16">
        <f>RawData!Y100</f>
        <v>1.4940633699373965E-2</v>
      </c>
    </row>
    <row r="17" spans="1:18" x14ac:dyDescent="0.2">
      <c r="A17" t="str">
        <f>RawData!B107</f>
        <v>-</v>
      </c>
      <c r="B17" t="str">
        <f>RawData!C107</f>
        <v>10Hz</v>
      </c>
      <c r="C17" t="str">
        <f>RawData!D107</f>
        <v>Amph 1</v>
      </c>
      <c r="D17">
        <f>RawData!K107</f>
        <v>0.8666666666666667</v>
      </c>
      <c r="E17">
        <f>RawData!L107</f>
        <v>0.84740896358543416</v>
      </c>
      <c r="F17">
        <f>RawData!M107</f>
        <v>1.0372405807135296E-2</v>
      </c>
      <c r="G17">
        <f>RawData!N107</f>
        <v>0.375</v>
      </c>
      <c r="H17">
        <f>RawData!O107</f>
        <v>0.32422969187675071</v>
      </c>
      <c r="I17">
        <f>RawData!P107</f>
        <v>1.3815803291747138E-2</v>
      </c>
      <c r="J17">
        <f>RawData!Q107</f>
        <v>0.625</v>
      </c>
      <c r="K17">
        <f>RawData!R107</f>
        <v>0.67577030812324934</v>
      </c>
      <c r="L17">
        <f>RawData!S107</f>
        <v>1.3815803291747092E-2</v>
      </c>
      <c r="M17">
        <f>RawData!T107</f>
        <v>0.13333333333333333</v>
      </c>
      <c r="N17">
        <f>RawData!U107</f>
        <v>0.15259103641456581</v>
      </c>
      <c r="O17">
        <f>RawData!V107</f>
        <v>1.0372405807135306E-2</v>
      </c>
      <c r="P17">
        <f>RawData!W107</f>
        <v>0.56730769230769229</v>
      </c>
      <c r="Q17">
        <f>RawData!X107</f>
        <v>0.61744890263797825</v>
      </c>
      <c r="R17">
        <f>RawData!Y107</f>
        <v>1.5550186805672344E-2</v>
      </c>
    </row>
    <row r="18" spans="1:18" x14ac:dyDescent="0.2">
      <c r="A18" t="str">
        <f>RawData!B114</f>
        <v>+</v>
      </c>
      <c r="B18" t="str">
        <f>RawData!C114</f>
        <v>10Hz</v>
      </c>
      <c r="C18" t="str">
        <f>RawData!D114</f>
        <v>Amph 2.5</v>
      </c>
      <c r="D18">
        <f>RawData!K114</f>
        <v>0.8</v>
      </c>
      <c r="E18">
        <f>RawData!L114</f>
        <v>0.8526660664265705</v>
      </c>
      <c r="F18">
        <f>RawData!M114</f>
        <v>1.1501557673897021E-2</v>
      </c>
      <c r="G18">
        <f>RawData!N114</f>
        <v>0.625</v>
      </c>
      <c r="H18">
        <f>RawData!O114</f>
        <v>0.59464285714285714</v>
      </c>
      <c r="I18">
        <f>RawData!P114</f>
        <v>1.0966421051124834E-2</v>
      </c>
      <c r="J18">
        <f>RawData!Q114</f>
        <v>0.375</v>
      </c>
      <c r="K18">
        <f>RawData!R114</f>
        <v>0.40535714285714286</v>
      </c>
      <c r="L18">
        <f>RawData!S114</f>
        <v>1.0966421051124834E-2</v>
      </c>
      <c r="M18">
        <f>RawData!T114</f>
        <v>0.2</v>
      </c>
      <c r="N18">
        <f>RawData!U114</f>
        <v>0.14733393357342936</v>
      </c>
      <c r="O18">
        <f>RawData!V114</f>
        <v>1.1501557673897095E-2</v>
      </c>
      <c r="P18">
        <f>RawData!W114</f>
        <v>0.21874999999999997</v>
      </c>
      <c r="Q18">
        <f>RawData!X114</f>
        <v>0.30090266875981164</v>
      </c>
      <c r="R18">
        <f>RawData!Y114</f>
        <v>2.0572237129342801E-2</v>
      </c>
    </row>
    <row r="19" spans="1:18" x14ac:dyDescent="0.2">
      <c r="A19" t="str">
        <f>RawData!B121</f>
        <v>-</v>
      </c>
      <c r="B19" t="str">
        <f>RawData!C121</f>
        <v>10Hz</v>
      </c>
      <c r="C19" t="str">
        <f>RawData!D121</f>
        <v>Amph 2.5</v>
      </c>
      <c r="D19">
        <f>RawData!K121</f>
        <v>0.8</v>
      </c>
      <c r="E19">
        <f>RawData!L121</f>
        <v>0.82783613445378157</v>
      </c>
      <c r="F19">
        <f>RawData!M121</f>
        <v>1.2331976231642682E-2</v>
      </c>
      <c r="G19">
        <f>RawData!N121</f>
        <v>0.52941176470588236</v>
      </c>
      <c r="H19">
        <f>RawData!O121</f>
        <v>0.50479691876750699</v>
      </c>
      <c r="I19">
        <f>RawData!P121</f>
        <v>1.1808377446215265E-2</v>
      </c>
      <c r="J19">
        <f>RawData!Q121</f>
        <v>0.47058823529411764</v>
      </c>
      <c r="K19">
        <f>RawData!R121</f>
        <v>0.49520308123249296</v>
      </c>
      <c r="L19">
        <f>RawData!S121</f>
        <v>1.1808377446215266E-2</v>
      </c>
      <c r="M19">
        <f>RawData!T121</f>
        <v>0.2</v>
      </c>
      <c r="N19">
        <f>RawData!U121</f>
        <v>0.17216386554621849</v>
      </c>
      <c r="O19">
        <f>RawData!V121</f>
        <v>1.2331976231642693E-2</v>
      </c>
      <c r="P19">
        <f>RawData!W121</f>
        <v>0.33823529411764702</v>
      </c>
      <c r="Q19">
        <f>RawData!X121</f>
        <v>0.38816103364422688</v>
      </c>
      <c r="R19">
        <f>RawData!Y121</f>
        <v>2.1476473245875219E-2</v>
      </c>
    </row>
    <row r="20" spans="1:18" x14ac:dyDescent="0.2">
      <c r="A20" t="str">
        <f>RawData!B128</f>
        <v>+</v>
      </c>
      <c r="B20" t="str">
        <f>RawData!C128</f>
        <v>5Hz</v>
      </c>
      <c r="C20" t="str">
        <f>RawData!D128</f>
        <v>Atom 1</v>
      </c>
      <c r="D20">
        <f>RawData!K128</f>
        <v>0.8666666666666667</v>
      </c>
      <c r="E20">
        <f>RawData!L128</f>
        <v>0.83788515406162467</v>
      </c>
      <c r="F20">
        <f>RawData!M128</f>
        <v>1.152953914731703E-2</v>
      </c>
      <c r="G20">
        <f>RawData!N128</f>
        <v>0.25</v>
      </c>
      <c r="H20">
        <f>RawData!O128</f>
        <v>0.27654061624649862</v>
      </c>
      <c r="I20">
        <f>RawData!P128</f>
        <v>2.0568856180721677E-2</v>
      </c>
      <c r="J20">
        <f>RawData!Q128</f>
        <v>0.75</v>
      </c>
      <c r="K20">
        <f>RawData!R128</f>
        <v>0.72345938375350138</v>
      </c>
      <c r="L20">
        <f>RawData!S128</f>
        <v>2.0568856180721653E-2</v>
      </c>
      <c r="M20">
        <f>RawData!T128</f>
        <v>0.13333333333333333</v>
      </c>
      <c r="N20">
        <f>RawData!U128</f>
        <v>0.16211484593837536</v>
      </c>
      <c r="O20">
        <f>RawData!V128</f>
        <v>1.1529539147317074E-2</v>
      </c>
      <c r="P20">
        <f>RawData!W128</f>
        <v>0.71153846153846156</v>
      </c>
      <c r="Q20">
        <f>RawData!X128</f>
        <v>0.67020423554037012</v>
      </c>
      <c r="R20">
        <f>RawData!Y128</f>
        <v>2.4062057697461357E-2</v>
      </c>
    </row>
    <row r="21" spans="1:18" x14ac:dyDescent="0.2">
      <c r="A21" t="str">
        <f>RawData!B135</f>
        <v>-</v>
      </c>
      <c r="B21" t="str">
        <f>RawData!C135</f>
        <v>5Hz</v>
      </c>
      <c r="C21" t="str">
        <f>RawData!D135</f>
        <v>Atom 1</v>
      </c>
      <c r="D21">
        <f>RawData!K135</f>
        <v>0.8666666666666667</v>
      </c>
      <c r="E21">
        <f>RawData!L135</f>
        <v>0.89977490996398568</v>
      </c>
      <c r="F21">
        <f>RawData!M135</f>
        <v>1.107107168022506E-2</v>
      </c>
      <c r="G21">
        <f>RawData!N135</f>
        <v>0.25</v>
      </c>
      <c r="H21">
        <f>RawData!O135</f>
        <v>0.19842436974789915</v>
      </c>
      <c r="I21">
        <f>RawData!P135</f>
        <v>8.4575831728447605E-3</v>
      </c>
      <c r="J21">
        <f>RawData!Q135</f>
        <v>0.75</v>
      </c>
      <c r="K21">
        <f>RawData!R135</f>
        <v>0.80157563025210077</v>
      </c>
      <c r="L21">
        <f>RawData!S135</f>
        <v>8.4575831728447293E-3</v>
      </c>
      <c r="M21">
        <f>RawData!T135</f>
        <v>0.13333333333333333</v>
      </c>
      <c r="N21">
        <f>RawData!U135</f>
        <v>0.1002250900360144</v>
      </c>
      <c r="O21">
        <f>RawData!V135</f>
        <v>1.1071071680225067E-2</v>
      </c>
      <c r="P21">
        <f>RawData!W135</f>
        <v>0.71153846153846156</v>
      </c>
      <c r="Q21">
        <f>RawData!X135</f>
        <v>0.77870821405485269</v>
      </c>
      <c r="R21">
        <f>RawData!Y135</f>
        <v>1.1553654842738008E-2</v>
      </c>
    </row>
    <row r="22" spans="1:18" x14ac:dyDescent="0.2">
      <c r="A22" t="str">
        <f>RawData!B142</f>
        <v>+</v>
      </c>
      <c r="B22" t="str">
        <f>RawData!C142</f>
        <v>5Hz</v>
      </c>
      <c r="C22" t="str">
        <f>RawData!D142</f>
        <v>Atom 5</v>
      </c>
      <c r="D22">
        <f>RawData!K142</f>
        <v>0.88235294117647056</v>
      </c>
      <c r="E22">
        <f>RawData!L142</f>
        <v>0.85521708683473385</v>
      </c>
      <c r="F22">
        <f>RawData!M142</f>
        <v>1.1879681346013179E-2</v>
      </c>
      <c r="G22">
        <f>RawData!N142</f>
        <v>0.25</v>
      </c>
      <c r="H22">
        <f>RawData!O142</f>
        <v>0.2369047619047619</v>
      </c>
      <c r="I22">
        <f>RawData!P142</f>
        <v>1.2094575213502842E-2</v>
      </c>
      <c r="J22">
        <f>RawData!Q142</f>
        <v>0.75</v>
      </c>
      <c r="K22">
        <f>RawData!R142</f>
        <v>0.76309523809523816</v>
      </c>
      <c r="L22">
        <f>RawData!S142</f>
        <v>1.2094575213502797E-2</v>
      </c>
      <c r="M22">
        <f>RawData!T142</f>
        <v>0.11764705882352941</v>
      </c>
      <c r="N22">
        <f>RawData!U142</f>
        <v>0.14478291316526609</v>
      </c>
      <c r="O22">
        <f>RawData!V142</f>
        <v>1.1879681346013228E-2</v>
      </c>
      <c r="P22">
        <f>RawData!W142</f>
        <v>0.71666666666666667</v>
      </c>
      <c r="Q22">
        <f>RawData!X142</f>
        <v>0.72318975667189966</v>
      </c>
      <c r="R22">
        <f>RawData!Y142</f>
        <v>1.3096706739034425E-2</v>
      </c>
    </row>
    <row r="23" spans="1:18" x14ac:dyDescent="0.2">
      <c r="A23" t="str">
        <f>RawData!B149</f>
        <v>-</v>
      </c>
      <c r="B23" t="str">
        <f>RawData!C149</f>
        <v>5Hz</v>
      </c>
      <c r="C23" t="str">
        <f>RawData!D149</f>
        <v>Atom 5</v>
      </c>
      <c r="D23">
        <f>RawData!K149</f>
        <v>0.88235294117647056</v>
      </c>
      <c r="E23">
        <f>RawData!L149</f>
        <v>0.88778511404561833</v>
      </c>
      <c r="F23">
        <f>RawData!M149</f>
        <v>1.7532513609665457E-2</v>
      </c>
      <c r="G23">
        <f>RawData!N149</f>
        <v>0.125</v>
      </c>
      <c r="H23">
        <f>RawData!O149</f>
        <v>0.13406862745098039</v>
      </c>
      <c r="I23">
        <f>RawData!P149</f>
        <v>8.3959175714667586E-3</v>
      </c>
      <c r="J23">
        <f>RawData!Q149</f>
        <v>0.875</v>
      </c>
      <c r="K23">
        <f>RawData!R149</f>
        <v>0.86593137254901964</v>
      </c>
      <c r="L23">
        <f>RawData!S149</f>
        <v>8.3959175714667655E-3</v>
      </c>
      <c r="M23">
        <f>RawData!T149</f>
        <v>0.11764705882352941</v>
      </c>
      <c r="N23">
        <f>RawData!U149</f>
        <v>0.11221488595438175</v>
      </c>
      <c r="O23">
        <f>RawData!V149</f>
        <v>1.7532513609665467E-2</v>
      </c>
      <c r="P23">
        <f>RawData!W149</f>
        <v>0.85833333333333328</v>
      </c>
      <c r="Q23">
        <f>RawData!X149</f>
        <v>0.84846913124224044</v>
      </c>
      <c r="R23">
        <f>RawData!Y149</f>
        <v>1.0213320701104285E-2</v>
      </c>
    </row>
    <row r="24" spans="1:18" ht="14.25" customHeight="1" x14ac:dyDescent="0.2">
      <c r="A24" t="str">
        <f>RawData!B156</f>
        <v>+</v>
      </c>
      <c r="B24" t="str">
        <f>RawData!C156</f>
        <v>10Hz</v>
      </c>
      <c r="C24" t="str">
        <f>RawData!D156</f>
        <v>Atom 1</v>
      </c>
      <c r="D24">
        <f>RawData!K156</f>
        <v>0.8666666666666667</v>
      </c>
      <c r="E24">
        <f>RawData!L156</f>
        <v>0.89100140056022403</v>
      </c>
      <c r="F24">
        <f>RawData!M156</f>
        <v>1.1634002249900037E-2</v>
      </c>
      <c r="G24">
        <f>RawData!N156</f>
        <v>0.5</v>
      </c>
      <c r="H24">
        <f>RawData!O156</f>
        <v>0.46477591036414567</v>
      </c>
      <c r="I24">
        <f>RawData!P156</f>
        <v>1.2796621687802308E-2</v>
      </c>
      <c r="J24">
        <f>RawData!Q156</f>
        <v>0.5</v>
      </c>
      <c r="K24">
        <f>RawData!R156</f>
        <v>0.53522408963585433</v>
      </c>
      <c r="L24">
        <f>RawData!S156</f>
        <v>1.2796621687802308E-2</v>
      </c>
      <c r="M24">
        <f>RawData!T156</f>
        <v>0.13333333333333333</v>
      </c>
      <c r="N24">
        <f>RawData!U156</f>
        <v>0.1089985994397759</v>
      </c>
      <c r="O24">
        <f>RawData!V156</f>
        <v>1.1634002249900044E-2</v>
      </c>
      <c r="P24">
        <f>RawData!W156</f>
        <v>0.42307692307692307</v>
      </c>
      <c r="Q24">
        <f>RawData!X156</f>
        <v>0.47676178644534734</v>
      </c>
      <c r="R24">
        <f>RawData!Y156</f>
        <v>1.9793868448012984E-2</v>
      </c>
    </row>
    <row r="25" spans="1:18" x14ac:dyDescent="0.2">
      <c r="A25" t="str">
        <f>RawData!B163</f>
        <v>-</v>
      </c>
      <c r="B25" t="str">
        <f>RawData!C163</f>
        <v>10Hz</v>
      </c>
      <c r="C25" t="str">
        <f>RawData!D163</f>
        <v>Atom 1</v>
      </c>
      <c r="D25">
        <f>RawData!K163</f>
        <v>0.8666666666666667</v>
      </c>
      <c r="E25">
        <f>RawData!L163</f>
        <v>0.87164365746298511</v>
      </c>
      <c r="F25">
        <f>RawData!M163</f>
        <v>1.1896134380387875E-2</v>
      </c>
      <c r="G25">
        <f>RawData!N163</f>
        <v>0.1875</v>
      </c>
      <c r="H25">
        <f>RawData!O163</f>
        <v>0.23480392156862745</v>
      </c>
      <c r="I25">
        <f>RawData!P163</f>
        <v>1.1924826558005558E-2</v>
      </c>
      <c r="J25">
        <f>RawData!Q163</f>
        <v>0.8125</v>
      </c>
      <c r="K25">
        <f>RawData!R163</f>
        <v>0.76519607843137261</v>
      </c>
      <c r="L25">
        <f>RawData!S163</f>
        <v>1.1924826558005478E-2</v>
      </c>
      <c r="M25">
        <f>RawData!T163</f>
        <v>0.13333333333333333</v>
      </c>
      <c r="N25">
        <f>RawData!U163</f>
        <v>0.12835634253701481</v>
      </c>
      <c r="O25">
        <f>RawData!V163</f>
        <v>1.1896134380387885E-2</v>
      </c>
      <c r="P25">
        <f>RawData!W163</f>
        <v>0.78365384615384615</v>
      </c>
      <c r="Q25">
        <f>RawData!X163</f>
        <v>0.7311547567745047</v>
      </c>
      <c r="R25">
        <f>RawData!Y163</f>
        <v>1.1680824848776311E-2</v>
      </c>
    </row>
    <row r="26" spans="1:18" x14ac:dyDescent="0.2">
      <c r="A26" t="str">
        <f>RawData!B170</f>
        <v>+</v>
      </c>
      <c r="B26" t="str">
        <f>RawData!C170</f>
        <v>10Hz</v>
      </c>
      <c r="C26" t="str">
        <f>RawData!D170</f>
        <v>Atom 5</v>
      </c>
      <c r="D26">
        <f>RawData!K170</f>
        <v>0.88235294117647056</v>
      </c>
      <c r="E26">
        <f>RawData!L170</f>
        <v>0.90105042016806725</v>
      </c>
      <c r="F26">
        <f>RawData!M170</f>
        <v>1.1595580816948618E-2</v>
      </c>
      <c r="G26">
        <f>RawData!N170</f>
        <v>0.375</v>
      </c>
      <c r="H26">
        <f>RawData!O170</f>
        <v>0.38214285714285712</v>
      </c>
      <c r="I26">
        <f>RawData!P170</f>
        <v>4.2686736047656947E-3</v>
      </c>
      <c r="J26">
        <f>RawData!Q170</f>
        <v>0.625</v>
      </c>
      <c r="K26">
        <f>RawData!R170</f>
        <v>0.61785714285714288</v>
      </c>
      <c r="L26">
        <f>RawData!S170</f>
        <v>4.2686736047656947E-3</v>
      </c>
      <c r="M26">
        <f>RawData!T170</f>
        <v>0.11764705882352941</v>
      </c>
      <c r="N26">
        <f>RawData!U170</f>
        <v>9.8949579831932769E-2</v>
      </c>
      <c r="O26">
        <f>RawData!V170</f>
        <v>1.1595580816948616E-2</v>
      </c>
      <c r="P26">
        <f>RawData!W170</f>
        <v>0.57499999999999996</v>
      </c>
      <c r="Q26">
        <f>RawData!X170</f>
        <v>0.57544871794871788</v>
      </c>
      <c r="R26">
        <f>RawData!Y170</f>
        <v>6.806901313957457E-3</v>
      </c>
    </row>
    <row r="27" spans="1:18" x14ac:dyDescent="0.2">
      <c r="A27" t="str">
        <f>RawData!B177</f>
        <v>-</v>
      </c>
      <c r="B27" t="str">
        <f>RawData!C177</f>
        <v>10Hz</v>
      </c>
      <c r="C27" t="str">
        <f>RawData!D177</f>
        <v>Atom 5</v>
      </c>
      <c r="D27">
        <f>RawData!K177</f>
        <v>0.88235294117647056</v>
      </c>
      <c r="E27">
        <f>RawData!L177</f>
        <v>0.90623749499799922</v>
      </c>
      <c r="F27">
        <f>RawData!M177</f>
        <v>1.7670567920846578E-2</v>
      </c>
      <c r="G27">
        <f>RawData!N177</f>
        <v>0.1875</v>
      </c>
      <c r="H27">
        <f>RawData!O177</f>
        <v>0.16144957983193278</v>
      </c>
      <c r="I27">
        <f>RawData!P177</f>
        <v>1.2855406751416257E-2</v>
      </c>
      <c r="J27">
        <f>RawData!Q177</f>
        <v>0.8125</v>
      </c>
      <c r="K27">
        <f>RawData!R177</f>
        <v>0.83855042016806725</v>
      </c>
      <c r="L27">
        <f>RawData!S177</f>
        <v>1.2855406751416233E-2</v>
      </c>
      <c r="M27">
        <f>RawData!T177</f>
        <v>0.11764705882352941</v>
      </c>
      <c r="N27">
        <f>RawData!U177</f>
        <v>9.3762505002000784E-2</v>
      </c>
      <c r="O27">
        <f>RawData!V177</f>
        <v>1.7670567920846605E-2</v>
      </c>
      <c r="P27">
        <f>RawData!W177</f>
        <v>0.78749999999999998</v>
      </c>
      <c r="Q27">
        <f>RawData!X177</f>
        <v>0.82040691276510613</v>
      </c>
      <c r="R27">
        <f>RawData!Y177</f>
        <v>1.6192976759246573E-2</v>
      </c>
    </row>
    <row r="28" spans="1:18" x14ac:dyDescent="0.2">
      <c r="A28" t="str">
        <f>RawData!B184</f>
        <v>+</v>
      </c>
      <c r="B28" t="str">
        <f>RawData!C184</f>
        <v>5Hz</v>
      </c>
      <c r="C28" t="str">
        <f>RawData!D184</f>
        <v>Ctrl-Oral</v>
      </c>
      <c r="D28">
        <f>RawData!K184</f>
        <v>0.8125</v>
      </c>
      <c r="E28">
        <f>RawData!L184</f>
        <v>0.89212184873949585</v>
      </c>
      <c r="F28">
        <f>RawData!M184</f>
        <v>1.6408642593537155E-2</v>
      </c>
      <c r="G28">
        <f>RawData!N184</f>
        <v>0.375</v>
      </c>
      <c r="H28">
        <f>RawData!O184</f>
        <v>0.36666666666666664</v>
      </c>
      <c r="I28">
        <f>RawData!P184</f>
        <v>1.5971914124998692E-2</v>
      </c>
      <c r="J28">
        <f>RawData!Q184</f>
        <v>0.625</v>
      </c>
      <c r="K28">
        <f>RawData!R184</f>
        <v>0.63333333333333341</v>
      </c>
      <c r="L28">
        <f>RawData!S184</f>
        <v>1.5971914124998494E-2</v>
      </c>
      <c r="M28">
        <f>RawData!T184</f>
        <v>0.1875</v>
      </c>
      <c r="N28">
        <f>RawData!U184</f>
        <v>0.10787815126050419</v>
      </c>
      <c r="O28">
        <f>RawData!V184</f>
        <v>1.6408642593537158E-2</v>
      </c>
      <c r="P28">
        <f>RawData!W184</f>
        <v>0.53846153846153844</v>
      </c>
      <c r="Q28">
        <f>RawData!X184</f>
        <v>0.58827882435025292</v>
      </c>
      <c r="R28">
        <f>RawData!Y184</f>
        <v>1.8862643871167661E-2</v>
      </c>
    </row>
    <row r="29" spans="1:18" x14ac:dyDescent="0.2">
      <c r="A29" t="str">
        <f>RawData!B191</f>
        <v>-</v>
      </c>
      <c r="B29" t="str">
        <f>RawData!C191</f>
        <v>5Hz</v>
      </c>
      <c r="C29" t="str">
        <f>RawData!D191</f>
        <v>Ctrl-Oral</v>
      </c>
      <c r="D29">
        <f>RawData!K191</f>
        <v>0.8125</v>
      </c>
      <c r="E29">
        <f>RawData!L191</f>
        <v>0.84800420168067236</v>
      </c>
      <c r="F29">
        <f>RawData!M191</f>
        <v>1.6123744556237232E-2</v>
      </c>
      <c r="G29">
        <f>RawData!N191</f>
        <v>0.25</v>
      </c>
      <c r="H29">
        <f>RawData!O191</f>
        <v>0.29796918767507002</v>
      </c>
      <c r="I29">
        <f>RawData!P191</f>
        <v>2.1743145721500188E-2</v>
      </c>
      <c r="J29">
        <f>RawData!Q191</f>
        <v>0.75</v>
      </c>
      <c r="K29">
        <f>RawData!R191</f>
        <v>0.70203081232493003</v>
      </c>
      <c r="L29">
        <f>RawData!S191</f>
        <v>2.1743145721500181E-2</v>
      </c>
      <c r="M29">
        <f>RawData!T191</f>
        <v>0.1875</v>
      </c>
      <c r="N29">
        <f>RawData!U191</f>
        <v>0.15199579831932772</v>
      </c>
      <c r="O29">
        <f>RawData!V191</f>
        <v>1.6123744556237239E-2</v>
      </c>
      <c r="P29">
        <f>RawData!W191</f>
        <v>0.69230769230769229</v>
      </c>
      <c r="Q29">
        <f>RawData!X191</f>
        <v>0.64583814294948738</v>
      </c>
      <c r="R29">
        <f>RawData!Y191</f>
        <v>2.8891754968490373E-2</v>
      </c>
    </row>
    <row r="30" spans="1:18" x14ac:dyDescent="0.2">
      <c r="A30" t="str">
        <f>RawData!B198</f>
        <v>+</v>
      </c>
      <c r="B30" t="str">
        <f>RawData!C198</f>
        <v>5Hz</v>
      </c>
      <c r="C30" t="str">
        <f>RawData!D198</f>
        <v>BI 2.5</v>
      </c>
      <c r="D30">
        <f>RawData!K198</f>
        <v>0.8125</v>
      </c>
      <c r="E30">
        <f>RawData!L198</f>
        <v>0.84688375350140055</v>
      </c>
      <c r="F30">
        <f>RawData!M198</f>
        <v>1.7017722702298215E-2</v>
      </c>
      <c r="G30">
        <f>RawData!N198</f>
        <v>0.3125</v>
      </c>
      <c r="H30">
        <f>RawData!O198</f>
        <v>0.25238095238095237</v>
      </c>
      <c r="I30">
        <f>RawData!P198</f>
        <v>1.7992682888111722E-2</v>
      </c>
      <c r="J30">
        <f>RawData!Q198</f>
        <v>0.6875</v>
      </c>
      <c r="K30">
        <f>RawData!R198</f>
        <v>0.74761904761904763</v>
      </c>
      <c r="L30">
        <f>RawData!S198</f>
        <v>1.7992682888111702E-2</v>
      </c>
      <c r="M30">
        <f>RawData!T198</f>
        <v>0.1875</v>
      </c>
      <c r="N30">
        <f>RawData!U198</f>
        <v>0.15311624649859942</v>
      </c>
      <c r="O30">
        <f>RawData!V198</f>
        <v>1.7017722702298222E-2</v>
      </c>
      <c r="P30">
        <f>RawData!W198</f>
        <v>0.61538461538461542</v>
      </c>
      <c r="Q30">
        <f>RawData!X198</f>
        <v>0.69891069248212112</v>
      </c>
      <c r="R30">
        <f>RawData!Y198</f>
        <v>2.6791561943868357E-2</v>
      </c>
    </row>
    <row r="31" spans="1:18" x14ac:dyDescent="0.2">
      <c r="A31" t="str">
        <f>RawData!B205</f>
        <v>-</v>
      </c>
      <c r="B31" t="str">
        <f>RawData!C205</f>
        <v>5Hz</v>
      </c>
      <c r="C31" t="str">
        <f>RawData!D205</f>
        <v>BI 2.5</v>
      </c>
      <c r="D31">
        <f>RawData!K205</f>
        <v>0.8125</v>
      </c>
      <c r="E31">
        <f>RawData!L205</f>
        <v>0.84328231292516997</v>
      </c>
      <c r="F31">
        <f>RawData!M205</f>
        <v>1.0236424286283045E-2</v>
      </c>
      <c r="G31">
        <f>RawData!N205</f>
        <v>0.29411764705882354</v>
      </c>
      <c r="H31">
        <f>RawData!O205</f>
        <v>0.27237394957983191</v>
      </c>
      <c r="I31">
        <f>RawData!P205</f>
        <v>8.0582000024999548E-3</v>
      </c>
      <c r="J31">
        <f>RawData!Q205</f>
        <v>0.70588235294117652</v>
      </c>
      <c r="K31">
        <f>RawData!R205</f>
        <v>0.72762605042016815</v>
      </c>
      <c r="L31">
        <f>RawData!S205</f>
        <v>8.0582000024999496E-3</v>
      </c>
      <c r="M31">
        <f>RawData!T205</f>
        <v>0.1875</v>
      </c>
      <c r="N31">
        <f>RawData!U205</f>
        <v>0.15671768707482991</v>
      </c>
      <c r="O31">
        <f>RawData!V205</f>
        <v>1.0236424286283075E-2</v>
      </c>
      <c r="P31">
        <f>RawData!W205</f>
        <v>0.63800904977375572</v>
      </c>
      <c r="Q31">
        <f>RawData!X205</f>
        <v>0.67606042416966794</v>
      </c>
      <c r="R31">
        <f>RawData!Y205</f>
        <v>1.2919149460567901E-2</v>
      </c>
    </row>
    <row r="32" spans="1:18" x14ac:dyDescent="0.2">
      <c r="A32" t="str">
        <f>RawData!B212</f>
        <v>+</v>
      </c>
      <c r="B32" t="str">
        <f>RawData!C212</f>
        <v>5Hz</v>
      </c>
      <c r="C32" t="str">
        <f>RawData!D212</f>
        <v>BI 7.5</v>
      </c>
      <c r="D32">
        <f>RawData!K212</f>
        <v>0.82352941176470584</v>
      </c>
      <c r="E32">
        <f>RawData!L212</f>
        <v>0.83788515406162467</v>
      </c>
      <c r="F32">
        <f>RawData!M212</f>
        <v>1.152953914731703E-2</v>
      </c>
      <c r="G32">
        <f>RawData!N212</f>
        <v>0.25</v>
      </c>
      <c r="H32">
        <f>RawData!O212</f>
        <v>0.24345238095238095</v>
      </c>
      <c r="I32">
        <f>RawData!P212</f>
        <v>8.9030246768444631E-3</v>
      </c>
      <c r="J32">
        <f>RawData!Q212</f>
        <v>0.75</v>
      </c>
      <c r="K32">
        <f>RawData!R212</f>
        <v>0.75654761904761902</v>
      </c>
      <c r="L32">
        <f>RawData!S212</f>
        <v>8.9030246768444649E-3</v>
      </c>
      <c r="M32">
        <f>RawData!T212</f>
        <v>0.17647058823529413</v>
      </c>
      <c r="N32">
        <f>RawData!U212</f>
        <v>0.16211484593837536</v>
      </c>
      <c r="O32">
        <f>RawData!V212</f>
        <v>1.1529539147317074E-2</v>
      </c>
      <c r="P32">
        <f>RawData!W212</f>
        <v>0.6964285714285714</v>
      </c>
      <c r="Q32">
        <f>RawData!X212</f>
        <v>0.70950418628990064</v>
      </c>
      <c r="R32">
        <f>RawData!Y212</f>
        <v>9.8443630125446616E-3</v>
      </c>
    </row>
    <row r="33" spans="1:18" x14ac:dyDescent="0.2">
      <c r="A33" t="str">
        <f>RawData!B219</f>
        <v>-</v>
      </c>
      <c r="B33" t="str">
        <f>RawData!C219</f>
        <v>5Hz</v>
      </c>
      <c r="C33" t="str">
        <f>RawData!D219</f>
        <v>BI 7.5</v>
      </c>
      <c r="D33">
        <f>RawData!K219</f>
        <v>0.88235294117647056</v>
      </c>
      <c r="E33">
        <f>RawData!L219</f>
        <v>0.86474089635854334</v>
      </c>
      <c r="F33">
        <f>RawData!M219</f>
        <v>8.2838177387966391E-3</v>
      </c>
      <c r="G33">
        <f>RawData!N219</f>
        <v>0.25</v>
      </c>
      <c r="H33">
        <f>RawData!O219</f>
        <v>0.24373249299719887</v>
      </c>
      <c r="I33">
        <f>RawData!P219</f>
        <v>9.4794051986861194E-3</v>
      </c>
      <c r="J33">
        <f>RawData!Q219</f>
        <v>0.75</v>
      </c>
      <c r="K33">
        <f>RawData!R219</f>
        <v>0.7562675070028011</v>
      </c>
      <c r="L33">
        <f>RawData!S219</f>
        <v>9.4794051986861038E-3</v>
      </c>
      <c r="M33">
        <f>RawData!T219</f>
        <v>0.11764705882352941</v>
      </c>
      <c r="N33">
        <f>RawData!U219</f>
        <v>0.13525910364145657</v>
      </c>
      <c r="O33">
        <f>RawData!V219</f>
        <v>8.2838177387966512E-3</v>
      </c>
      <c r="P33">
        <f>RawData!W219</f>
        <v>0.71666666666666667</v>
      </c>
      <c r="Q33">
        <f>RawData!X219</f>
        <v>0.71867208421830264</v>
      </c>
      <c r="R33">
        <f>RawData!Y219</f>
        <v>8.8356377266812659E-3</v>
      </c>
    </row>
    <row r="34" spans="1:18" x14ac:dyDescent="0.2">
      <c r="A34" t="str">
        <f>RawData!B226</f>
        <v>+</v>
      </c>
      <c r="B34" t="str">
        <f>RawData!C226</f>
        <v>5Hz</v>
      </c>
      <c r="C34" t="str">
        <f>RawData!D226</f>
        <v>BI 12.5</v>
      </c>
      <c r="D34">
        <f>RawData!K226</f>
        <v>0.82352941176470584</v>
      </c>
      <c r="E34">
        <f>RawData!L226</f>
        <v>0.82762605042016812</v>
      </c>
      <c r="F34">
        <f>RawData!M226</f>
        <v>1.259616033631096E-2</v>
      </c>
      <c r="G34">
        <f>RawData!N226</f>
        <v>0.25</v>
      </c>
      <c r="H34">
        <f>RawData!O226</f>
        <v>0.23480392156862745</v>
      </c>
      <c r="I34">
        <f>RawData!P226</f>
        <v>1.1924826558005558E-2</v>
      </c>
      <c r="J34">
        <f>RawData!Q226</f>
        <v>0.75</v>
      </c>
      <c r="K34">
        <f>RawData!R226</f>
        <v>0.76519607843137261</v>
      </c>
      <c r="L34">
        <f>RawData!S226</f>
        <v>1.1924826558005478E-2</v>
      </c>
      <c r="M34">
        <f>RawData!T226</f>
        <v>0.17647058823529413</v>
      </c>
      <c r="N34">
        <f>RawData!U226</f>
        <v>0.17237394957983193</v>
      </c>
      <c r="O34">
        <f>RawData!V226</f>
        <v>1.2596160336311E-2</v>
      </c>
      <c r="P34">
        <f>RawData!W226</f>
        <v>0.6964285714285714</v>
      </c>
      <c r="Q34">
        <f>RawData!X226</f>
        <v>0.71529467556253279</v>
      </c>
      <c r="R34">
        <f>RawData!Y226</f>
        <v>1.6414805585388537E-2</v>
      </c>
    </row>
    <row r="35" spans="1:18" x14ac:dyDescent="0.2">
      <c r="A35" t="str">
        <f>RawData!B233</f>
        <v>-</v>
      </c>
      <c r="B35" t="str">
        <f>RawData!C233</f>
        <v>5Hz</v>
      </c>
      <c r="C35" t="str">
        <f>RawData!D233</f>
        <v>BI 12.5</v>
      </c>
      <c r="D35">
        <f>RawData!K233</f>
        <v>0.875</v>
      </c>
      <c r="E35">
        <f>RawData!L233</f>
        <v>0.87261904761904763</v>
      </c>
      <c r="F35">
        <f>RawData!M233</f>
        <v>1.4228912015885587E-3</v>
      </c>
      <c r="G35">
        <f>RawData!N233</f>
        <v>0.1875</v>
      </c>
      <c r="H35">
        <f>RawData!O233</f>
        <v>0.20714285714285713</v>
      </c>
      <c r="I35">
        <f>RawData!P233</f>
        <v>1.036857215964369E-2</v>
      </c>
      <c r="J35">
        <f>RawData!Q233</f>
        <v>0.8125</v>
      </c>
      <c r="K35">
        <f>RawData!R233</f>
        <v>0.79285714285714282</v>
      </c>
      <c r="L35">
        <f>RawData!S233</f>
        <v>1.0368572159643662E-2</v>
      </c>
      <c r="M35">
        <f>RawData!T233</f>
        <v>0.125</v>
      </c>
      <c r="N35">
        <f>RawData!U233</f>
        <v>0.12738095238095237</v>
      </c>
      <c r="O35">
        <f>RawData!V233</f>
        <v>1.4228912015885635E-3</v>
      </c>
      <c r="P35">
        <f>RawData!W233</f>
        <v>0.7857142857142857</v>
      </c>
      <c r="Q35">
        <f>RawData!X233</f>
        <v>0.76257849293563584</v>
      </c>
      <c r="R35">
        <f>RawData!Y233</f>
        <v>1.2008131938397535E-2</v>
      </c>
    </row>
    <row r="36" spans="1:18" x14ac:dyDescent="0.2">
      <c r="A36" t="str">
        <f>RawData!B240</f>
        <v>+</v>
      </c>
      <c r="B36" t="str">
        <f>RawData!C240</f>
        <v>10Hz</v>
      </c>
      <c r="C36" t="str">
        <f>RawData!D240</f>
        <v>Ctrl-Oral</v>
      </c>
      <c r="D36">
        <f>RawData!K240</f>
        <v>0.88235294117647056</v>
      </c>
      <c r="E36">
        <f>RawData!L240</f>
        <v>0.85738795518207289</v>
      </c>
      <c r="F36">
        <f>RawData!M240</f>
        <v>9.6649347553569159E-3</v>
      </c>
      <c r="G36">
        <f>RawData!N240</f>
        <v>0.6</v>
      </c>
      <c r="H36">
        <f>RawData!O240</f>
        <v>0.56796218487394967</v>
      </c>
      <c r="I36">
        <f>RawData!P240</f>
        <v>1.7487434041328759E-2</v>
      </c>
      <c r="J36">
        <f>RawData!Q240</f>
        <v>0.4</v>
      </c>
      <c r="K36">
        <f>RawData!R240</f>
        <v>0.43203781512605038</v>
      </c>
      <c r="L36">
        <f>RawData!S240</f>
        <v>1.7487434041328933E-2</v>
      </c>
      <c r="M36">
        <f>RawData!T240</f>
        <v>0.11764705882352941</v>
      </c>
      <c r="N36">
        <f>RawData!U240</f>
        <v>0.14261204481792716</v>
      </c>
      <c r="O36">
        <f>RawData!V240</f>
        <v>9.6649347553569402E-3</v>
      </c>
      <c r="P36">
        <f>RawData!W240</f>
        <v>0.32</v>
      </c>
      <c r="Q36">
        <f>RawData!X240</f>
        <v>0.33727283220980692</v>
      </c>
      <c r="R36">
        <f>RawData!Y240</f>
        <v>2.0484412688041482E-2</v>
      </c>
    </row>
    <row r="37" spans="1:18" x14ac:dyDescent="0.2">
      <c r="A37" t="str">
        <f>RawData!B247</f>
        <v>-</v>
      </c>
      <c r="B37" t="str">
        <f>RawData!C247</f>
        <v>10Hz</v>
      </c>
      <c r="C37" t="str">
        <f>RawData!D247</f>
        <v>Ctrl-Oral</v>
      </c>
      <c r="D37">
        <f>RawData!K247</f>
        <v>0.875</v>
      </c>
      <c r="E37">
        <f>RawData!L247</f>
        <v>0.87366946778711474</v>
      </c>
      <c r="F37">
        <f>RawData!M247</f>
        <v>1.9196216732218451E-3</v>
      </c>
      <c r="G37">
        <f>RawData!N247</f>
        <v>0.26666666666666666</v>
      </c>
      <c r="H37">
        <f>RawData!O247</f>
        <v>0.27261904761904759</v>
      </c>
      <c r="I37">
        <f>RawData!P247</f>
        <v>1.6035169477990746E-2</v>
      </c>
      <c r="J37">
        <f>RawData!Q247</f>
        <v>0.73333333333333328</v>
      </c>
      <c r="K37">
        <f>RawData!R247</f>
        <v>0.72738095238095235</v>
      </c>
      <c r="L37">
        <f>RawData!S247</f>
        <v>1.6035169477990701E-2</v>
      </c>
      <c r="M37">
        <f>RawData!T247</f>
        <v>0.125</v>
      </c>
      <c r="N37">
        <f>RawData!U247</f>
        <v>0.12633053221288515</v>
      </c>
      <c r="O37">
        <f>RawData!V247</f>
        <v>1.919621673221852E-3</v>
      </c>
      <c r="P37">
        <f>RawData!W247</f>
        <v>0.69523809523809521</v>
      </c>
      <c r="Q37">
        <f>RawData!X247</f>
        <v>0.68816064887493467</v>
      </c>
      <c r="R37">
        <f>RawData!Y247</f>
        <v>1.7707138698288015E-2</v>
      </c>
    </row>
    <row r="38" spans="1:18" x14ac:dyDescent="0.2">
      <c r="A38" t="str">
        <f>RawData!B254</f>
        <v>+</v>
      </c>
      <c r="B38" t="str">
        <f>RawData!C254</f>
        <v>10Hz</v>
      </c>
      <c r="C38" t="str">
        <f>RawData!D254</f>
        <v>BI 2.5</v>
      </c>
      <c r="D38">
        <f>RawData!K254</f>
        <v>0.88235294117647056</v>
      </c>
      <c r="E38">
        <f>RawData!L254</f>
        <v>0.90997899159663853</v>
      </c>
      <c r="F38">
        <f>RawData!M254</f>
        <v>1.1676182800149492E-2</v>
      </c>
      <c r="G38">
        <f>RawData!N254</f>
        <v>0.4375</v>
      </c>
      <c r="H38">
        <f>RawData!O254</f>
        <v>0.43746498599439781</v>
      </c>
      <c r="I38">
        <f>RawData!P254</f>
        <v>1.0928120604575486E-2</v>
      </c>
      <c r="J38">
        <f>RawData!Q254</f>
        <v>0.5625</v>
      </c>
      <c r="K38">
        <f>RawData!R254</f>
        <v>0.56253501400560224</v>
      </c>
      <c r="L38">
        <f>RawData!S254</f>
        <v>1.0928120604575486E-2</v>
      </c>
      <c r="M38">
        <f>RawData!T254</f>
        <v>0.11764705882352941</v>
      </c>
      <c r="N38">
        <f>RawData!U254</f>
        <v>9.0021008403361344E-2</v>
      </c>
      <c r="O38">
        <f>RawData!V254</f>
        <v>1.1676182800149499E-2</v>
      </c>
      <c r="P38">
        <f>RawData!W254</f>
        <v>0.50416666666666665</v>
      </c>
      <c r="Q38">
        <f>RawData!X254</f>
        <v>0.51867326417746595</v>
      </c>
      <c r="R38">
        <f>RawData!Y254</f>
        <v>1.3350336657326866E-2</v>
      </c>
    </row>
    <row r="39" spans="1:18" x14ac:dyDescent="0.2">
      <c r="A39" t="str">
        <f>RawData!B261</f>
        <v>-</v>
      </c>
      <c r="B39" t="str">
        <f>RawData!C261</f>
        <v>10Hz</v>
      </c>
      <c r="C39" t="str">
        <f>RawData!D261</f>
        <v>BI 2.5</v>
      </c>
      <c r="D39">
        <f>RawData!K261</f>
        <v>0.8125</v>
      </c>
      <c r="E39">
        <f>RawData!L261</f>
        <v>0.83112745098039209</v>
      </c>
      <c r="F39">
        <f>RawData!M261</f>
        <v>8.6690605064005284E-3</v>
      </c>
      <c r="G39">
        <f>RawData!N261</f>
        <v>0.26666666666666666</v>
      </c>
      <c r="H39">
        <f>RawData!O261</f>
        <v>0.23532913165266106</v>
      </c>
      <c r="I39">
        <f>RawData!P261</f>
        <v>1.3063220923228463E-2</v>
      </c>
      <c r="J39">
        <f>RawData!Q261</f>
        <v>0.73333333333333328</v>
      </c>
      <c r="K39">
        <f>RawData!R261</f>
        <v>0.76467086834733888</v>
      </c>
      <c r="L39">
        <f>RawData!S261</f>
        <v>1.3063220923228419E-2</v>
      </c>
      <c r="M39">
        <f>RawData!T261</f>
        <v>0.1875</v>
      </c>
      <c r="N39">
        <f>RawData!U261</f>
        <v>0.16887254901960785</v>
      </c>
      <c r="O39">
        <f>RawData!V261</f>
        <v>8.6690605064005145E-3</v>
      </c>
      <c r="P39">
        <f>RawData!W261</f>
        <v>0.67179487179487174</v>
      </c>
      <c r="Q39">
        <f>RawData!X261</f>
        <v>0.7163492320004925</v>
      </c>
      <c r="R39">
        <f>RawData!Y261</f>
        <v>1.6741326292268172E-2</v>
      </c>
    </row>
    <row r="40" spans="1:18" x14ac:dyDescent="0.2">
      <c r="A40" t="str">
        <f>RawData!B268</f>
        <v>+</v>
      </c>
      <c r="B40" t="str">
        <f>RawData!C268</f>
        <v>10Hz</v>
      </c>
      <c r="C40" t="str">
        <f>RawData!D268</f>
        <v>BI 7.5</v>
      </c>
      <c r="D40">
        <f>RawData!K268</f>
        <v>0.8666666666666667</v>
      </c>
      <c r="E40">
        <f>RawData!L268</f>
        <v>0.88259803921568625</v>
      </c>
      <c r="F40">
        <f>RawData!M268</f>
        <v>8.6838969355456513E-3</v>
      </c>
      <c r="G40">
        <f>RawData!N268</f>
        <v>0.33333333333333331</v>
      </c>
      <c r="H40">
        <f>RawData!O268</f>
        <v>0.33375350140056026</v>
      </c>
      <c r="I40">
        <f>RawData!P268</f>
        <v>1.7128736612820574E-2</v>
      </c>
      <c r="J40">
        <f>RawData!Q268</f>
        <v>0.66666666666666663</v>
      </c>
      <c r="K40">
        <f>RawData!R268</f>
        <v>0.66624649859943985</v>
      </c>
      <c r="L40">
        <f>RawData!S268</f>
        <v>1.7128736612820637E-2</v>
      </c>
      <c r="M40">
        <f>RawData!T268</f>
        <v>0.13333333333333333</v>
      </c>
      <c r="N40">
        <f>RawData!U268</f>
        <v>0.11740196078431372</v>
      </c>
      <c r="O40">
        <f>RawData!V268</f>
        <v>8.6838969355456808E-3</v>
      </c>
      <c r="P40">
        <f>RawData!W268</f>
        <v>0.61538461538461531</v>
      </c>
      <c r="Q40">
        <f>RawData!X268</f>
        <v>0.62129774986917841</v>
      </c>
      <c r="R40">
        <f>RawData!Y268</f>
        <v>2.0705534974953834E-2</v>
      </c>
    </row>
    <row r="41" spans="1:18" x14ac:dyDescent="0.2">
      <c r="A41" t="str">
        <f>RawData!B275</f>
        <v>-</v>
      </c>
      <c r="B41" t="str">
        <f>RawData!C275</f>
        <v>10Hz</v>
      </c>
      <c r="C41" t="str">
        <f>RawData!D275</f>
        <v>BI 7.5</v>
      </c>
      <c r="D41">
        <f>RawData!K275</f>
        <v>0.8</v>
      </c>
      <c r="E41">
        <f>RawData!L275</f>
        <v>0.8355042016806723</v>
      </c>
      <c r="F41">
        <f>RawData!M275</f>
        <v>1.8304284576557313E-2</v>
      </c>
      <c r="G41">
        <f>RawData!N275</f>
        <v>0.2</v>
      </c>
      <c r="H41">
        <f>RawData!O275</f>
        <v>0.21130952380952378</v>
      </c>
      <c r="I41">
        <f>RawData!P275</f>
        <v>1.1533320974956475E-2</v>
      </c>
      <c r="J41">
        <f>RawData!Q275</f>
        <v>0.8</v>
      </c>
      <c r="K41">
        <f>RawData!R275</f>
        <v>0.78869047619047616</v>
      </c>
      <c r="L41">
        <f>RawData!S275</f>
        <v>1.153332097495645E-2</v>
      </c>
      <c r="M41">
        <f>RawData!T275</f>
        <v>0.2</v>
      </c>
      <c r="N41">
        <f>RawData!U275</f>
        <v>0.16449579831932773</v>
      </c>
      <c r="O41">
        <f>RawData!V275</f>
        <v>1.8304284576557365E-2</v>
      </c>
      <c r="P41">
        <f>RawData!W275</f>
        <v>0.75000000000000011</v>
      </c>
      <c r="Q41">
        <f>RawData!X275</f>
        <v>0.74546866823652536</v>
      </c>
      <c r="R41">
        <f>RawData!Y275</f>
        <v>1.6724084648551175E-2</v>
      </c>
    </row>
    <row r="42" spans="1:18" x14ac:dyDescent="0.2">
      <c r="A42" t="str">
        <f>RawData!B282</f>
        <v>+</v>
      </c>
      <c r="B42" t="str">
        <f>RawData!C282</f>
        <v>10Hz</v>
      </c>
      <c r="C42" t="str">
        <f>RawData!D282</f>
        <v>BI 12.5</v>
      </c>
      <c r="D42">
        <f>RawData!K282</f>
        <v>0.875</v>
      </c>
      <c r="E42">
        <f>RawData!L282</f>
        <v>0.84628851540616246</v>
      </c>
      <c r="F42">
        <f>RawData!M282</f>
        <v>1.2609167992194623E-2</v>
      </c>
      <c r="G42">
        <f>RawData!N282</f>
        <v>0.25</v>
      </c>
      <c r="H42">
        <f>RawData!O282</f>
        <v>0.2255952380952381</v>
      </c>
      <c r="I42">
        <f>RawData!P282</f>
        <v>1.7865644234847589E-2</v>
      </c>
      <c r="J42">
        <f>RawData!Q282</f>
        <v>0.75</v>
      </c>
      <c r="K42">
        <f>RawData!R282</f>
        <v>0.77440476190476193</v>
      </c>
      <c r="L42">
        <f>RawData!S282</f>
        <v>1.7865644234847562E-2</v>
      </c>
      <c r="M42">
        <f>RawData!T282</f>
        <v>0.125</v>
      </c>
      <c r="N42">
        <f>RawData!U282</f>
        <v>0.15371148459383752</v>
      </c>
      <c r="O42">
        <f>RawData!V282</f>
        <v>1.2609167992194642E-2</v>
      </c>
      <c r="P42">
        <f>RawData!W282</f>
        <v>0.7142857142857143</v>
      </c>
      <c r="Q42">
        <f>RawData!X282</f>
        <v>0.73163919413919409</v>
      </c>
      <c r="R42">
        <f>RawData!Y282</f>
        <v>2.3368075886637932E-2</v>
      </c>
    </row>
    <row r="43" spans="1:18" x14ac:dyDescent="0.2">
      <c r="A43" t="str">
        <f>RawData!B289</f>
        <v>-</v>
      </c>
      <c r="B43" t="str">
        <f>RawData!C289</f>
        <v>10Hz</v>
      </c>
      <c r="C43" t="str">
        <f>RawData!D289</f>
        <v>BI 12.5</v>
      </c>
      <c r="D43">
        <f>RawData!K289</f>
        <v>0.82352941176470584</v>
      </c>
      <c r="E43">
        <f>RawData!L289</f>
        <v>0.8210084033613444</v>
      </c>
      <c r="F43">
        <f>RawData!M289</f>
        <v>8.9844484157580937E-3</v>
      </c>
      <c r="G43">
        <f>RawData!N289</f>
        <v>0.1875</v>
      </c>
      <c r="H43">
        <f>RawData!O289</f>
        <v>0.16323529411764706</v>
      </c>
      <c r="I43">
        <f>RawData!P289</f>
        <v>1.3464239658961661E-2</v>
      </c>
      <c r="J43">
        <f>RawData!Q289</f>
        <v>0.8125</v>
      </c>
      <c r="K43">
        <f>RawData!R289</f>
        <v>0.83676470588235297</v>
      </c>
      <c r="L43">
        <f>RawData!S289</f>
        <v>1.3464239658961626E-2</v>
      </c>
      <c r="M43">
        <f>RawData!T289</f>
        <v>0.17647058823529413</v>
      </c>
      <c r="N43">
        <f>RawData!U289</f>
        <v>0.17899159663865546</v>
      </c>
      <c r="O43">
        <f>RawData!V289</f>
        <v>8.9844484157581214E-3</v>
      </c>
      <c r="P43">
        <f>RawData!W289</f>
        <v>0.7723214285714286</v>
      </c>
      <c r="Q43">
        <f>RawData!X289</f>
        <v>0.80169567827130839</v>
      </c>
      <c r="R43">
        <f>RawData!Y289</f>
        <v>1.5494553397844696E-2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1B169-6BDE-49B7-B218-50E6952D389A}">
  <dimension ref="A1:AJ101"/>
  <sheetViews>
    <sheetView topLeftCell="S49" zoomScale="73" zoomScaleNormal="73" workbookViewId="0">
      <selection sqref="A1:XFD1"/>
    </sheetView>
  </sheetViews>
  <sheetFormatPr baseColWidth="10" defaultColWidth="8.83203125" defaultRowHeight="15" x14ac:dyDescent="0.2"/>
  <sheetData>
    <row r="1" spans="1:18" s="2" customFormat="1" x14ac:dyDescent="0.2">
      <c r="A1" s="2" t="str">
        <f>GroupData!A1</f>
        <v>Genotype</v>
      </c>
      <c r="B1" s="2" t="str">
        <f>GroupData!B1</f>
        <v>LaserFreq</v>
      </c>
      <c r="C1" s="2" t="str">
        <f>GroupData!C1</f>
        <v>DrugGroup</v>
      </c>
      <c r="D1" s="2" t="str">
        <f>GroupData!D1</f>
        <v>Hits</v>
      </c>
      <c r="E1" s="2" t="str">
        <f>GroupData!E1</f>
        <v>Group Avg</v>
      </c>
      <c r="F1" s="2" t="str">
        <f>GroupData!F1</f>
        <v>STDERR</v>
      </c>
      <c r="G1" s="2" t="str">
        <f>GroupData!G1</f>
        <v>FalseAlarms</v>
      </c>
      <c r="H1" s="2" t="str">
        <f>GroupData!H1</f>
        <v>Group Avg</v>
      </c>
      <c r="I1" s="2" t="str">
        <f>GroupData!I1</f>
        <v>STDERR</v>
      </c>
      <c r="J1" s="2" t="str">
        <f>GroupData!J1</f>
        <v>PNoGo</v>
      </c>
      <c r="K1" s="2" t="str">
        <f>GroupData!K1</f>
        <v>Group Avg</v>
      </c>
      <c r="L1" s="2" t="str">
        <f>GroupData!L1</f>
        <v>STDERR</v>
      </c>
      <c r="M1" s="2" t="str">
        <f>GroupData!M1</f>
        <v>Pomission</v>
      </c>
      <c r="N1" s="2" t="str">
        <f>GroupData!N1</f>
        <v>Group Avg</v>
      </c>
      <c r="O1" s="2" t="str">
        <f>GroupData!O1</f>
        <v>STDERR</v>
      </c>
      <c r="P1" s="2" t="str">
        <f>GroupData!P1</f>
        <v>Pinhibition</v>
      </c>
      <c r="Q1" s="2" t="str">
        <f>GroupData!Q1</f>
        <v>Group Avg</v>
      </c>
      <c r="R1" s="2" t="str">
        <f>GroupData!R1</f>
        <v>STDERR</v>
      </c>
    </row>
    <row r="2" spans="1:18" x14ac:dyDescent="0.2">
      <c r="A2" t="str">
        <f>GroupData!A3</f>
        <v>-</v>
      </c>
      <c r="B2" t="str">
        <f>GroupData!B3</f>
        <v>0Hz</v>
      </c>
      <c r="C2" t="str">
        <f>GroupData!C3</f>
        <v>NoTreatment</v>
      </c>
      <c r="D2">
        <f>GroupData!D3</f>
        <v>0.8666666666666667</v>
      </c>
      <c r="E2">
        <f>GroupData!E3</f>
        <v>0.84523809523809523</v>
      </c>
      <c r="F2">
        <f>GroupData!F3</f>
        <v>2.7256817099457195E-2</v>
      </c>
      <c r="G2">
        <f>GroupData!G3</f>
        <v>0.25</v>
      </c>
      <c r="H2">
        <f>GroupData!H3</f>
        <v>0.21065426170468185</v>
      </c>
      <c r="I2">
        <f>GroupData!I3</f>
        <v>8.4124098392045835E-3</v>
      </c>
      <c r="J2">
        <f>GroupData!J3</f>
        <v>0.75</v>
      </c>
      <c r="K2">
        <f>GroupData!K3</f>
        <v>0.78934573829531807</v>
      </c>
      <c r="L2">
        <f>GroupData!L3</f>
        <v>8.4124098392045609E-3</v>
      </c>
      <c r="M2">
        <f>GroupData!M3</f>
        <v>0.13333333333333333</v>
      </c>
      <c r="N2">
        <f>GroupData!N3</f>
        <v>0.15476190476190474</v>
      </c>
      <c r="O2">
        <f>GroupData!O3</f>
        <v>2.7256817099457202E-2</v>
      </c>
      <c r="P2">
        <f>GroupData!P3</f>
        <v>0.71153846153846156</v>
      </c>
      <c r="Q2">
        <f>GroupData!Q3</f>
        <v>0.74835044157523156</v>
      </c>
      <c r="R2">
        <f>GroupData!R3</f>
        <v>1.4205953685936018E-2</v>
      </c>
    </row>
    <row r="3" spans="1:18" x14ac:dyDescent="0.2">
      <c r="A3" t="str">
        <f>GroupData!A5</f>
        <v>-</v>
      </c>
      <c r="B3" t="str">
        <f>GroupData!B5</f>
        <v>5Hz</v>
      </c>
      <c r="C3" t="str">
        <f>GroupData!C5</f>
        <v>NoTreatment</v>
      </c>
      <c r="D3">
        <f>GroupData!D5</f>
        <v>0.88235294117647056</v>
      </c>
      <c r="E3">
        <f>GroupData!E5</f>
        <v>0.85453681472589038</v>
      </c>
      <c r="F3">
        <f>GroupData!F5</f>
        <v>2.0032070680194674E-2</v>
      </c>
      <c r="G3">
        <f>GroupData!G5</f>
        <v>0.25</v>
      </c>
      <c r="H3">
        <f>GroupData!H5</f>
        <v>0.23333333333333334</v>
      </c>
      <c r="I3">
        <f>GroupData!I5</f>
        <v>1.9938255029100259E-2</v>
      </c>
      <c r="J3">
        <f>GroupData!J5</f>
        <v>0.75</v>
      </c>
      <c r="K3">
        <f>GroupData!K5</f>
        <v>0.76666666666666672</v>
      </c>
      <c r="L3">
        <f>GroupData!L5</f>
        <v>1.9938255029100269E-2</v>
      </c>
      <c r="M3">
        <f>GroupData!M5</f>
        <v>0.11764705882352941</v>
      </c>
      <c r="N3">
        <f>GroupData!N5</f>
        <v>0.14546318527410965</v>
      </c>
      <c r="O3">
        <f>GroupData!O5</f>
        <v>2.0032070680194681E-2</v>
      </c>
      <c r="P3">
        <f>GroupData!P5</f>
        <v>0.71666666666666667</v>
      </c>
      <c r="Q3">
        <f>GroupData!Q5</f>
        <v>0.72626896912611194</v>
      </c>
      <c r="R3">
        <f>GroupData!R5</f>
        <v>2.3498810933594579E-2</v>
      </c>
    </row>
    <row r="4" spans="1:18" x14ac:dyDescent="0.2">
      <c r="A4" t="str">
        <f>GroupData!A9</f>
        <v>-</v>
      </c>
      <c r="B4" t="str">
        <f>GroupData!B9</f>
        <v>5Hz</v>
      </c>
      <c r="C4" t="str">
        <f>GroupData!C9</f>
        <v>Ctrl-IP</v>
      </c>
      <c r="D4">
        <f>GroupData!D9</f>
        <v>0.875</v>
      </c>
      <c r="E4">
        <f>GroupData!E9</f>
        <v>0.88191776710684289</v>
      </c>
      <c r="F4">
        <f>GroupData!F9</f>
        <v>1.4262443484399593E-2</v>
      </c>
      <c r="G4">
        <f>GroupData!G9</f>
        <v>0.25</v>
      </c>
      <c r="H4">
        <f>GroupData!H9</f>
        <v>0.24523809523809523</v>
      </c>
      <c r="I4">
        <f>GroupData!I9</f>
        <v>1.4590706868391938E-2</v>
      </c>
      <c r="J4">
        <f>GroupData!J9</f>
        <v>0.75</v>
      </c>
      <c r="K4">
        <f>GroupData!K9</f>
        <v>0.75476190476190474</v>
      </c>
      <c r="L4">
        <f>GroupData!L9</f>
        <v>1.4590706868391923E-2</v>
      </c>
      <c r="M4">
        <f>GroupData!M9</f>
        <v>0.125</v>
      </c>
      <c r="N4">
        <f>GroupData!N9</f>
        <v>0.11808223289315725</v>
      </c>
      <c r="O4">
        <f>GroupData!O9</f>
        <v>1.4262443484399617E-2</v>
      </c>
      <c r="P4">
        <f>GroupData!P9</f>
        <v>0.7142857142857143</v>
      </c>
      <c r="Q4">
        <f>GroupData!Q9</f>
        <v>0.72232775161346585</v>
      </c>
      <c r="R4">
        <f>GroupData!R9</f>
        <v>1.4660397537687808E-2</v>
      </c>
    </row>
    <row r="5" spans="1:18" x14ac:dyDescent="0.2">
      <c r="A5" t="str">
        <f>GroupData!A11</f>
        <v>-</v>
      </c>
      <c r="B5" t="str">
        <f>GroupData!B11</f>
        <v>5Hz</v>
      </c>
      <c r="C5" t="str">
        <f>GroupData!C11</f>
        <v>Amph 1</v>
      </c>
      <c r="D5">
        <f>GroupData!D11</f>
        <v>0.8</v>
      </c>
      <c r="E5">
        <f>GroupData!E11</f>
        <v>0.83676470588235297</v>
      </c>
      <c r="F5">
        <f>GroupData!F11</f>
        <v>1.3464239658961626E-2</v>
      </c>
      <c r="G5">
        <f>GroupData!G11</f>
        <v>0.375</v>
      </c>
      <c r="H5">
        <f>GroupData!H11</f>
        <v>0.37899159663865545</v>
      </c>
      <c r="I5">
        <f>GroupData!I11</f>
        <v>5.7588650196655575E-3</v>
      </c>
      <c r="J5">
        <f>GroupData!J11</f>
        <v>0.625</v>
      </c>
      <c r="K5">
        <f>GroupData!K11</f>
        <v>0.62100840336134466</v>
      </c>
      <c r="L5">
        <f>GroupData!L11</f>
        <v>5.7588650196655627E-3</v>
      </c>
      <c r="M5">
        <f>GroupData!M11</f>
        <v>0.2</v>
      </c>
      <c r="N5">
        <f>GroupData!N11</f>
        <v>0.16323529411764706</v>
      </c>
      <c r="O5">
        <f>GroupData!O11</f>
        <v>1.3464239658961636E-2</v>
      </c>
      <c r="P5">
        <f>GroupData!P11</f>
        <v>0.53125</v>
      </c>
      <c r="Q5">
        <f>GroupData!Q11</f>
        <v>0.54585026318219587</v>
      </c>
      <c r="R5">
        <f>GroupData!R11</f>
        <v>1.230713440344228E-2</v>
      </c>
    </row>
    <row r="6" spans="1:18" x14ac:dyDescent="0.2">
      <c r="A6" t="str">
        <f>GroupData!A13</f>
        <v>-</v>
      </c>
      <c r="B6" t="str">
        <f>GroupData!B13</f>
        <v>5Hz</v>
      </c>
      <c r="C6" t="str">
        <f>GroupData!C13</f>
        <v>Amph 2.5</v>
      </c>
      <c r="D6">
        <f>GroupData!D13</f>
        <v>0.8</v>
      </c>
      <c r="E6">
        <f>GroupData!E13</f>
        <v>0.80157563025210077</v>
      </c>
      <c r="F6">
        <f>GroupData!F13</f>
        <v>8.4575831728447293E-3</v>
      </c>
      <c r="G6">
        <f>GroupData!G13</f>
        <v>0.47058823529411764</v>
      </c>
      <c r="H6">
        <f>GroupData!H13</f>
        <v>0.46841736694677871</v>
      </c>
      <c r="I6">
        <f>GroupData!I13</f>
        <v>8.9414594427096178E-3</v>
      </c>
      <c r="J6">
        <f>GroupData!J13</f>
        <v>0.52941176470588236</v>
      </c>
      <c r="K6">
        <f>GroupData!K13</f>
        <v>0.53158263305322129</v>
      </c>
      <c r="L6">
        <f>GroupData!L13</f>
        <v>8.9414594427096178E-3</v>
      </c>
      <c r="M6">
        <f>GroupData!M13</f>
        <v>0.2</v>
      </c>
      <c r="N6">
        <f>GroupData!N13</f>
        <v>0.19842436974789915</v>
      </c>
      <c r="O6">
        <f>GroupData!O13</f>
        <v>8.4575831728447605E-3</v>
      </c>
      <c r="P6">
        <f>GroupData!P13</f>
        <v>0.41176470588235292</v>
      </c>
      <c r="Q6">
        <f>GroupData!Q13</f>
        <v>0.41461565395388922</v>
      </c>
      <c r="R6">
        <f>GroupData!R13</f>
        <v>1.6145386956132074E-2</v>
      </c>
    </row>
    <row r="7" spans="1:18" x14ac:dyDescent="0.2">
      <c r="A7" t="str">
        <f>GroupData!A7</f>
        <v>-</v>
      </c>
      <c r="B7" t="str">
        <f>GroupData!B7</f>
        <v>10Hz</v>
      </c>
      <c r="C7" t="str">
        <f>GroupData!C7</f>
        <v>NoTreatment</v>
      </c>
      <c r="D7">
        <f>GroupData!D7</f>
        <v>0.8125</v>
      </c>
      <c r="E7">
        <f>GroupData!E7</f>
        <v>0.83571428571428563</v>
      </c>
      <c r="F7">
        <f>GroupData!F7</f>
        <v>1.8110448315611066E-2</v>
      </c>
      <c r="G7">
        <f>GroupData!G7</f>
        <v>0.26666666666666666</v>
      </c>
      <c r="H7">
        <f>GroupData!H7</f>
        <v>0.25476190476190474</v>
      </c>
      <c r="I7">
        <f>GroupData!I7</f>
        <v>2.8457824031771269E-3</v>
      </c>
      <c r="J7">
        <f>GroupData!J7</f>
        <v>0.73333333333333328</v>
      </c>
      <c r="K7">
        <f>GroupData!K7</f>
        <v>0.74523809523809526</v>
      </c>
      <c r="L7">
        <f>GroupData!L7</f>
        <v>2.8457824031771365E-3</v>
      </c>
      <c r="M7">
        <f>GroupData!M7</f>
        <v>0.1875</v>
      </c>
      <c r="N7">
        <f>GroupData!N7</f>
        <v>0.16428571428571428</v>
      </c>
      <c r="O7">
        <f>GroupData!O7</f>
        <v>1.8110448315611091E-2</v>
      </c>
      <c r="P7">
        <f>GroupData!P7</f>
        <v>0.67179487179487174</v>
      </c>
      <c r="Q7">
        <f>GroupData!Q7</f>
        <v>0.69407378335949765</v>
      </c>
      <c r="R7">
        <f>GroupData!R7</f>
        <v>7.8663355961370359E-3</v>
      </c>
    </row>
    <row r="8" spans="1:18" x14ac:dyDescent="0.2">
      <c r="A8" t="str">
        <f>GroupData!A15</f>
        <v>-</v>
      </c>
      <c r="B8" t="str">
        <f>GroupData!B15</f>
        <v>10Hz</v>
      </c>
      <c r="C8" t="str">
        <f>GroupData!C15</f>
        <v>Ctrl-IP</v>
      </c>
      <c r="D8">
        <f>GroupData!D15</f>
        <v>0.75</v>
      </c>
      <c r="E8">
        <f>GroupData!E15</f>
        <v>0.82700080032012802</v>
      </c>
      <c r="F8">
        <f>GroupData!F15</f>
        <v>1.984938933555503E-2</v>
      </c>
      <c r="G8">
        <f>GroupData!G15</f>
        <v>0.25</v>
      </c>
      <c r="H8">
        <f>GroupData!H15</f>
        <v>0.22738095238095238</v>
      </c>
      <c r="I8">
        <f>GroupData!I15</f>
        <v>1.1959906295644003E-2</v>
      </c>
      <c r="J8">
        <f>GroupData!J15</f>
        <v>0.75</v>
      </c>
      <c r="K8">
        <f>GroupData!K15</f>
        <v>0.77261904761904765</v>
      </c>
      <c r="L8">
        <f>GroupData!L15</f>
        <v>1.1959906295643927E-2</v>
      </c>
      <c r="M8">
        <f>GroupData!M15</f>
        <v>0.25</v>
      </c>
      <c r="N8">
        <f>GroupData!N15</f>
        <v>0.17299919967987193</v>
      </c>
      <c r="O8">
        <f>GroupData!O15</f>
        <v>1.9849389335555058E-2</v>
      </c>
      <c r="P8">
        <f>GroupData!P15</f>
        <v>0.66666666666666663</v>
      </c>
      <c r="Q8">
        <f>GroupData!Q15</f>
        <v>0.72479886185243314</v>
      </c>
      <c r="R8">
        <f>GroupData!R15</f>
        <v>1.3926754531566048E-2</v>
      </c>
    </row>
    <row r="9" spans="1:18" x14ac:dyDescent="0.2">
      <c r="A9" t="str">
        <f>GroupData!A17</f>
        <v>-</v>
      </c>
      <c r="B9" t="str">
        <f>GroupData!B17</f>
        <v>10Hz</v>
      </c>
      <c r="C9" t="str">
        <f>GroupData!C17</f>
        <v>Amph 1</v>
      </c>
      <c r="D9">
        <f>GroupData!D17</f>
        <v>0.8666666666666667</v>
      </c>
      <c r="E9">
        <f>GroupData!E17</f>
        <v>0.84740896358543416</v>
      </c>
      <c r="F9">
        <f>GroupData!F17</f>
        <v>1.0372405807135296E-2</v>
      </c>
      <c r="G9">
        <f>GroupData!G17</f>
        <v>0.375</v>
      </c>
      <c r="H9">
        <f>GroupData!H17</f>
        <v>0.32422969187675071</v>
      </c>
      <c r="I9">
        <f>GroupData!I17</f>
        <v>1.3815803291747138E-2</v>
      </c>
      <c r="J9">
        <f>GroupData!J17</f>
        <v>0.625</v>
      </c>
      <c r="K9">
        <f>GroupData!K17</f>
        <v>0.67577030812324934</v>
      </c>
      <c r="L9">
        <f>GroupData!L17</f>
        <v>1.3815803291747092E-2</v>
      </c>
      <c r="M9">
        <f>GroupData!M17</f>
        <v>0.13333333333333333</v>
      </c>
      <c r="N9">
        <f>GroupData!N17</f>
        <v>0.15259103641456581</v>
      </c>
      <c r="O9">
        <f>GroupData!O17</f>
        <v>1.0372405807135306E-2</v>
      </c>
      <c r="P9">
        <f>GroupData!P17</f>
        <v>0.56730769230769229</v>
      </c>
      <c r="Q9">
        <f>GroupData!Q17</f>
        <v>0.61744890263797825</v>
      </c>
      <c r="R9">
        <f>GroupData!R17</f>
        <v>1.5550186805672344E-2</v>
      </c>
    </row>
    <row r="10" spans="1:18" x14ac:dyDescent="0.2">
      <c r="A10" t="str">
        <f>GroupData!A19</f>
        <v>-</v>
      </c>
      <c r="B10" t="str">
        <f>GroupData!B19</f>
        <v>10Hz</v>
      </c>
      <c r="C10" t="str">
        <f>GroupData!C19</f>
        <v>Amph 2.5</v>
      </c>
      <c r="D10">
        <f>GroupData!D19</f>
        <v>0.8</v>
      </c>
      <c r="E10">
        <f>GroupData!E19</f>
        <v>0.82783613445378157</v>
      </c>
      <c r="F10">
        <f>GroupData!F19</f>
        <v>1.2331976231642682E-2</v>
      </c>
      <c r="G10">
        <f>GroupData!G19</f>
        <v>0.52941176470588236</v>
      </c>
      <c r="H10">
        <f>GroupData!H19</f>
        <v>0.50479691876750699</v>
      </c>
      <c r="I10">
        <f>GroupData!I19</f>
        <v>1.1808377446215265E-2</v>
      </c>
      <c r="J10">
        <f>GroupData!J19</f>
        <v>0.47058823529411764</v>
      </c>
      <c r="K10">
        <f>GroupData!K19</f>
        <v>0.49520308123249296</v>
      </c>
      <c r="L10">
        <f>GroupData!L19</f>
        <v>1.1808377446215266E-2</v>
      </c>
      <c r="M10">
        <f>GroupData!M19</f>
        <v>0.2</v>
      </c>
      <c r="N10">
        <f>GroupData!N19</f>
        <v>0.17216386554621849</v>
      </c>
      <c r="O10">
        <f>GroupData!O19</f>
        <v>1.2331976231642693E-2</v>
      </c>
      <c r="P10">
        <f>GroupData!P19</f>
        <v>0.33823529411764702</v>
      </c>
      <c r="Q10">
        <f>GroupData!Q19</f>
        <v>0.38816103364422688</v>
      </c>
      <c r="R10">
        <f>GroupData!R19</f>
        <v>2.1476473245875219E-2</v>
      </c>
    </row>
    <row r="11" spans="1:18" x14ac:dyDescent="0.2">
      <c r="A11" t="str">
        <f>GroupData!A2</f>
        <v>+</v>
      </c>
      <c r="B11" t="str">
        <f>GroupData!B2</f>
        <v>0Hz</v>
      </c>
      <c r="C11" t="str">
        <f>GroupData!C2</f>
        <v>NoTreatment</v>
      </c>
      <c r="D11">
        <f>GroupData!D2</f>
        <v>0.875</v>
      </c>
      <c r="E11">
        <f>GroupData!E2</f>
        <v>0.85340136054421767</v>
      </c>
      <c r="F11">
        <f>GroupData!F2</f>
        <v>1.0035969403039715E-2</v>
      </c>
      <c r="G11">
        <f>GroupData!G2</f>
        <v>0.23529411764705882</v>
      </c>
      <c r="H11">
        <f>GroupData!H2</f>
        <v>0.25776310524209683</v>
      </c>
      <c r="I11">
        <f>GroupData!I2</f>
        <v>5.7595849383062277E-3</v>
      </c>
      <c r="J11">
        <f>GroupData!J2</f>
        <v>0.76470588235294112</v>
      </c>
      <c r="K11">
        <f>GroupData!K2</f>
        <v>0.74223689475790322</v>
      </c>
      <c r="L11">
        <f>GroupData!L2</f>
        <v>5.7595849383062269E-3</v>
      </c>
      <c r="M11">
        <f>GroupData!M2</f>
        <v>0.125</v>
      </c>
      <c r="N11">
        <f>GroupData!N2</f>
        <v>0.1465986394557823</v>
      </c>
      <c r="O11">
        <f>GroupData!O2</f>
        <v>1.0035969403039744E-2</v>
      </c>
      <c r="P11">
        <f>GroupData!P2</f>
        <v>0.73109243697478987</v>
      </c>
      <c r="Q11">
        <f>GroupData!Q2</f>
        <v>0.69786519003205683</v>
      </c>
      <c r="R11">
        <f>GroupData!R2</f>
        <v>6.2406601270252682E-3</v>
      </c>
    </row>
    <row r="12" spans="1:18" x14ac:dyDescent="0.2">
      <c r="A12" t="str">
        <f>GroupData!A4</f>
        <v>+</v>
      </c>
      <c r="B12" t="str">
        <f>GroupData!B4</f>
        <v>5Hz</v>
      </c>
      <c r="C12" t="str">
        <f>GroupData!C4</f>
        <v>NoTreatment</v>
      </c>
      <c r="D12">
        <f>GroupData!D4</f>
        <v>0.875</v>
      </c>
      <c r="E12">
        <f>GroupData!E4</f>
        <v>0.87366946778711474</v>
      </c>
      <c r="F12">
        <f>GroupData!F4</f>
        <v>1.9196216732218451E-3</v>
      </c>
      <c r="G12">
        <f>GroupData!G4</f>
        <v>0.33333333333333331</v>
      </c>
      <c r="H12">
        <f>GroupData!H4</f>
        <v>0.34523809523809523</v>
      </c>
      <c r="I12">
        <f>GroupData!I4</f>
        <v>2.0558192863497641E-2</v>
      </c>
      <c r="J12">
        <f>GroupData!J4</f>
        <v>0.66666666666666663</v>
      </c>
      <c r="K12">
        <f>GroupData!K4</f>
        <v>0.65476190476190477</v>
      </c>
      <c r="L12">
        <f>GroupData!L4</f>
        <v>2.0558192863497589E-2</v>
      </c>
      <c r="M12">
        <f>GroupData!M4</f>
        <v>0.125</v>
      </c>
      <c r="N12">
        <f>GroupData!N4</f>
        <v>0.12633053221288515</v>
      </c>
      <c r="O12">
        <f>GroupData!O4</f>
        <v>1.919621673221852E-3</v>
      </c>
      <c r="P12">
        <f>GroupData!P4</f>
        <v>0.61904761904761896</v>
      </c>
      <c r="Q12">
        <f>GroupData!Q4</f>
        <v>0.60467687074829934</v>
      </c>
      <c r="R12">
        <f>GroupData!R4</f>
        <v>2.3968052833813029E-2</v>
      </c>
    </row>
    <row r="13" spans="1:18" x14ac:dyDescent="0.2">
      <c r="A13" t="str">
        <f>GroupData!A8</f>
        <v>+</v>
      </c>
      <c r="B13" t="str">
        <f>GroupData!B8</f>
        <v>5Hz</v>
      </c>
      <c r="C13" t="str">
        <f>GroupData!C8</f>
        <v>Ctrl-IP</v>
      </c>
      <c r="D13">
        <f>GroupData!D8</f>
        <v>0.8571428571428571</v>
      </c>
      <c r="E13">
        <f>GroupData!E8</f>
        <v>0.85280612244897969</v>
      </c>
      <c r="F13">
        <f>GroupData!F8</f>
        <v>1.7032172525374863E-2</v>
      </c>
      <c r="G13">
        <f>GroupData!G8</f>
        <v>0.375</v>
      </c>
      <c r="H13">
        <f>GroupData!H8</f>
        <v>0.33368347338935578</v>
      </c>
      <c r="I13">
        <f>GroupData!I8</f>
        <v>1.0951926157443566E-2</v>
      </c>
      <c r="J13">
        <f>GroupData!J8</f>
        <v>0.625</v>
      </c>
      <c r="K13">
        <f>GroupData!K8</f>
        <v>0.66631652661064422</v>
      </c>
      <c r="L13">
        <f>GroupData!L8</f>
        <v>1.0951926157443571E-2</v>
      </c>
      <c r="M13">
        <f>GroupData!M8</f>
        <v>0.14285714285714285</v>
      </c>
      <c r="N13">
        <f>GroupData!N8</f>
        <v>0.14719387755102042</v>
      </c>
      <c r="O13">
        <f>GroupData!O8</f>
        <v>1.7032172525374853E-2</v>
      </c>
      <c r="P13">
        <f>GroupData!P8</f>
        <v>0.5625</v>
      </c>
      <c r="Q13">
        <f>GroupData!Q8</f>
        <v>0.60741097721139747</v>
      </c>
      <c r="R13">
        <f>GroupData!R8</f>
        <v>1.6060253654955722E-2</v>
      </c>
    </row>
    <row r="14" spans="1:18" x14ac:dyDescent="0.2">
      <c r="A14" t="str">
        <f>GroupData!A10</f>
        <v>+</v>
      </c>
      <c r="B14" t="str">
        <f>GroupData!B10</f>
        <v>5Hz</v>
      </c>
      <c r="C14" t="str">
        <f>GroupData!C10</f>
        <v>Amph 1</v>
      </c>
      <c r="D14">
        <f>GroupData!D10</f>
        <v>0.8125</v>
      </c>
      <c r="E14">
        <f>GroupData!E10</f>
        <v>0.82857142857142851</v>
      </c>
      <c r="F14">
        <f>GroupData!F10</f>
        <v>1.1212888252977503E-2</v>
      </c>
      <c r="G14">
        <f>GroupData!G10</f>
        <v>0.35294117647058826</v>
      </c>
      <c r="H14">
        <f>GroupData!H10</f>
        <v>0.36649159663865544</v>
      </c>
      <c r="I14">
        <f>GroupData!I10</f>
        <v>9.5949510545128413E-3</v>
      </c>
      <c r="J14">
        <f>GroupData!J10</f>
        <v>0.6470588235294118</v>
      </c>
      <c r="K14">
        <f>GroupData!K10</f>
        <v>0.63350840336134451</v>
      </c>
      <c r="L14">
        <f>GroupData!L10</f>
        <v>9.594951054512843E-3</v>
      </c>
      <c r="M14">
        <f>GroupData!M10</f>
        <v>0.1875</v>
      </c>
      <c r="N14">
        <f>GroupData!N10</f>
        <v>0.17142857142857143</v>
      </c>
      <c r="O14">
        <f>GroupData!O10</f>
        <v>1.1212888252977515E-2</v>
      </c>
      <c r="P14">
        <f>GroupData!P10</f>
        <v>0.56561085972850678</v>
      </c>
      <c r="Q14">
        <f>GroupData!Q10</f>
        <v>0.55780802705697663</v>
      </c>
      <c r="R14">
        <f>GroupData!R10</f>
        <v>9.3152770358335708E-3</v>
      </c>
    </row>
    <row r="15" spans="1:18" x14ac:dyDescent="0.2">
      <c r="A15" t="str">
        <f>GroupData!A12</f>
        <v>+</v>
      </c>
      <c r="B15" t="str">
        <f>GroupData!B12</f>
        <v>5Hz</v>
      </c>
      <c r="C15" t="str">
        <f>GroupData!C12</f>
        <v>Amph 2.5</v>
      </c>
      <c r="D15">
        <f>GroupData!D12</f>
        <v>0.8</v>
      </c>
      <c r="E15">
        <f>GroupData!E12</f>
        <v>0.81688175270108032</v>
      </c>
      <c r="F15">
        <f>GroupData!F12</f>
        <v>6.8403579101654613E-3</v>
      </c>
      <c r="G15">
        <f>GroupData!G12</f>
        <v>0.5</v>
      </c>
      <c r="H15">
        <f>GroupData!H12</f>
        <v>0.47738095238095241</v>
      </c>
      <c r="I15">
        <f>GroupData!I12</f>
        <v>1.0441539788671315E-2</v>
      </c>
      <c r="J15">
        <f>GroupData!J12</f>
        <v>0.5</v>
      </c>
      <c r="K15">
        <f>GroupData!K12</f>
        <v>0.52261904761904765</v>
      </c>
      <c r="L15">
        <f>GroupData!L12</f>
        <v>1.0441539788671315E-2</v>
      </c>
      <c r="M15">
        <f>GroupData!M12</f>
        <v>0.2</v>
      </c>
      <c r="N15">
        <f>GroupData!N12</f>
        <v>0.18311824729891954</v>
      </c>
      <c r="O15">
        <f>GroupData!O12</f>
        <v>6.8403579101654743E-3</v>
      </c>
      <c r="P15">
        <f>GroupData!P12</f>
        <v>0.37499999999999994</v>
      </c>
      <c r="Q15">
        <f>GroupData!Q12</f>
        <v>0.41498233908948196</v>
      </c>
      <c r="R15">
        <f>GroupData!R12</f>
        <v>1.5431238813399653E-2</v>
      </c>
    </row>
    <row r="16" spans="1:18" x14ac:dyDescent="0.2">
      <c r="A16" t="str">
        <f>GroupData!A6</f>
        <v>+</v>
      </c>
      <c r="B16" t="str">
        <f>GroupData!B6</f>
        <v>10Hz</v>
      </c>
      <c r="C16" t="str">
        <f>GroupData!C6</f>
        <v>NoTreatment</v>
      </c>
      <c r="D16">
        <f>GroupData!D6</f>
        <v>0.875</v>
      </c>
      <c r="E16">
        <f>GroupData!E6</f>
        <v>0.83676470588235285</v>
      </c>
      <c r="F16">
        <f>GroupData!F6</f>
        <v>1.3464239658961622E-2</v>
      </c>
      <c r="G16">
        <f>GroupData!G6</f>
        <v>0.6</v>
      </c>
      <c r="H16">
        <f>GroupData!H6</f>
        <v>0.57689075630252107</v>
      </c>
      <c r="I16">
        <f>GroupData!I6</f>
        <v>6.4288068125350562E-3</v>
      </c>
      <c r="J16">
        <f>GroupData!J6</f>
        <v>0.4</v>
      </c>
      <c r="K16">
        <f>GroupData!K6</f>
        <v>0.42310924369747893</v>
      </c>
      <c r="L16">
        <f>GroupData!L6</f>
        <v>6.4288068125350562E-3</v>
      </c>
      <c r="M16">
        <f>GroupData!M6</f>
        <v>0.125</v>
      </c>
      <c r="N16">
        <f>GroupData!N6</f>
        <v>0.16323529411764706</v>
      </c>
      <c r="O16">
        <f>GroupData!O6</f>
        <v>1.3464239658961636E-2</v>
      </c>
      <c r="P16">
        <f>GroupData!P6</f>
        <v>0.31428571428571433</v>
      </c>
      <c r="Q16">
        <f>GroupData!Q6</f>
        <v>0.30984128266691291</v>
      </c>
      <c r="R16">
        <f>GroupData!R6</f>
        <v>8.858601539260106E-3</v>
      </c>
    </row>
    <row r="17" spans="1:18" x14ac:dyDescent="0.2">
      <c r="A17" t="str">
        <f>GroupData!A14</f>
        <v>+</v>
      </c>
      <c r="B17" t="str">
        <f>GroupData!B14</f>
        <v>10Hz</v>
      </c>
      <c r="C17" t="str">
        <f>GroupData!C14</f>
        <v>Ctrl-IP</v>
      </c>
      <c r="D17">
        <f>GroupData!D14</f>
        <v>0.8571428571428571</v>
      </c>
      <c r="E17">
        <f>GroupData!E14</f>
        <v>0.85340136054421767</v>
      </c>
      <c r="F17">
        <f>GroupData!F14</f>
        <v>1.0035969403039715E-2</v>
      </c>
      <c r="G17">
        <f>GroupData!G14</f>
        <v>0.625</v>
      </c>
      <c r="H17">
        <f>GroupData!H14</f>
        <v>0.60308123249299717</v>
      </c>
      <c r="I17">
        <f>GroupData!I14</f>
        <v>1.1966274711609378E-2</v>
      </c>
      <c r="J17">
        <f>GroupData!J14</f>
        <v>0.375</v>
      </c>
      <c r="K17">
        <f>GroupData!K14</f>
        <v>0.39691876750700278</v>
      </c>
      <c r="L17">
        <f>GroupData!L14</f>
        <v>1.1966274711609378E-2</v>
      </c>
      <c r="M17">
        <f>GroupData!M14</f>
        <v>0.14285714285714285</v>
      </c>
      <c r="N17">
        <f>GroupData!N14</f>
        <v>0.1465986394557823</v>
      </c>
      <c r="O17">
        <f>GroupData!O14</f>
        <v>1.0035969403039744E-2</v>
      </c>
      <c r="P17">
        <f>GroupData!P14</f>
        <v>0.27083333333333331</v>
      </c>
      <c r="Q17">
        <f>GroupData!Q14</f>
        <v>0.29195870655954692</v>
      </c>
      <c r="R17">
        <f>GroupData!R14</f>
        <v>1.9995090127037783E-2</v>
      </c>
    </row>
    <row r="18" spans="1:18" x14ac:dyDescent="0.2">
      <c r="A18" t="str">
        <f>GroupData!A16</f>
        <v>+</v>
      </c>
      <c r="B18" t="str">
        <f>GroupData!B16</f>
        <v>10Hz</v>
      </c>
      <c r="C18" t="str">
        <f>GroupData!C16</f>
        <v>Amph 1</v>
      </c>
      <c r="D18">
        <f>GroupData!D16</f>
        <v>0.875</v>
      </c>
      <c r="E18">
        <f>GroupData!E16</f>
        <v>0.87380952380952392</v>
      </c>
      <c r="F18">
        <f>GroupData!F16</f>
        <v>1.1021667854435096E-3</v>
      </c>
      <c r="G18">
        <f>GroupData!G16</f>
        <v>0.58823529411764708</v>
      </c>
      <c r="H18">
        <f>GroupData!H16</f>
        <v>0.60784313725490191</v>
      </c>
      <c r="I18">
        <f>GroupData!I16</f>
        <v>1.3431420013176909E-2</v>
      </c>
      <c r="J18">
        <f>GroupData!J16</f>
        <v>0.41176470588235292</v>
      </c>
      <c r="K18">
        <f>GroupData!K16</f>
        <v>0.39215686274509803</v>
      </c>
      <c r="L18">
        <f>GroupData!L16</f>
        <v>1.3431420013176914E-2</v>
      </c>
      <c r="M18">
        <f>GroupData!M16</f>
        <v>0.125</v>
      </c>
      <c r="N18">
        <f>GroupData!N16</f>
        <v>0.12619047619047619</v>
      </c>
      <c r="O18">
        <f>GroupData!O16</f>
        <v>1.1021667854435133E-3</v>
      </c>
      <c r="P18">
        <f>GroupData!P16</f>
        <v>0.32773109243697479</v>
      </c>
      <c r="Q18">
        <f>GroupData!Q16</f>
        <v>0.30443908332563796</v>
      </c>
      <c r="R18">
        <f>GroupData!R16</f>
        <v>1.4940633699373965E-2</v>
      </c>
    </row>
    <row r="19" spans="1:18" x14ac:dyDescent="0.2">
      <c r="A19" t="str">
        <f>GroupData!A18</f>
        <v>+</v>
      </c>
      <c r="B19" t="str">
        <f>GroupData!B18</f>
        <v>10Hz</v>
      </c>
      <c r="C19" t="str">
        <f>GroupData!C18</f>
        <v>Amph 2.5</v>
      </c>
      <c r="D19">
        <f>GroupData!D18</f>
        <v>0.8</v>
      </c>
      <c r="E19">
        <f>GroupData!E18</f>
        <v>0.8526660664265705</v>
      </c>
      <c r="F19">
        <f>GroupData!F18</f>
        <v>1.1501557673897021E-2</v>
      </c>
      <c r="G19">
        <f>GroupData!G18</f>
        <v>0.625</v>
      </c>
      <c r="H19">
        <f>GroupData!H18</f>
        <v>0.59464285714285714</v>
      </c>
      <c r="I19">
        <f>GroupData!I18</f>
        <v>1.0966421051124834E-2</v>
      </c>
      <c r="J19">
        <f>GroupData!J18</f>
        <v>0.375</v>
      </c>
      <c r="K19">
        <f>GroupData!K18</f>
        <v>0.40535714285714286</v>
      </c>
      <c r="L19">
        <f>GroupData!L18</f>
        <v>1.0966421051124834E-2</v>
      </c>
      <c r="M19">
        <f>GroupData!M18</f>
        <v>0.2</v>
      </c>
      <c r="N19">
        <f>GroupData!N18</f>
        <v>0.14733393357342936</v>
      </c>
      <c r="O19">
        <f>GroupData!O18</f>
        <v>1.1501557673897095E-2</v>
      </c>
      <c r="P19">
        <f>GroupData!P18</f>
        <v>0.21874999999999997</v>
      </c>
      <c r="Q19">
        <f>GroupData!Q18</f>
        <v>0.30090266875981164</v>
      </c>
      <c r="R19">
        <f>GroupData!R18</f>
        <v>2.0572237129342801E-2</v>
      </c>
    </row>
    <row r="100" spans="36:36" x14ac:dyDescent="0.2">
      <c r="AJ100" t="s">
        <v>32</v>
      </c>
    </row>
    <row r="101" spans="36:36" x14ac:dyDescent="0.2">
      <c r="AJ101" t="s">
        <v>33</v>
      </c>
    </row>
  </sheetData>
  <sortState xmlns:xlrd2="http://schemas.microsoft.com/office/spreadsheetml/2017/richdata2" ref="A1:AD65">
    <sortCondition ref="A1:A65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FAB-449F-40F4-8E36-932521261983}">
  <dimension ref="A1:R19"/>
  <sheetViews>
    <sheetView topLeftCell="I27" workbookViewId="0">
      <selection sqref="A1:XFD1"/>
    </sheetView>
  </sheetViews>
  <sheetFormatPr baseColWidth="10" defaultColWidth="8.83203125" defaultRowHeight="15" x14ac:dyDescent="0.2"/>
  <sheetData>
    <row r="1" spans="1:18" s="2" customFormat="1" x14ac:dyDescent="0.2">
      <c r="A1" s="2" t="str">
        <f>GroupData!A1</f>
        <v>Genotype</v>
      </c>
      <c r="B1" s="2" t="str">
        <f>GroupData!B1</f>
        <v>LaserFreq</v>
      </c>
      <c r="C1" s="2" t="str">
        <f>GroupData!C1</f>
        <v>DrugGroup</v>
      </c>
      <c r="D1" s="2" t="str">
        <f>GroupData!D1</f>
        <v>Hits</v>
      </c>
      <c r="E1" s="2" t="str">
        <f>GroupData!E1</f>
        <v>Group Avg</v>
      </c>
      <c r="F1" s="2" t="str">
        <f>GroupData!F1</f>
        <v>STDERR</v>
      </c>
      <c r="G1" s="2" t="str">
        <f>GroupData!G1</f>
        <v>FalseAlarms</v>
      </c>
      <c r="H1" s="2" t="str">
        <f>GroupData!H1</f>
        <v>Group Avg</v>
      </c>
      <c r="I1" s="2" t="str">
        <f>GroupData!I1</f>
        <v>STDERR</v>
      </c>
      <c r="J1" s="2" t="str">
        <f>GroupData!J1</f>
        <v>PNoGo</v>
      </c>
      <c r="K1" s="2" t="str">
        <f>GroupData!K1</f>
        <v>Group Avg</v>
      </c>
      <c r="L1" s="2" t="str">
        <f>GroupData!L1</f>
        <v>STDERR</v>
      </c>
      <c r="M1" s="2" t="str">
        <f>GroupData!M1</f>
        <v>Pomission</v>
      </c>
      <c r="N1" s="2" t="str">
        <f>GroupData!N1</f>
        <v>Group Avg</v>
      </c>
      <c r="O1" s="2" t="str">
        <f>GroupData!O1</f>
        <v>STDERR</v>
      </c>
      <c r="P1" s="2" t="str">
        <f>GroupData!P1</f>
        <v>Pinhibition</v>
      </c>
      <c r="Q1" s="2" t="str">
        <f>GroupData!Q1</f>
        <v>Group Avg</v>
      </c>
      <c r="R1" s="2" t="str">
        <f>GroupData!R1</f>
        <v>STDERR</v>
      </c>
    </row>
    <row r="2" spans="1:18" x14ac:dyDescent="0.2">
      <c r="A2" t="str">
        <f>GroupData!A3</f>
        <v>-</v>
      </c>
      <c r="B2" t="str">
        <f>GroupData!B3</f>
        <v>0Hz</v>
      </c>
      <c r="C2" t="str">
        <f>GroupData!C3</f>
        <v>NoTreatment</v>
      </c>
      <c r="D2">
        <f>GroupData!D3</f>
        <v>0.8666666666666667</v>
      </c>
      <c r="E2">
        <f>GroupData!E3</f>
        <v>0.84523809523809523</v>
      </c>
      <c r="F2">
        <f>GroupData!F3</f>
        <v>2.7256817099457195E-2</v>
      </c>
      <c r="G2">
        <f>GroupData!G3</f>
        <v>0.25</v>
      </c>
      <c r="H2">
        <f>GroupData!H3</f>
        <v>0.21065426170468185</v>
      </c>
      <c r="I2">
        <f>GroupData!I3</f>
        <v>8.4124098392045835E-3</v>
      </c>
      <c r="J2">
        <f>GroupData!J3</f>
        <v>0.75</v>
      </c>
      <c r="K2">
        <f>GroupData!K3</f>
        <v>0.78934573829531807</v>
      </c>
      <c r="L2">
        <f>GroupData!L3</f>
        <v>8.4124098392045609E-3</v>
      </c>
      <c r="M2">
        <f>GroupData!M3</f>
        <v>0.13333333333333333</v>
      </c>
      <c r="N2">
        <f>GroupData!N3</f>
        <v>0.15476190476190474</v>
      </c>
      <c r="O2">
        <f>GroupData!O3</f>
        <v>2.7256817099457202E-2</v>
      </c>
      <c r="P2">
        <f>GroupData!P3</f>
        <v>0.71153846153846156</v>
      </c>
      <c r="Q2">
        <f>GroupData!Q3</f>
        <v>0.74835044157523156</v>
      </c>
      <c r="R2">
        <f>GroupData!R3</f>
        <v>1.4205953685936018E-2</v>
      </c>
    </row>
    <row r="3" spans="1:18" x14ac:dyDescent="0.2">
      <c r="A3" t="str">
        <f>GroupData!A5</f>
        <v>-</v>
      </c>
      <c r="B3" t="str">
        <f>GroupData!B5</f>
        <v>5Hz</v>
      </c>
      <c r="C3" t="str">
        <f>GroupData!C5</f>
        <v>NoTreatment</v>
      </c>
      <c r="D3">
        <f>GroupData!D5</f>
        <v>0.88235294117647056</v>
      </c>
      <c r="E3">
        <f>GroupData!E5</f>
        <v>0.85453681472589038</v>
      </c>
      <c r="F3">
        <f>GroupData!F5</f>
        <v>2.0032070680194674E-2</v>
      </c>
      <c r="G3">
        <f>GroupData!G5</f>
        <v>0.25</v>
      </c>
      <c r="H3">
        <f>GroupData!H5</f>
        <v>0.23333333333333334</v>
      </c>
      <c r="I3">
        <f>GroupData!I5</f>
        <v>1.9938255029100259E-2</v>
      </c>
      <c r="J3">
        <f>GroupData!J5</f>
        <v>0.75</v>
      </c>
      <c r="K3">
        <f>GroupData!K5</f>
        <v>0.76666666666666672</v>
      </c>
      <c r="L3">
        <f>GroupData!L5</f>
        <v>1.9938255029100269E-2</v>
      </c>
      <c r="M3">
        <f>GroupData!M5</f>
        <v>0.11764705882352941</v>
      </c>
      <c r="N3">
        <f>GroupData!N5</f>
        <v>0.14546318527410965</v>
      </c>
      <c r="O3">
        <f>GroupData!O5</f>
        <v>2.0032070680194681E-2</v>
      </c>
      <c r="P3">
        <f>GroupData!P5</f>
        <v>0.71666666666666667</v>
      </c>
      <c r="Q3">
        <f>GroupData!Q5</f>
        <v>0.72626896912611194</v>
      </c>
      <c r="R3">
        <f>GroupData!R5</f>
        <v>2.3498810933594579E-2</v>
      </c>
    </row>
    <row r="4" spans="1:18" x14ac:dyDescent="0.2">
      <c r="A4" t="str">
        <f>GroupData!A9</f>
        <v>-</v>
      </c>
      <c r="B4" t="str">
        <f>GroupData!B9</f>
        <v>5Hz</v>
      </c>
      <c r="C4" t="str">
        <f>GroupData!C9</f>
        <v>Ctrl-IP</v>
      </c>
      <c r="D4">
        <f>GroupData!D9</f>
        <v>0.875</v>
      </c>
      <c r="E4">
        <f>GroupData!E9</f>
        <v>0.88191776710684289</v>
      </c>
      <c r="F4">
        <f>GroupData!F9</f>
        <v>1.4262443484399593E-2</v>
      </c>
      <c r="G4">
        <f>GroupData!G9</f>
        <v>0.25</v>
      </c>
      <c r="H4">
        <f>GroupData!H9</f>
        <v>0.24523809523809523</v>
      </c>
      <c r="I4">
        <f>GroupData!I9</f>
        <v>1.4590706868391938E-2</v>
      </c>
      <c r="J4">
        <f>GroupData!J9</f>
        <v>0.75</v>
      </c>
      <c r="K4">
        <f>GroupData!K9</f>
        <v>0.75476190476190474</v>
      </c>
      <c r="L4">
        <f>GroupData!L9</f>
        <v>1.4590706868391923E-2</v>
      </c>
      <c r="M4">
        <f>GroupData!M9</f>
        <v>0.125</v>
      </c>
      <c r="N4">
        <f>GroupData!N9</f>
        <v>0.11808223289315725</v>
      </c>
      <c r="O4">
        <f>GroupData!O9</f>
        <v>1.4262443484399617E-2</v>
      </c>
      <c r="P4">
        <f>GroupData!P9</f>
        <v>0.7142857142857143</v>
      </c>
      <c r="Q4">
        <f>GroupData!Q9</f>
        <v>0.72232775161346585</v>
      </c>
      <c r="R4">
        <f>GroupData!R9</f>
        <v>1.4660397537687808E-2</v>
      </c>
    </row>
    <row r="5" spans="1:18" x14ac:dyDescent="0.2">
      <c r="A5" t="str">
        <f>GroupData!A21</f>
        <v>-</v>
      </c>
      <c r="B5" t="str">
        <f>GroupData!B21</f>
        <v>5Hz</v>
      </c>
      <c r="C5" t="str">
        <f>GroupData!C21</f>
        <v>Atom 1</v>
      </c>
      <c r="D5">
        <f>GroupData!D21</f>
        <v>0.8666666666666667</v>
      </c>
      <c r="E5">
        <f>GroupData!E21</f>
        <v>0.89977490996398568</v>
      </c>
      <c r="F5">
        <f>GroupData!F21</f>
        <v>1.107107168022506E-2</v>
      </c>
      <c r="G5">
        <f>GroupData!G21</f>
        <v>0.25</v>
      </c>
      <c r="H5">
        <f>GroupData!H21</f>
        <v>0.19842436974789915</v>
      </c>
      <c r="I5">
        <f>GroupData!I21</f>
        <v>8.4575831728447605E-3</v>
      </c>
      <c r="J5">
        <f>GroupData!J21</f>
        <v>0.75</v>
      </c>
      <c r="K5">
        <f>GroupData!K21</f>
        <v>0.80157563025210077</v>
      </c>
      <c r="L5">
        <f>GroupData!L21</f>
        <v>8.4575831728447293E-3</v>
      </c>
      <c r="M5">
        <f>GroupData!M21</f>
        <v>0.13333333333333333</v>
      </c>
      <c r="N5">
        <f>GroupData!N21</f>
        <v>0.1002250900360144</v>
      </c>
      <c r="O5">
        <f>GroupData!O21</f>
        <v>1.1071071680225067E-2</v>
      </c>
      <c r="P5">
        <f>GroupData!P21</f>
        <v>0.71153846153846156</v>
      </c>
      <c r="Q5">
        <f>GroupData!Q21</f>
        <v>0.77870821405485269</v>
      </c>
      <c r="R5">
        <f>GroupData!R21</f>
        <v>1.1553654842738008E-2</v>
      </c>
    </row>
    <row r="6" spans="1:18" x14ac:dyDescent="0.2">
      <c r="A6" t="str">
        <f>GroupData!A23</f>
        <v>-</v>
      </c>
      <c r="B6" t="str">
        <f>GroupData!B23</f>
        <v>5Hz</v>
      </c>
      <c r="C6" t="str">
        <f>GroupData!C23</f>
        <v>Atom 5</v>
      </c>
      <c r="D6">
        <f>GroupData!D23</f>
        <v>0.88235294117647056</v>
      </c>
      <c r="E6">
        <f>GroupData!E23</f>
        <v>0.88778511404561833</v>
      </c>
      <c r="F6">
        <f>GroupData!F23</f>
        <v>1.7532513609665457E-2</v>
      </c>
      <c r="G6">
        <f>GroupData!G23</f>
        <v>0.125</v>
      </c>
      <c r="H6">
        <f>GroupData!H23</f>
        <v>0.13406862745098039</v>
      </c>
      <c r="I6">
        <f>GroupData!I23</f>
        <v>8.3959175714667586E-3</v>
      </c>
      <c r="J6">
        <f>GroupData!J23</f>
        <v>0.875</v>
      </c>
      <c r="K6">
        <f>GroupData!K23</f>
        <v>0.86593137254901964</v>
      </c>
      <c r="L6">
        <f>GroupData!L23</f>
        <v>8.3959175714667655E-3</v>
      </c>
      <c r="M6">
        <f>GroupData!M23</f>
        <v>0.11764705882352941</v>
      </c>
      <c r="N6">
        <f>GroupData!N23</f>
        <v>0.11221488595438175</v>
      </c>
      <c r="O6">
        <f>GroupData!O23</f>
        <v>1.7532513609665467E-2</v>
      </c>
      <c r="P6">
        <f>GroupData!P23</f>
        <v>0.85833333333333328</v>
      </c>
      <c r="Q6">
        <f>GroupData!Q23</f>
        <v>0.84846913124224044</v>
      </c>
      <c r="R6">
        <f>GroupData!R23</f>
        <v>1.0213320701104285E-2</v>
      </c>
    </row>
    <row r="7" spans="1:18" x14ac:dyDescent="0.2">
      <c r="A7" t="str">
        <f>GroupData!A7</f>
        <v>-</v>
      </c>
      <c r="B7" t="str">
        <f>GroupData!B7</f>
        <v>10Hz</v>
      </c>
      <c r="C7" t="str">
        <f>GroupData!C7</f>
        <v>NoTreatment</v>
      </c>
      <c r="D7">
        <f>GroupData!D7</f>
        <v>0.8125</v>
      </c>
      <c r="E7">
        <f>GroupData!E7</f>
        <v>0.83571428571428563</v>
      </c>
      <c r="F7">
        <f>GroupData!F7</f>
        <v>1.8110448315611066E-2</v>
      </c>
      <c r="G7">
        <f>GroupData!G7</f>
        <v>0.26666666666666666</v>
      </c>
      <c r="H7">
        <f>GroupData!H7</f>
        <v>0.25476190476190474</v>
      </c>
      <c r="I7">
        <f>GroupData!I7</f>
        <v>2.8457824031771269E-3</v>
      </c>
      <c r="J7">
        <f>GroupData!J7</f>
        <v>0.73333333333333328</v>
      </c>
      <c r="K7">
        <f>GroupData!K7</f>
        <v>0.74523809523809526</v>
      </c>
      <c r="L7">
        <f>GroupData!L7</f>
        <v>2.8457824031771365E-3</v>
      </c>
      <c r="M7">
        <f>GroupData!M7</f>
        <v>0.1875</v>
      </c>
      <c r="N7">
        <f>GroupData!N7</f>
        <v>0.16428571428571428</v>
      </c>
      <c r="O7">
        <f>GroupData!O7</f>
        <v>1.8110448315611091E-2</v>
      </c>
      <c r="P7">
        <f>GroupData!P7</f>
        <v>0.67179487179487174</v>
      </c>
      <c r="Q7">
        <f>GroupData!Q7</f>
        <v>0.69407378335949765</v>
      </c>
      <c r="R7">
        <f>GroupData!R7</f>
        <v>7.8663355961370359E-3</v>
      </c>
    </row>
    <row r="8" spans="1:18" x14ac:dyDescent="0.2">
      <c r="A8" t="str">
        <f>GroupData!A15</f>
        <v>-</v>
      </c>
      <c r="B8" t="str">
        <f>GroupData!B15</f>
        <v>10Hz</v>
      </c>
      <c r="C8" t="str">
        <f>GroupData!C15</f>
        <v>Ctrl-IP</v>
      </c>
      <c r="D8">
        <f>GroupData!D15</f>
        <v>0.75</v>
      </c>
      <c r="E8">
        <f>GroupData!E15</f>
        <v>0.82700080032012802</v>
      </c>
      <c r="F8">
        <f>GroupData!F15</f>
        <v>1.984938933555503E-2</v>
      </c>
      <c r="G8">
        <f>GroupData!G15</f>
        <v>0.25</v>
      </c>
      <c r="H8">
        <f>GroupData!H15</f>
        <v>0.22738095238095238</v>
      </c>
      <c r="I8">
        <f>GroupData!I15</f>
        <v>1.1959906295644003E-2</v>
      </c>
      <c r="J8">
        <f>GroupData!J15</f>
        <v>0.75</v>
      </c>
      <c r="K8">
        <f>GroupData!K15</f>
        <v>0.77261904761904765</v>
      </c>
      <c r="L8">
        <f>GroupData!L15</f>
        <v>1.1959906295643927E-2</v>
      </c>
      <c r="M8">
        <f>GroupData!M15</f>
        <v>0.25</v>
      </c>
      <c r="N8">
        <f>GroupData!N15</f>
        <v>0.17299919967987193</v>
      </c>
      <c r="O8">
        <f>GroupData!O15</f>
        <v>1.9849389335555058E-2</v>
      </c>
      <c r="P8">
        <f>GroupData!P15</f>
        <v>0.66666666666666663</v>
      </c>
      <c r="Q8">
        <f>GroupData!Q15</f>
        <v>0.72479886185243314</v>
      </c>
      <c r="R8">
        <f>GroupData!R15</f>
        <v>1.3926754531566048E-2</v>
      </c>
    </row>
    <row r="9" spans="1:18" x14ac:dyDescent="0.2">
      <c r="A9" t="str">
        <f>GroupData!A25</f>
        <v>-</v>
      </c>
      <c r="B9" t="str">
        <f>GroupData!B25</f>
        <v>10Hz</v>
      </c>
      <c r="C9" t="str">
        <f>GroupData!C25</f>
        <v>Atom 1</v>
      </c>
      <c r="D9">
        <f>GroupData!D25</f>
        <v>0.8666666666666667</v>
      </c>
      <c r="E9">
        <f>GroupData!E25</f>
        <v>0.87164365746298511</v>
      </c>
      <c r="F9">
        <f>GroupData!F25</f>
        <v>1.1896134380387875E-2</v>
      </c>
      <c r="G9">
        <f>GroupData!G25</f>
        <v>0.1875</v>
      </c>
      <c r="H9">
        <f>GroupData!H25</f>
        <v>0.23480392156862745</v>
      </c>
      <c r="I9">
        <f>GroupData!I25</f>
        <v>1.1924826558005558E-2</v>
      </c>
      <c r="J9">
        <f>GroupData!J25</f>
        <v>0.8125</v>
      </c>
      <c r="K9">
        <f>GroupData!K25</f>
        <v>0.76519607843137261</v>
      </c>
      <c r="L9">
        <f>GroupData!L25</f>
        <v>1.1924826558005478E-2</v>
      </c>
      <c r="M9">
        <f>GroupData!M25</f>
        <v>0.13333333333333333</v>
      </c>
      <c r="N9">
        <f>GroupData!N25</f>
        <v>0.12835634253701481</v>
      </c>
      <c r="O9">
        <f>GroupData!O25</f>
        <v>1.1896134380387885E-2</v>
      </c>
      <c r="P9">
        <f>GroupData!P25</f>
        <v>0.78365384615384615</v>
      </c>
      <c r="Q9">
        <f>GroupData!Q25</f>
        <v>0.7311547567745047</v>
      </c>
      <c r="R9">
        <f>GroupData!R25</f>
        <v>1.1680824848776311E-2</v>
      </c>
    </row>
    <row r="10" spans="1:18" x14ac:dyDescent="0.2">
      <c r="A10" t="str">
        <f>GroupData!A27</f>
        <v>-</v>
      </c>
      <c r="B10" t="str">
        <f>GroupData!B27</f>
        <v>10Hz</v>
      </c>
      <c r="C10" t="str">
        <f>GroupData!C27</f>
        <v>Atom 5</v>
      </c>
      <c r="D10">
        <f>GroupData!D27</f>
        <v>0.88235294117647056</v>
      </c>
      <c r="E10">
        <f>GroupData!E27</f>
        <v>0.90623749499799922</v>
      </c>
      <c r="F10">
        <f>GroupData!F27</f>
        <v>1.7670567920846578E-2</v>
      </c>
      <c r="G10">
        <f>GroupData!G27</f>
        <v>0.1875</v>
      </c>
      <c r="H10">
        <f>GroupData!H27</f>
        <v>0.16144957983193278</v>
      </c>
      <c r="I10">
        <f>GroupData!I27</f>
        <v>1.2855406751416257E-2</v>
      </c>
      <c r="J10">
        <f>GroupData!J27</f>
        <v>0.8125</v>
      </c>
      <c r="K10">
        <f>GroupData!K27</f>
        <v>0.83855042016806725</v>
      </c>
      <c r="L10">
        <f>GroupData!L27</f>
        <v>1.2855406751416233E-2</v>
      </c>
      <c r="M10">
        <f>GroupData!M27</f>
        <v>0.11764705882352941</v>
      </c>
      <c r="N10">
        <f>GroupData!N27</f>
        <v>9.3762505002000784E-2</v>
      </c>
      <c r="O10">
        <f>GroupData!O27</f>
        <v>1.7670567920846605E-2</v>
      </c>
      <c r="P10">
        <f>GroupData!P27</f>
        <v>0.78749999999999998</v>
      </c>
      <c r="Q10">
        <f>GroupData!Q27</f>
        <v>0.82040691276510613</v>
      </c>
      <c r="R10">
        <f>GroupData!R27</f>
        <v>1.6192976759246573E-2</v>
      </c>
    </row>
    <row r="11" spans="1:18" x14ac:dyDescent="0.2">
      <c r="A11" t="str">
        <f>GroupData!A2</f>
        <v>+</v>
      </c>
      <c r="B11" t="str">
        <f>GroupData!B2</f>
        <v>0Hz</v>
      </c>
      <c r="C11" t="str">
        <f>GroupData!C2</f>
        <v>NoTreatment</v>
      </c>
      <c r="D11">
        <f>GroupData!D2</f>
        <v>0.875</v>
      </c>
      <c r="E11">
        <f>GroupData!E2</f>
        <v>0.85340136054421767</v>
      </c>
      <c r="F11">
        <f>GroupData!F2</f>
        <v>1.0035969403039715E-2</v>
      </c>
      <c r="G11">
        <f>GroupData!G2</f>
        <v>0.23529411764705882</v>
      </c>
      <c r="H11">
        <f>GroupData!H2</f>
        <v>0.25776310524209683</v>
      </c>
      <c r="I11">
        <f>GroupData!I2</f>
        <v>5.7595849383062277E-3</v>
      </c>
      <c r="J11">
        <f>GroupData!J2</f>
        <v>0.76470588235294112</v>
      </c>
      <c r="K11">
        <f>GroupData!K2</f>
        <v>0.74223689475790322</v>
      </c>
      <c r="L11">
        <f>GroupData!L2</f>
        <v>5.7595849383062269E-3</v>
      </c>
      <c r="M11">
        <f>GroupData!M2</f>
        <v>0.125</v>
      </c>
      <c r="N11">
        <f>GroupData!N2</f>
        <v>0.1465986394557823</v>
      </c>
      <c r="O11">
        <f>GroupData!O2</f>
        <v>1.0035969403039744E-2</v>
      </c>
      <c r="P11">
        <f>GroupData!P2</f>
        <v>0.73109243697478987</v>
      </c>
      <c r="Q11">
        <f>GroupData!Q2</f>
        <v>0.69786519003205683</v>
      </c>
      <c r="R11">
        <f>GroupData!R2</f>
        <v>6.2406601270252682E-3</v>
      </c>
    </row>
    <row r="12" spans="1:18" x14ac:dyDescent="0.2">
      <c r="A12" t="str">
        <f>GroupData!A4</f>
        <v>+</v>
      </c>
      <c r="B12" t="str">
        <f>GroupData!B4</f>
        <v>5Hz</v>
      </c>
      <c r="C12" t="str">
        <f>GroupData!C4</f>
        <v>NoTreatment</v>
      </c>
      <c r="D12">
        <f>GroupData!D4</f>
        <v>0.875</v>
      </c>
      <c r="E12">
        <f>GroupData!E4</f>
        <v>0.87366946778711474</v>
      </c>
      <c r="F12">
        <f>GroupData!F4</f>
        <v>1.9196216732218451E-3</v>
      </c>
      <c r="G12">
        <f>GroupData!G4</f>
        <v>0.33333333333333331</v>
      </c>
      <c r="H12">
        <f>GroupData!H4</f>
        <v>0.34523809523809523</v>
      </c>
      <c r="I12">
        <f>GroupData!I4</f>
        <v>2.0558192863497641E-2</v>
      </c>
      <c r="J12">
        <f>GroupData!J4</f>
        <v>0.66666666666666663</v>
      </c>
      <c r="K12">
        <f>GroupData!K4</f>
        <v>0.65476190476190477</v>
      </c>
      <c r="L12">
        <f>GroupData!L4</f>
        <v>2.0558192863497589E-2</v>
      </c>
      <c r="M12">
        <f>GroupData!M4</f>
        <v>0.125</v>
      </c>
      <c r="N12">
        <f>GroupData!N4</f>
        <v>0.12633053221288515</v>
      </c>
      <c r="O12">
        <f>GroupData!O4</f>
        <v>1.919621673221852E-3</v>
      </c>
      <c r="P12">
        <f>GroupData!P4</f>
        <v>0.61904761904761896</v>
      </c>
      <c r="Q12">
        <f>GroupData!Q4</f>
        <v>0.60467687074829934</v>
      </c>
      <c r="R12">
        <f>GroupData!R4</f>
        <v>2.3968052833813029E-2</v>
      </c>
    </row>
    <row r="13" spans="1:18" x14ac:dyDescent="0.2">
      <c r="A13" t="str">
        <f>GroupData!A8</f>
        <v>+</v>
      </c>
      <c r="B13" t="str">
        <f>GroupData!B8</f>
        <v>5Hz</v>
      </c>
      <c r="C13" t="str">
        <f>GroupData!C8</f>
        <v>Ctrl-IP</v>
      </c>
      <c r="D13">
        <f>GroupData!D8</f>
        <v>0.8571428571428571</v>
      </c>
      <c r="E13">
        <f>GroupData!E8</f>
        <v>0.85280612244897969</v>
      </c>
      <c r="F13">
        <f>GroupData!F8</f>
        <v>1.7032172525374863E-2</v>
      </c>
      <c r="G13">
        <f>GroupData!G8</f>
        <v>0.375</v>
      </c>
      <c r="H13">
        <f>GroupData!H8</f>
        <v>0.33368347338935578</v>
      </c>
      <c r="I13">
        <f>GroupData!I8</f>
        <v>1.0951926157443566E-2</v>
      </c>
      <c r="J13">
        <f>GroupData!J8</f>
        <v>0.625</v>
      </c>
      <c r="K13">
        <f>GroupData!K8</f>
        <v>0.66631652661064422</v>
      </c>
      <c r="L13">
        <f>GroupData!L8</f>
        <v>1.0951926157443571E-2</v>
      </c>
      <c r="M13">
        <f>GroupData!M8</f>
        <v>0.14285714285714285</v>
      </c>
      <c r="N13">
        <f>GroupData!N8</f>
        <v>0.14719387755102042</v>
      </c>
      <c r="O13">
        <f>GroupData!O8</f>
        <v>1.7032172525374853E-2</v>
      </c>
      <c r="P13">
        <f>GroupData!P8</f>
        <v>0.5625</v>
      </c>
      <c r="Q13">
        <f>GroupData!Q8</f>
        <v>0.60741097721139747</v>
      </c>
      <c r="R13">
        <f>GroupData!R8</f>
        <v>1.6060253654955722E-2</v>
      </c>
    </row>
    <row r="14" spans="1:18" x14ac:dyDescent="0.2">
      <c r="A14" t="str">
        <f>GroupData!A20</f>
        <v>+</v>
      </c>
      <c r="B14" t="str">
        <f>GroupData!B20</f>
        <v>5Hz</v>
      </c>
      <c r="C14" t="str">
        <f>GroupData!C20</f>
        <v>Atom 1</v>
      </c>
      <c r="D14">
        <f>GroupData!D20</f>
        <v>0.8666666666666667</v>
      </c>
      <c r="E14">
        <f>GroupData!E20</f>
        <v>0.83788515406162467</v>
      </c>
      <c r="F14">
        <f>GroupData!F20</f>
        <v>1.152953914731703E-2</v>
      </c>
      <c r="G14">
        <f>GroupData!G20</f>
        <v>0.25</v>
      </c>
      <c r="H14">
        <f>GroupData!H20</f>
        <v>0.27654061624649862</v>
      </c>
      <c r="I14">
        <f>GroupData!I20</f>
        <v>2.0568856180721677E-2</v>
      </c>
      <c r="J14">
        <f>GroupData!J20</f>
        <v>0.75</v>
      </c>
      <c r="K14">
        <f>GroupData!K20</f>
        <v>0.72345938375350138</v>
      </c>
      <c r="L14">
        <f>GroupData!L20</f>
        <v>2.0568856180721653E-2</v>
      </c>
      <c r="M14">
        <f>GroupData!M20</f>
        <v>0.13333333333333333</v>
      </c>
      <c r="N14">
        <f>GroupData!N20</f>
        <v>0.16211484593837536</v>
      </c>
      <c r="O14">
        <f>GroupData!O20</f>
        <v>1.1529539147317074E-2</v>
      </c>
      <c r="P14">
        <f>GroupData!P20</f>
        <v>0.71153846153846156</v>
      </c>
      <c r="Q14">
        <f>GroupData!Q20</f>
        <v>0.67020423554037012</v>
      </c>
      <c r="R14">
        <f>GroupData!R20</f>
        <v>2.4062057697461357E-2</v>
      </c>
    </row>
    <row r="15" spans="1:18" x14ac:dyDescent="0.2">
      <c r="A15" t="str">
        <f>GroupData!A22</f>
        <v>+</v>
      </c>
      <c r="B15" t="str">
        <f>GroupData!B22</f>
        <v>5Hz</v>
      </c>
      <c r="C15" t="str">
        <f>GroupData!C22</f>
        <v>Atom 5</v>
      </c>
      <c r="D15">
        <f>GroupData!D22</f>
        <v>0.88235294117647056</v>
      </c>
      <c r="E15">
        <f>GroupData!E22</f>
        <v>0.85521708683473385</v>
      </c>
      <c r="F15">
        <f>GroupData!F22</f>
        <v>1.1879681346013179E-2</v>
      </c>
      <c r="G15">
        <f>GroupData!G22</f>
        <v>0.25</v>
      </c>
      <c r="H15">
        <f>GroupData!H22</f>
        <v>0.2369047619047619</v>
      </c>
      <c r="I15">
        <f>GroupData!I22</f>
        <v>1.2094575213502842E-2</v>
      </c>
      <c r="J15">
        <f>GroupData!J22</f>
        <v>0.75</v>
      </c>
      <c r="K15">
        <f>GroupData!K22</f>
        <v>0.76309523809523816</v>
      </c>
      <c r="L15">
        <f>GroupData!L22</f>
        <v>1.2094575213502797E-2</v>
      </c>
      <c r="M15">
        <f>GroupData!M22</f>
        <v>0.11764705882352941</v>
      </c>
      <c r="N15">
        <f>GroupData!N22</f>
        <v>0.14478291316526609</v>
      </c>
      <c r="O15">
        <f>GroupData!O22</f>
        <v>1.1879681346013228E-2</v>
      </c>
      <c r="P15">
        <f>GroupData!P22</f>
        <v>0.71666666666666667</v>
      </c>
      <c r="Q15">
        <f>GroupData!Q22</f>
        <v>0.72318975667189966</v>
      </c>
      <c r="R15">
        <f>GroupData!R22</f>
        <v>1.3096706739034425E-2</v>
      </c>
    </row>
    <row r="16" spans="1:18" x14ac:dyDescent="0.2">
      <c r="A16" t="str">
        <f>GroupData!A6</f>
        <v>+</v>
      </c>
      <c r="B16" t="str">
        <f>GroupData!B6</f>
        <v>10Hz</v>
      </c>
      <c r="C16" t="str">
        <f>GroupData!C6</f>
        <v>NoTreatment</v>
      </c>
      <c r="D16">
        <f>GroupData!D6</f>
        <v>0.875</v>
      </c>
      <c r="E16">
        <f>GroupData!E6</f>
        <v>0.83676470588235285</v>
      </c>
      <c r="F16">
        <f>GroupData!F6</f>
        <v>1.3464239658961622E-2</v>
      </c>
      <c r="G16">
        <f>GroupData!G6</f>
        <v>0.6</v>
      </c>
      <c r="H16">
        <f>GroupData!H6</f>
        <v>0.57689075630252107</v>
      </c>
      <c r="I16">
        <f>GroupData!I6</f>
        <v>6.4288068125350562E-3</v>
      </c>
      <c r="J16">
        <f>GroupData!J6</f>
        <v>0.4</v>
      </c>
      <c r="K16">
        <f>GroupData!K6</f>
        <v>0.42310924369747893</v>
      </c>
      <c r="L16">
        <f>GroupData!L6</f>
        <v>6.4288068125350562E-3</v>
      </c>
      <c r="M16">
        <f>GroupData!M6</f>
        <v>0.125</v>
      </c>
      <c r="N16">
        <f>GroupData!N6</f>
        <v>0.16323529411764706</v>
      </c>
      <c r="O16">
        <f>GroupData!O6</f>
        <v>1.3464239658961636E-2</v>
      </c>
      <c r="P16">
        <f>GroupData!P6</f>
        <v>0.31428571428571433</v>
      </c>
      <c r="Q16">
        <f>GroupData!Q6</f>
        <v>0.30984128266691291</v>
      </c>
      <c r="R16">
        <f>GroupData!R6</f>
        <v>8.858601539260106E-3</v>
      </c>
    </row>
    <row r="17" spans="1:18" x14ac:dyDescent="0.2">
      <c r="A17" t="str">
        <f>GroupData!A14</f>
        <v>+</v>
      </c>
      <c r="B17" t="str">
        <f>GroupData!B14</f>
        <v>10Hz</v>
      </c>
      <c r="C17" t="str">
        <f>GroupData!C14</f>
        <v>Ctrl-IP</v>
      </c>
      <c r="D17">
        <f>GroupData!D14</f>
        <v>0.8571428571428571</v>
      </c>
      <c r="E17">
        <f>GroupData!E14</f>
        <v>0.85340136054421767</v>
      </c>
      <c r="F17">
        <f>GroupData!F14</f>
        <v>1.0035969403039715E-2</v>
      </c>
      <c r="G17">
        <f>GroupData!G14</f>
        <v>0.625</v>
      </c>
      <c r="H17">
        <f>GroupData!H14</f>
        <v>0.60308123249299717</v>
      </c>
      <c r="I17">
        <f>GroupData!I14</f>
        <v>1.1966274711609378E-2</v>
      </c>
      <c r="J17">
        <f>GroupData!J14</f>
        <v>0.375</v>
      </c>
      <c r="K17">
        <f>GroupData!K14</f>
        <v>0.39691876750700278</v>
      </c>
      <c r="L17">
        <f>GroupData!L14</f>
        <v>1.1966274711609378E-2</v>
      </c>
      <c r="M17">
        <f>GroupData!M14</f>
        <v>0.14285714285714285</v>
      </c>
      <c r="N17">
        <f>GroupData!N14</f>
        <v>0.1465986394557823</v>
      </c>
      <c r="O17">
        <f>GroupData!O14</f>
        <v>1.0035969403039744E-2</v>
      </c>
      <c r="P17">
        <f>GroupData!P14</f>
        <v>0.27083333333333331</v>
      </c>
      <c r="Q17">
        <f>GroupData!Q14</f>
        <v>0.29195870655954692</v>
      </c>
      <c r="R17">
        <f>GroupData!R14</f>
        <v>1.9995090127037783E-2</v>
      </c>
    </row>
    <row r="18" spans="1:18" x14ac:dyDescent="0.2">
      <c r="A18" t="str">
        <f>GroupData!A24</f>
        <v>+</v>
      </c>
      <c r="B18" t="str">
        <f>GroupData!B24</f>
        <v>10Hz</v>
      </c>
      <c r="C18" t="str">
        <f>GroupData!C24</f>
        <v>Atom 1</v>
      </c>
      <c r="D18">
        <f>GroupData!D24</f>
        <v>0.8666666666666667</v>
      </c>
      <c r="E18">
        <f>GroupData!E24</f>
        <v>0.89100140056022403</v>
      </c>
      <c r="F18">
        <f>GroupData!F24</f>
        <v>1.1634002249900037E-2</v>
      </c>
      <c r="G18">
        <f>GroupData!G24</f>
        <v>0.5</v>
      </c>
      <c r="H18">
        <f>GroupData!H24</f>
        <v>0.46477591036414567</v>
      </c>
      <c r="I18">
        <f>GroupData!I24</f>
        <v>1.2796621687802308E-2</v>
      </c>
      <c r="J18">
        <f>GroupData!J24</f>
        <v>0.5</v>
      </c>
      <c r="K18">
        <f>GroupData!K24</f>
        <v>0.53522408963585433</v>
      </c>
      <c r="L18">
        <f>GroupData!L24</f>
        <v>1.2796621687802308E-2</v>
      </c>
      <c r="M18">
        <f>GroupData!M24</f>
        <v>0.13333333333333333</v>
      </c>
      <c r="N18">
        <f>GroupData!N24</f>
        <v>0.1089985994397759</v>
      </c>
      <c r="O18">
        <f>GroupData!O24</f>
        <v>1.1634002249900044E-2</v>
      </c>
      <c r="P18">
        <f>GroupData!P24</f>
        <v>0.42307692307692307</v>
      </c>
      <c r="Q18">
        <f>GroupData!Q24</f>
        <v>0.47676178644534734</v>
      </c>
      <c r="R18">
        <f>GroupData!R24</f>
        <v>1.9793868448012984E-2</v>
      </c>
    </row>
    <row r="19" spans="1:18" x14ac:dyDescent="0.2">
      <c r="A19" t="str">
        <f>GroupData!A26</f>
        <v>+</v>
      </c>
      <c r="B19" t="str">
        <f>GroupData!B26</f>
        <v>10Hz</v>
      </c>
      <c r="C19" t="str">
        <f>GroupData!C26</f>
        <v>Atom 5</v>
      </c>
      <c r="D19">
        <f>GroupData!D26</f>
        <v>0.88235294117647056</v>
      </c>
      <c r="E19">
        <f>GroupData!E26</f>
        <v>0.90105042016806725</v>
      </c>
      <c r="F19">
        <f>GroupData!F26</f>
        <v>1.1595580816948618E-2</v>
      </c>
      <c r="G19">
        <f>GroupData!G26</f>
        <v>0.375</v>
      </c>
      <c r="H19">
        <f>GroupData!H26</f>
        <v>0.38214285714285712</v>
      </c>
      <c r="I19">
        <f>GroupData!I26</f>
        <v>4.2686736047656947E-3</v>
      </c>
      <c r="J19">
        <f>GroupData!J26</f>
        <v>0.625</v>
      </c>
      <c r="K19">
        <f>GroupData!K26</f>
        <v>0.61785714285714288</v>
      </c>
      <c r="L19">
        <f>GroupData!L26</f>
        <v>4.2686736047656947E-3</v>
      </c>
      <c r="M19">
        <f>GroupData!M26</f>
        <v>0.11764705882352941</v>
      </c>
      <c r="N19">
        <f>GroupData!N26</f>
        <v>9.8949579831932769E-2</v>
      </c>
      <c r="O19">
        <f>GroupData!O26</f>
        <v>1.1595580816948616E-2</v>
      </c>
      <c r="P19">
        <f>GroupData!P26</f>
        <v>0.57499999999999996</v>
      </c>
      <c r="Q19">
        <f>GroupData!Q26</f>
        <v>0.57544871794871788</v>
      </c>
      <c r="R19">
        <f>GroupData!R26</f>
        <v>6.806901313957457E-3</v>
      </c>
    </row>
  </sheetData>
  <sortState xmlns:xlrd2="http://schemas.microsoft.com/office/spreadsheetml/2017/richdata2" ref="A2:R19">
    <sortCondition ref="A2:A19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263A-AD68-4A0D-95CE-55C659DE1C1E}">
  <dimension ref="A1:R23"/>
  <sheetViews>
    <sheetView tabSelected="1" workbookViewId="0">
      <selection activeCell="E106" sqref="E106"/>
    </sheetView>
  </sheetViews>
  <sheetFormatPr baseColWidth="10" defaultColWidth="8.83203125" defaultRowHeight="15" x14ac:dyDescent="0.2"/>
  <sheetData>
    <row r="1" spans="1:18" s="2" customFormat="1" x14ac:dyDescent="0.2">
      <c r="A1" s="2" t="str">
        <f>GroupData!A1</f>
        <v>Genotype</v>
      </c>
      <c r="B1" s="2" t="str">
        <f>GroupData!B1</f>
        <v>LaserFreq</v>
      </c>
      <c r="C1" s="2" t="str">
        <f>GroupData!C1</f>
        <v>DrugGroup</v>
      </c>
      <c r="D1" s="2" t="str">
        <f>GroupData!D1</f>
        <v>Hits</v>
      </c>
      <c r="E1" s="2" t="str">
        <f>GroupData!E1</f>
        <v>Group Avg</v>
      </c>
      <c r="F1" s="2" t="str">
        <f>GroupData!F1</f>
        <v>STDERR</v>
      </c>
      <c r="G1" s="2" t="str">
        <f>GroupData!G1</f>
        <v>FalseAlarms</v>
      </c>
      <c r="H1" s="2" t="str">
        <f>GroupData!H1</f>
        <v>Group Avg</v>
      </c>
      <c r="I1" s="2" t="str">
        <f>GroupData!I1</f>
        <v>STDERR</v>
      </c>
      <c r="J1" s="2" t="str">
        <f>GroupData!J1</f>
        <v>PNoGo</v>
      </c>
      <c r="K1" s="2" t="str">
        <f>GroupData!K1</f>
        <v>Group Avg</v>
      </c>
      <c r="L1" s="2" t="str">
        <f>GroupData!L1</f>
        <v>STDERR</v>
      </c>
      <c r="M1" s="2" t="str">
        <f>GroupData!M1</f>
        <v>Pomission</v>
      </c>
      <c r="N1" s="2" t="str">
        <f>GroupData!N1</f>
        <v>Group Avg</v>
      </c>
      <c r="O1" s="2" t="str">
        <f>GroupData!O1</f>
        <v>STDERR</v>
      </c>
      <c r="P1" s="2" t="str">
        <f>GroupData!P1</f>
        <v>Pinhibition</v>
      </c>
      <c r="Q1" s="2" t="str">
        <f>GroupData!Q1</f>
        <v>Group Avg</v>
      </c>
      <c r="R1" s="2" t="str">
        <f>GroupData!R1</f>
        <v>STDERR</v>
      </c>
    </row>
    <row r="2" spans="1:18" x14ac:dyDescent="0.2">
      <c r="A2" t="str">
        <f>GroupData!A3</f>
        <v>-</v>
      </c>
      <c r="B2" t="str">
        <f>GroupData!B3</f>
        <v>0Hz</v>
      </c>
      <c r="C2" t="str">
        <f>GroupData!C3</f>
        <v>NoTreatment</v>
      </c>
      <c r="D2">
        <f>GroupData!D3</f>
        <v>0.8666666666666667</v>
      </c>
      <c r="E2">
        <f>GroupData!E3</f>
        <v>0.84523809523809523</v>
      </c>
      <c r="F2">
        <f>GroupData!F3</f>
        <v>2.7256817099457195E-2</v>
      </c>
      <c r="G2">
        <f>GroupData!G3</f>
        <v>0.25</v>
      </c>
      <c r="H2">
        <f>GroupData!H3</f>
        <v>0.21065426170468185</v>
      </c>
      <c r="I2">
        <f>GroupData!I3</f>
        <v>8.4124098392045835E-3</v>
      </c>
      <c r="J2">
        <f>GroupData!J3</f>
        <v>0.75</v>
      </c>
      <c r="K2">
        <f>GroupData!K3</f>
        <v>0.78934573829531807</v>
      </c>
      <c r="L2">
        <f>GroupData!L3</f>
        <v>8.4124098392045609E-3</v>
      </c>
      <c r="M2">
        <f>GroupData!M3</f>
        <v>0.13333333333333333</v>
      </c>
      <c r="N2">
        <f>GroupData!N3</f>
        <v>0.15476190476190474</v>
      </c>
      <c r="O2">
        <f>GroupData!O3</f>
        <v>2.7256817099457202E-2</v>
      </c>
      <c r="P2">
        <f>GroupData!P3</f>
        <v>0.71153846153846156</v>
      </c>
      <c r="Q2">
        <f>GroupData!Q3</f>
        <v>0.74835044157523156</v>
      </c>
      <c r="R2">
        <f>GroupData!R3</f>
        <v>1.4205953685936018E-2</v>
      </c>
    </row>
    <row r="3" spans="1:18" x14ac:dyDescent="0.2">
      <c r="A3" t="str">
        <f>GroupData!A5</f>
        <v>-</v>
      </c>
      <c r="B3" t="str">
        <f>GroupData!B5</f>
        <v>5Hz</v>
      </c>
      <c r="C3" t="str">
        <f>GroupData!C5</f>
        <v>NoTreatment</v>
      </c>
      <c r="D3">
        <f>GroupData!D5</f>
        <v>0.88235294117647056</v>
      </c>
      <c r="E3">
        <f>GroupData!E5</f>
        <v>0.85453681472589038</v>
      </c>
      <c r="F3">
        <f>GroupData!F5</f>
        <v>2.0032070680194674E-2</v>
      </c>
      <c r="G3">
        <f>GroupData!G5</f>
        <v>0.25</v>
      </c>
      <c r="H3">
        <f>GroupData!H5</f>
        <v>0.23333333333333334</v>
      </c>
      <c r="I3">
        <f>GroupData!I5</f>
        <v>1.9938255029100259E-2</v>
      </c>
      <c r="J3">
        <f>GroupData!J5</f>
        <v>0.75</v>
      </c>
      <c r="K3">
        <f>GroupData!K5</f>
        <v>0.76666666666666672</v>
      </c>
      <c r="L3">
        <f>GroupData!L5</f>
        <v>1.9938255029100269E-2</v>
      </c>
      <c r="M3">
        <f>GroupData!M5</f>
        <v>0.11764705882352941</v>
      </c>
      <c r="N3">
        <f>GroupData!N5</f>
        <v>0.14546318527410965</v>
      </c>
      <c r="O3">
        <f>GroupData!O5</f>
        <v>2.0032070680194681E-2</v>
      </c>
      <c r="P3">
        <f>GroupData!P5</f>
        <v>0.71666666666666667</v>
      </c>
      <c r="Q3">
        <f>GroupData!Q5</f>
        <v>0.72626896912611194</v>
      </c>
      <c r="R3">
        <f>GroupData!R5</f>
        <v>2.3498810933594579E-2</v>
      </c>
    </row>
    <row r="4" spans="1:18" x14ac:dyDescent="0.2">
      <c r="A4" t="str">
        <f>GroupData!A29</f>
        <v>-</v>
      </c>
      <c r="B4" t="str">
        <f>GroupData!B29</f>
        <v>5Hz</v>
      </c>
      <c r="C4" t="str">
        <f>GroupData!C29</f>
        <v>Ctrl-Oral</v>
      </c>
      <c r="D4">
        <f>GroupData!D29</f>
        <v>0.8125</v>
      </c>
      <c r="E4">
        <f>GroupData!E29</f>
        <v>0.84800420168067236</v>
      </c>
      <c r="F4">
        <f>GroupData!F29</f>
        <v>1.6123744556237232E-2</v>
      </c>
      <c r="G4">
        <f>GroupData!G29</f>
        <v>0.25</v>
      </c>
      <c r="H4">
        <f>GroupData!H29</f>
        <v>0.29796918767507002</v>
      </c>
      <c r="I4">
        <f>GroupData!I29</f>
        <v>2.1743145721500188E-2</v>
      </c>
      <c r="J4">
        <f>GroupData!J29</f>
        <v>0.75</v>
      </c>
      <c r="K4">
        <f>GroupData!K29</f>
        <v>0.70203081232493003</v>
      </c>
      <c r="L4">
        <f>GroupData!L29</f>
        <v>2.1743145721500181E-2</v>
      </c>
      <c r="M4">
        <f>GroupData!M29</f>
        <v>0.1875</v>
      </c>
      <c r="N4">
        <f>GroupData!N29</f>
        <v>0.15199579831932772</v>
      </c>
      <c r="O4">
        <f>GroupData!O29</f>
        <v>1.6123744556237239E-2</v>
      </c>
      <c r="P4">
        <f>GroupData!P29</f>
        <v>0.69230769230769229</v>
      </c>
      <c r="Q4">
        <f>GroupData!Q29</f>
        <v>0.64583814294948738</v>
      </c>
      <c r="R4">
        <f>GroupData!R29</f>
        <v>2.8891754968490373E-2</v>
      </c>
    </row>
    <row r="5" spans="1:18" x14ac:dyDescent="0.2">
      <c r="A5" t="str">
        <f>GroupData!A31</f>
        <v>-</v>
      </c>
      <c r="B5" t="str">
        <f>GroupData!B31</f>
        <v>5Hz</v>
      </c>
      <c r="C5" t="str">
        <f>GroupData!C31</f>
        <v>BI 2.5</v>
      </c>
      <c r="D5">
        <f>GroupData!D31</f>
        <v>0.8125</v>
      </c>
      <c r="E5">
        <f>GroupData!E31</f>
        <v>0.84328231292516997</v>
      </c>
      <c r="F5">
        <f>GroupData!F31</f>
        <v>1.0236424286283045E-2</v>
      </c>
      <c r="G5">
        <f>GroupData!G31</f>
        <v>0.29411764705882354</v>
      </c>
      <c r="H5">
        <f>GroupData!H31</f>
        <v>0.27237394957983191</v>
      </c>
      <c r="I5">
        <f>GroupData!I31</f>
        <v>8.0582000024999548E-3</v>
      </c>
      <c r="J5">
        <f>GroupData!J31</f>
        <v>0.70588235294117652</v>
      </c>
      <c r="K5">
        <f>GroupData!K31</f>
        <v>0.72762605042016815</v>
      </c>
      <c r="L5">
        <f>GroupData!L31</f>
        <v>8.0582000024999496E-3</v>
      </c>
      <c r="M5">
        <f>GroupData!M31</f>
        <v>0.1875</v>
      </c>
      <c r="N5">
        <f>GroupData!N31</f>
        <v>0.15671768707482991</v>
      </c>
      <c r="O5">
        <f>GroupData!O31</f>
        <v>1.0236424286283075E-2</v>
      </c>
      <c r="P5">
        <f>GroupData!P31</f>
        <v>0.63800904977375572</v>
      </c>
      <c r="Q5">
        <f>GroupData!Q31</f>
        <v>0.67606042416966794</v>
      </c>
      <c r="R5">
        <f>GroupData!R31</f>
        <v>1.2919149460567901E-2</v>
      </c>
    </row>
    <row r="6" spans="1:18" x14ac:dyDescent="0.2">
      <c r="A6" t="str">
        <f>GroupData!A33</f>
        <v>-</v>
      </c>
      <c r="B6" t="str">
        <f>GroupData!B33</f>
        <v>5Hz</v>
      </c>
      <c r="C6" t="str">
        <f>GroupData!C33</f>
        <v>BI 7.5</v>
      </c>
      <c r="D6">
        <f>GroupData!D33</f>
        <v>0.88235294117647056</v>
      </c>
      <c r="E6">
        <f>GroupData!E33</f>
        <v>0.86474089635854334</v>
      </c>
      <c r="F6">
        <f>GroupData!F33</f>
        <v>8.2838177387966391E-3</v>
      </c>
      <c r="G6">
        <f>GroupData!G33</f>
        <v>0.25</v>
      </c>
      <c r="H6">
        <f>GroupData!H33</f>
        <v>0.24373249299719887</v>
      </c>
      <c r="I6">
        <f>GroupData!I33</f>
        <v>9.4794051986861194E-3</v>
      </c>
      <c r="J6">
        <f>GroupData!J33</f>
        <v>0.75</v>
      </c>
      <c r="K6">
        <f>GroupData!K33</f>
        <v>0.7562675070028011</v>
      </c>
      <c r="L6">
        <f>GroupData!L33</f>
        <v>9.4794051986861038E-3</v>
      </c>
      <c r="M6">
        <f>GroupData!M33</f>
        <v>0.11764705882352941</v>
      </c>
      <c r="N6">
        <f>GroupData!N33</f>
        <v>0.13525910364145657</v>
      </c>
      <c r="O6">
        <f>GroupData!O33</f>
        <v>8.2838177387966512E-3</v>
      </c>
      <c r="P6">
        <f>GroupData!P33</f>
        <v>0.71666666666666667</v>
      </c>
      <c r="Q6">
        <f>GroupData!Q33</f>
        <v>0.71867208421830264</v>
      </c>
      <c r="R6">
        <f>GroupData!R33</f>
        <v>8.8356377266812659E-3</v>
      </c>
    </row>
    <row r="7" spans="1:18" x14ac:dyDescent="0.2">
      <c r="A7" t="str">
        <f>GroupData!A35</f>
        <v>-</v>
      </c>
      <c r="B7" t="str">
        <f>GroupData!B35</f>
        <v>5Hz</v>
      </c>
      <c r="C7" t="str">
        <f>GroupData!C35</f>
        <v>BI 12.5</v>
      </c>
      <c r="D7">
        <f>GroupData!D35</f>
        <v>0.875</v>
      </c>
      <c r="E7">
        <f>GroupData!E35</f>
        <v>0.87261904761904763</v>
      </c>
      <c r="F7">
        <f>GroupData!F35</f>
        <v>1.4228912015885587E-3</v>
      </c>
      <c r="G7">
        <f>GroupData!G35</f>
        <v>0.1875</v>
      </c>
      <c r="H7">
        <f>GroupData!H35</f>
        <v>0.20714285714285713</v>
      </c>
      <c r="I7">
        <f>GroupData!I35</f>
        <v>1.036857215964369E-2</v>
      </c>
      <c r="J7">
        <f>GroupData!J35</f>
        <v>0.8125</v>
      </c>
      <c r="K7">
        <f>GroupData!K35</f>
        <v>0.79285714285714282</v>
      </c>
      <c r="L7">
        <f>GroupData!L35</f>
        <v>1.0368572159643662E-2</v>
      </c>
      <c r="M7">
        <f>GroupData!M35</f>
        <v>0.125</v>
      </c>
      <c r="N7">
        <f>GroupData!N35</f>
        <v>0.12738095238095237</v>
      </c>
      <c r="O7">
        <f>GroupData!O35</f>
        <v>1.4228912015885635E-3</v>
      </c>
      <c r="P7">
        <f>GroupData!P35</f>
        <v>0.7857142857142857</v>
      </c>
      <c r="Q7">
        <f>GroupData!Q35</f>
        <v>0.76257849293563584</v>
      </c>
      <c r="R7">
        <f>GroupData!R35</f>
        <v>1.2008131938397535E-2</v>
      </c>
    </row>
    <row r="8" spans="1:18" x14ac:dyDescent="0.2">
      <c r="A8" t="str">
        <f>GroupData!A7</f>
        <v>-</v>
      </c>
      <c r="B8" t="str">
        <f>GroupData!B7</f>
        <v>10Hz</v>
      </c>
      <c r="C8" t="str">
        <f>GroupData!C7</f>
        <v>NoTreatment</v>
      </c>
      <c r="D8">
        <f>GroupData!D7</f>
        <v>0.8125</v>
      </c>
      <c r="E8">
        <f>GroupData!E7</f>
        <v>0.83571428571428563</v>
      </c>
      <c r="F8">
        <f>GroupData!F7</f>
        <v>1.8110448315611066E-2</v>
      </c>
      <c r="G8">
        <f>GroupData!G7</f>
        <v>0.26666666666666666</v>
      </c>
      <c r="H8">
        <f>GroupData!H7</f>
        <v>0.25476190476190474</v>
      </c>
      <c r="I8">
        <f>GroupData!I7</f>
        <v>2.8457824031771269E-3</v>
      </c>
      <c r="J8">
        <f>GroupData!J7</f>
        <v>0.73333333333333328</v>
      </c>
      <c r="K8">
        <f>GroupData!K7</f>
        <v>0.74523809523809526</v>
      </c>
      <c r="L8">
        <f>GroupData!L7</f>
        <v>2.8457824031771365E-3</v>
      </c>
      <c r="M8">
        <f>GroupData!M7</f>
        <v>0.1875</v>
      </c>
      <c r="N8">
        <f>GroupData!N7</f>
        <v>0.16428571428571428</v>
      </c>
      <c r="O8">
        <f>GroupData!O7</f>
        <v>1.8110448315611091E-2</v>
      </c>
      <c r="P8">
        <f>GroupData!P7</f>
        <v>0.67179487179487174</v>
      </c>
      <c r="Q8">
        <f>GroupData!Q7</f>
        <v>0.69407378335949765</v>
      </c>
      <c r="R8">
        <f>GroupData!R7</f>
        <v>7.8663355961370359E-3</v>
      </c>
    </row>
    <row r="9" spans="1:18" x14ac:dyDescent="0.2">
      <c r="A9" t="str">
        <f>GroupData!A37</f>
        <v>-</v>
      </c>
      <c r="B9" t="str">
        <f>GroupData!B37</f>
        <v>10Hz</v>
      </c>
      <c r="C9" t="str">
        <f>GroupData!C37</f>
        <v>Ctrl-Oral</v>
      </c>
      <c r="D9">
        <f>GroupData!D37</f>
        <v>0.875</v>
      </c>
      <c r="E9">
        <f>GroupData!E37</f>
        <v>0.87366946778711474</v>
      </c>
      <c r="F9">
        <f>GroupData!F37</f>
        <v>1.9196216732218451E-3</v>
      </c>
      <c r="G9">
        <f>GroupData!G37</f>
        <v>0.26666666666666666</v>
      </c>
      <c r="H9">
        <f>GroupData!H37</f>
        <v>0.27261904761904759</v>
      </c>
      <c r="I9">
        <f>GroupData!I37</f>
        <v>1.6035169477990746E-2</v>
      </c>
      <c r="J9">
        <f>GroupData!J37</f>
        <v>0.73333333333333328</v>
      </c>
      <c r="K9">
        <f>GroupData!K37</f>
        <v>0.72738095238095235</v>
      </c>
      <c r="L9">
        <f>GroupData!L37</f>
        <v>1.6035169477990701E-2</v>
      </c>
      <c r="M9">
        <f>GroupData!M37</f>
        <v>0.125</v>
      </c>
      <c r="N9">
        <f>GroupData!N37</f>
        <v>0.12633053221288515</v>
      </c>
      <c r="O9">
        <f>GroupData!O37</f>
        <v>1.919621673221852E-3</v>
      </c>
      <c r="P9">
        <f>GroupData!P37</f>
        <v>0.69523809523809521</v>
      </c>
      <c r="Q9">
        <f>GroupData!Q37</f>
        <v>0.68816064887493467</v>
      </c>
      <c r="R9">
        <f>GroupData!R37</f>
        <v>1.7707138698288015E-2</v>
      </c>
    </row>
    <row r="10" spans="1:18" x14ac:dyDescent="0.2">
      <c r="A10" t="str">
        <f>GroupData!A39</f>
        <v>-</v>
      </c>
      <c r="B10" t="str">
        <f>GroupData!B39</f>
        <v>10Hz</v>
      </c>
      <c r="C10" t="str">
        <f>GroupData!C39</f>
        <v>BI 2.5</v>
      </c>
      <c r="D10">
        <f>GroupData!D39</f>
        <v>0.8125</v>
      </c>
      <c r="E10">
        <f>GroupData!E39</f>
        <v>0.83112745098039209</v>
      </c>
      <c r="F10">
        <f>GroupData!F39</f>
        <v>8.6690605064005284E-3</v>
      </c>
      <c r="G10">
        <f>GroupData!G39</f>
        <v>0.26666666666666666</v>
      </c>
      <c r="H10">
        <f>GroupData!H39</f>
        <v>0.23532913165266106</v>
      </c>
      <c r="I10">
        <f>GroupData!I39</f>
        <v>1.3063220923228463E-2</v>
      </c>
      <c r="J10">
        <f>GroupData!J39</f>
        <v>0.73333333333333328</v>
      </c>
      <c r="K10">
        <f>GroupData!K39</f>
        <v>0.76467086834733888</v>
      </c>
      <c r="L10">
        <f>GroupData!L39</f>
        <v>1.3063220923228419E-2</v>
      </c>
      <c r="M10">
        <f>GroupData!M39</f>
        <v>0.1875</v>
      </c>
      <c r="N10">
        <f>GroupData!N39</f>
        <v>0.16887254901960785</v>
      </c>
      <c r="O10">
        <f>GroupData!O39</f>
        <v>8.6690605064005145E-3</v>
      </c>
      <c r="P10">
        <f>GroupData!P39</f>
        <v>0.67179487179487174</v>
      </c>
      <c r="Q10">
        <f>GroupData!Q39</f>
        <v>0.7163492320004925</v>
      </c>
      <c r="R10">
        <f>GroupData!R39</f>
        <v>1.6741326292268172E-2</v>
      </c>
    </row>
    <row r="11" spans="1:18" x14ac:dyDescent="0.2">
      <c r="A11" t="str">
        <f>GroupData!A41</f>
        <v>-</v>
      </c>
      <c r="B11" t="str">
        <f>GroupData!B41</f>
        <v>10Hz</v>
      </c>
      <c r="C11" t="str">
        <f>GroupData!C41</f>
        <v>BI 7.5</v>
      </c>
      <c r="D11">
        <f>GroupData!D41</f>
        <v>0.8</v>
      </c>
      <c r="E11">
        <f>GroupData!E41</f>
        <v>0.8355042016806723</v>
      </c>
      <c r="F11">
        <f>GroupData!F41</f>
        <v>1.8304284576557313E-2</v>
      </c>
      <c r="G11">
        <f>GroupData!G41</f>
        <v>0.2</v>
      </c>
      <c r="H11">
        <f>GroupData!H41</f>
        <v>0.21130952380952378</v>
      </c>
      <c r="I11">
        <f>GroupData!I41</f>
        <v>1.1533320974956475E-2</v>
      </c>
      <c r="J11">
        <f>GroupData!J41</f>
        <v>0.8</v>
      </c>
      <c r="K11">
        <f>GroupData!K41</f>
        <v>0.78869047619047616</v>
      </c>
      <c r="L11">
        <f>GroupData!L41</f>
        <v>1.153332097495645E-2</v>
      </c>
      <c r="M11">
        <f>GroupData!M41</f>
        <v>0.2</v>
      </c>
      <c r="N11">
        <f>GroupData!N41</f>
        <v>0.16449579831932773</v>
      </c>
      <c r="O11">
        <f>GroupData!O41</f>
        <v>1.8304284576557365E-2</v>
      </c>
      <c r="P11">
        <f>GroupData!P41</f>
        <v>0.75000000000000011</v>
      </c>
      <c r="Q11">
        <f>GroupData!Q41</f>
        <v>0.74546866823652536</v>
      </c>
      <c r="R11">
        <f>GroupData!R41</f>
        <v>1.6724084648551175E-2</v>
      </c>
    </row>
    <row r="12" spans="1:18" x14ac:dyDescent="0.2">
      <c r="A12" t="str">
        <f>GroupData!A43</f>
        <v>-</v>
      </c>
      <c r="B12" t="str">
        <f>GroupData!B43</f>
        <v>10Hz</v>
      </c>
      <c r="C12" t="str">
        <f>GroupData!C43</f>
        <v>BI 12.5</v>
      </c>
      <c r="D12">
        <f>GroupData!D43</f>
        <v>0.82352941176470584</v>
      </c>
      <c r="E12">
        <f>GroupData!E43</f>
        <v>0.8210084033613444</v>
      </c>
      <c r="F12">
        <f>GroupData!F43</f>
        <v>8.9844484157580937E-3</v>
      </c>
      <c r="G12">
        <f>GroupData!G43</f>
        <v>0.1875</v>
      </c>
      <c r="H12">
        <f>GroupData!H43</f>
        <v>0.16323529411764706</v>
      </c>
      <c r="I12">
        <f>GroupData!I43</f>
        <v>1.3464239658961661E-2</v>
      </c>
      <c r="J12">
        <f>GroupData!J43</f>
        <v>0.8125</v>
      </c>
      <c r="K12">
        <f>GroupData!K43</f>
        <v>0.83676470588235297</v>
      </c>
      <c r="L12">
        <f>GroupData!L43</f>
        <v>1.3464239658961626E-2</v>
      </c>
      <c r="M12">
        <f>GroupData!M43</f>
        <v>0.17647058823529413</v>
      </c>
      <c r="N12">
        <f>GroupData!N43</f>
        <v>0.17899159663865546</v>
      </c>
      <c r="O12">
        <f>GroupData!O43</f>
        <v>8.9844484157581214E-3</v>
      </c>
      <c r="P12">
        <f>GroupData!P43</f>
        <v>0.7723214285714286</v>
      </c>
      <c r="Q12">
        <f>GroupData!Q43</f>
        <v>0.80169567827130839</v>
      </c>
      <c r="R12">
        <f>GroupData!R43</f>
        <v>1.5494553397844696E-2</v>
      </c>
    </row>
    <row r="13" spans="1:18" x14ac:dyDescent="0.2">
      <c r="A13" t="str">
        <f>GroupData!A2</f>
        <v>+</v>
      </c>
      <c r="B13" t="str">
        <f>GroupData!B2</f>
        <v>0Hz</v>
      </c>
      <c r="C13" t="str">
        <f>GroupData!C2</f>
        <v>NoTreatment</v>
      </c>
      <c r="D13">
        <f>GroupData!D2</f>
        <v>0.875</v>
      </c>
      <c r="E13">
        <f>GroupData!E2</f>
        <v>0.85340136054421767</v>
      </c>
      <c r="F13">
        <f>GroupData!F2</f>
        <v>1.0035969403039715E-2</v>
      </c>
      <c r="G13">
        <f>GroupData!G2</f>
        <v>0.23529411764705882</v>
      </c>
      <c r="H13">
        <f>GroupData!H2</f>
        <v>0.25776310524209683</v>
      </c>
      <c r="I13">
        <f>GroupData!I2</f>
        <v>5.7595849383062277E-3</v>
      </c>
      <c r="J13">
        <f>GroupData!J2</f>
        <v>0.76470588235294112</v>
      </c>
      <c r="K13">
        <f>GroupData!K2</f>
        <v>0.74223689475790322</v>
      </c>
      <c r="L13">
        <f>GroupData!L2</f>
        <v>5.7595849383062269E-3</v>
      </c>
      <c r="M13">
        <f>GroupData!M2</f>
        <v>0.125</v>
      </c>
      <c r="N13">
        <f>GroupData!N2</f>
        <v>0.1465986394557823</v>
      </c>
      <c r="O13">
        <f>GroupData!O2</f>
        <v>1.0035969403039744E-2</v>
      </c>
      <c r="P13">
        <f>GroupData!P2</f>
        <v>0.73109243697478987</v>
      </c>
      <c r="Q13">
        <f>GroupData!Q2</f>
        <v>0.69786519003205683</v>
      </c>
      <c r="R13">
        <f>GroupData!R2</f>
        <v>6.2406601270252682E-3</v>
      </c>
    </row>
    <row r="14" spans="1:18" x14ac:dyDescent="0.2">
      <c r="A14" t="str">
        <f>GroupData!A4</f>
        <v>+</v>
      </c>
      <c r="B14" t="str">
        <f>GroupData!B4</f>
        <v>5Hz</v>
      </c>
      <c r="C14" t="str">
        <f>GroupData!C4</f>
        <v>NoTreatment</v>
      </c>
      <c r="D14">
        <f>GroupData!D4</f>
        <v>0.875</v>
      </c>
      <c r="E14">
        <f>GroupData!E4</f>
        <v>0.87366946778711474</v>
      </c>
      <c r="F14">
        <f>GroupData!F4</f>
        <v>1.9196216732218451E-3</v>
      </c>
      <c r="G14">
        <f>GroupData!G4</f>
        <v>0.33333333333333331</v>
      </c>
      <c r="H14">
        <f>GroupData!H4</f>
        <v>0.34523809523809523</v>
      </c>
      <c r="I14">
        <f>GroupData!I4</f>
        <v>2.0558192863497641E-2</v>
      </c>
      <c r="J14">
        <f>GroupData!J4</f>
        <v>0.66666666666666663</v>
      </c>
      <c r="K14">
        <f>GroupData!K4</f>
        <v>0.65476190476190477</v>
      </c>
      <c r="L14">
        <f>GroupData!L4</f>
        <v>2.0558192863497589E-2</v>
      </c>
      <c r="M14">
        <f>GroupData!M4</f>
        <v>0.125</v>
      </c>
      <c r="N14">
        <f>GroupData!N4</f>
        <v>0.12633053221288515</v>
      </c>
      <c r="O14">
        <f>GroupData!O4</f>
        <v>1.919621673221852E-3</v>
      </c>
      <c r="P14">
        <f>GroupData!P4</f>
        <v>0.61904761904761896</v>
      </c>
      <c r="Q14">
        <f>GroupData!Q4</f>
        <v>0.60467687074829934</v>
      </c>
      <c r="R14">
        <f>GroupData!R4</f>
        <v>2.3968052833813029E-2</v>
      </c>
    </row>
    <row r="15" spans="1:18" x14ac:dyDescent="0.2">
      <c r="A15" t="str">
        <f>GroupData!A28</f>
        <v>+</v>
      </c>
      <c r="B15" t="str">
        <f>GroupData!B28</f>
        <v>5Hz</v>
      </c>
      <c r="C15" t="str">
        <f>GroupData!C28</f>
        <v>Ctrl-Oral</v>
      </c>
      <c r="D15">
        <f>GroupData!D28</f>
        <v>0.8125</v>
      </c>
      <c r="E15">
        <f>GroupData!E28</f>
        <v>0.89212184873949585</v>
      </c>
      <c r="F15">
        <f>GroupData!F28</f>
        <v>1.6408642593537155E-2</v>
      </c>
      <c r="G15">
        <f>GroupData!G28</f>
        <v>0.375</v>
      </c>
      <c r="H15">
        <f>GroupData!H28</f>
        <v>0.36666666666666664</v>
      </c>
      <c r="I15">
        <f>GroupData!I28</f>
        <v>1.5971914124998692E-2</v>
      </c>
      <c r="J15">
        <f>GroupData!J28</f>
        <v>0.625</v>
      </c>
      <c r="K15">
        <f>GroupData!K28</f>
        <v>0.63333333333333341</v>
      </c>
      <c r="L15">
        <f>GroupData!L28</f>
        <v>1.5971914124998494E-2</v>
      </c>
      <c r="M15">
        <f>GroupData!M28</f>
        <v>0.1875</v>
      </c>
      <c r="N15">
        <f>GroupData!N28</f>
        <v>0.10787815126050419</v>
      </c>
      <c r="O15">
        <f>GroupData!O28</f>
        <v>1.6408642593537158E-2</v>
      </c>
      <c r="P15">
        <f>GroupData!P28</f>
        <v>0.53846153846153844</v>
      </c>
      <c r="Q15">
        <f>GroupData!Q28</f>
        <v>0.58827882435025292</v>
      </c>
      <c r="R15">
        <f>GroupData!R28</f>
        <v>1.8862643871167661E-2</v>
      </c>
    </row>
    <row r="16" spans="1:18" x14ac:dyDescent="0.2">
      <c r="A16" t="str">
        <f>GroupData!A30</f>
        <v>+</v>
      </c>
      <c r="B16" t="str">
        <f>GroupData!B30</f>
        <v>5Hz</v>
      </c>
      <c r="C16" t="str">
        <f>GroupData!C30</f>
        <v>BI 2.5</v>
      </c>
      <c r="D16">
        <f>GroupData!D30</f>
        <v>0.8125</v>
      </c>
      <c r="E16">
        <f>GroupData!E30</f>
        <v>0.84688375350140055</v>
      </c>
      <c r="F16">
        <f>GroupData!F30</f>
        <v>1.7017722702298215E-2</v>
      </c>
      <c r="G16">
        <f>GroupData!G30</f>
        <v>0.3125</v>
      </c>
      <c r="H16">
        <f>GroupData!H30</f>
        <v>0.25238095238095237</v>
      </c>
      <c r="I16">
        <f>GroupData!I30</f>
        <v>1.7992682888111722E-2</v>
      </c>
      <c r="J16">
        <f>GroupData!J30</f>
        <v>0.6875</v>
      </c>
      <c r="K16">
        <f>GroupData!K30</f>
        <v>0.74761904761904763</v>
      </c>
      <c r="L16">
        <f>GroupData!L30</f>
        <v>1.7992682888111702E-2</v>
      </c>
      <c r="M16">
        <f>GroupData!M30</f>
        <v>0.1875</v>
      </c>
      <c r="N16">
        <f>GroupData!N30</f>
        <v>0.15311624649859942</v>
      </c>
      <c r="O16">
        <f>GroupData!O30</f>
        <v>1.7017722702298222E-2</v>
      </c>
      <c r="P16">
        <f>GroupData!P30</f>
        <v>0.61538461538461542</v>
      </c>
      <c r="Q16">
        <f>GroupData!Q30</f>
        <v>0.69891069248212112</v>
      </c>
      <c r="R16">
        <f>GroupData!R30</f>
        <v>2.6791561943868357E-2</v>
      </c>
    </row>
    <row r="17" spans="1:18" x14ac:dyDescent="0.2">
      <c r="A17" t="str">
        <f>GroupData!A32</f>
        <v>+</v>
      </c>
      <c r="B17" t="str">
        <f>GroupData!B32</f>
        <v>5Hz</v>
      </c>
      <c r="C17" t="str">
        <f>GroupData!C32</f>
        <v>BI 7.5</v>
      </c>
      <c r="D17">
        <f>GroupData!D32</f>
        <v>0.82352941176470584</v>
      </c>
      <c r="E17">
        <f>GroupData!E32</f>
        <v>0.83788515406162467</v>
      </c>
      <c r="F17">
        <f>GroupData!F32</f>
        <v>1.152953914731703E-2</v>
      </c>
      <c r="G17">
        <f>GroupData!G32</f>
        <v>0.25</v>
      </c>
      <c r="H17">
        <f>GroupData!H32</f>
        <v>0.24345238095238095</v>
      </c>
      <c r="I17">
        <f>GroupData!I32</f>
        <v>8.9030246768444631E-3</v>
      </c>
      <c r="J17">
        <f>GroupData!J32</f>
        <v>0.75</v>
      </c>
      <c r="K17">
        <f>GroupData!K32</f>
        <v>0.75654761904761902</v>
      </c>
      <c r="L17">
        <f>GroupData!L32</f>
        <v>8.9030246768444649E-3</v>
      </c>
      <c r="M17">
        <f>GroupData!M32</f>
        <v>0.17647058823529413</v>
      </c>
      <c r="N17">
        <f>GroupData!N32</f>
        <v>0.16211484593837536</v>
      </c>
      <c r="O17">
        <f>GroupData!O32</f>
        <v>1.1529539147317074E-2</v>
      </c>
      <c r="P17">
        <f>GroupData!P32</f>
        <v>0.6964285714285714</v>
      </c>
      <c r="Q17">
        <f>GroupData!Q32</f>
        <v>0.70950418628990064</v>
      </c>
      <c r="R17">
        <f>GroupData!R32</f>
        <v>9.8443630125446616E-3</v>
      </c>
    </row>
    <row r="18" spans="1:18" x14ac:dyDescent="0.2">
      <c r="A18" t="str">
        <f>GroupData!A34</f>
        <v>+</v>
      </c>
      <c r="B18" t="str">
        <f>GroupData!B34</f>
        <v>5Hz</v>
      </c>
      <c r="C18" t="str">
        <f>GroupData!C34</f>
        <v>BI 12.5</v>
      </c>
      <c r="D18">
        <f>GroupData!D34</f>
        <v>0.82352941176470584</v>
      </c>
      <c r="E18">
        <f>GroupData!E34</f>
        <v>0.82762605042016812</v>
      </c>
      <c r="F18">
        <f>GroupData!F34</f>
        <v>1.259616033631096E-2</v>
      </c>
      <c r="G18">
        <f>GroupData!G34</f>
        <v>0.25</v>
      </c>
      <c r="H18">
        <f>GroupData!H34</f>
        <v>0.23480392156862745</v>
      </c>
      <c r="I18">
        <f>GroupData!I34</f>
        <v>1.1924826558005558E-2</v>
      </c>
      <c r="J18">
        <f>GroupData!J34</f>
        <v>0.75</v>
      </c>
      <c r="K18">
        <f>GroupData!K34</f>
        <v>0.76519607843137261</v>
      </c>
      <c r="L18">
        <f>GroupData!L34</f>
        <v>1.1924826558005478E-2</v>
      </c>
      <c r="M18">
        <f>GroupData!M34</f>
        <v>0.17647058823529413</v>
      </c>
      <c r="N18">
        <f>GroupData!N34</f>
        <v>0.17237394957983193</v>
      </c>
      <c r="O18">
        <f>GroupData!O34</f>
        <v>1.2596160336311E-2</v>
      </c>
      <c r="P18">
        <f>GroupData!P34</f>
        <v>0.6964285714285714</v>
      </c>
      <c r="Q18">
        <f>GroupData!Q34</f>
        <v>0.71529467556253279</v>
      </c>
      <c r="R18">
        <f>GroupData!R34</f>
        <v>1.6414805585388537E-2</v>
      </c>
    </row>
    <row r="19" spans="1:18" x14ac:dyDescent="0.2">
      <c r="A19" t="str">
        <f>GroupData!A6</f>
        <v>+</v>
      </c>
      <c r="B19" t="str">
        <f>GroupData!B6</f>
        <v>10Hz</v>
      </c>
      <c r="C19" t="str">
        <f>GroupData!C6</f>
        <v>NoTreatment</v>
      </c>
      <c r="D19">
        <f>GroupData!D6</f>
        <v>0.875</v>
      </c>
      <c r="E19">
        <f>GroupData!E6</f>
        <v>0.83676470588235285</v>
      </c>
      <c r="F19">
        <f>GroupData!F6</f>
        <v>1.3464239658961622E-2</v>
      </c>
      <c r="G19">
        <f>GroupData!G6</f>
        <v>0.6</v>
      </c>
      <c r="H19">
        <f>GroupData!H6</f>
        <v>0.57689075630252107</v>
      </c>
      <c r="I19">
        <f>GroupData!I6</f>
        <v>6.4288068125350562E-3</v>
      </c>
      <c r="J19">
        <f>GroupData!J6</f>
        <v>0.4</v>
      </c>
      <c r="K19">
        <f>GroupData!K6</f>
        <v>0.42310924369747893</v>
      </c>
      <c r="L19">
        <f>GroupData!L6</f>
        <v>6.4288068125350562E-3</v>
      </c>
      <c r="M19">
        <f>GroupData!M6</f>
        <v>0.125</v>
      </c>
      <c r="N19">
        <f>GroupData!N6</f>
        <v>0.16323529411764706</v>
      </c>
      <c r="O19">
        <f>GroupData!O6</f>
        <v>1.3464239658961636E-2</v>
      </c>
      <c r="P19">
        <f>GroupData!P6</f>
        <v>0.31428571428571433</v>
      </c>
      <c r="Q19">
        <f>GroupData!Q6</f>
        <v>0.30984128266691291</v>
      </c>
      <c r="R19">
        <f>GroupData!R6</f>
        <v>8.858601539260106E-3</v>
      </c>
    </row>
    <row r="20" spans="1:18" x14ac:dyDescent="0.2">
      <c r="A20" t="str">
        <f>GroupData!A36</f>
        <v>+</v>
      </c>
      <c r="B20" t="str">
        <f>GroupData!B36</f>
        <v>10Hz</v>
      </c>
      <c r="C20" t="str">
        <f>GroupData!C36</f>
        <v>Ctrl-Oral</v>
      </c>
      <c r="D20">
        <f>GroupData!D36</f>
        <v>0.88235294117647056</v>
      </c>
      <c r="E20">
        <f>GroupData!E36</f>
        <v>0.85738795518207289</v>
      </c>
      <c r="F20">
        <f>GroupData!F36</f>
        <v>9.6649347553569159E-3</v>
      </c>
      <c r="G20">
        <f>GroupData!G36</f>
        <v>0.6</v>
      </c>
      <c r="H20">
        <f>GroupData!H36</f>
        <v>0.56796218487394967</v>
      </c>
      <c r="I20">
        <f>GroupData!I36</f>
        <v>1.7487434041328759E-2</v>
      </c>
      <c r="J20">
        <f>GroupData!J36</f>
        <v>0.4</v>
      </c>
      <c r="K20">
        <f>GroupData!K36</f>
        <v>0.43203781512605038</v>
      </c>
      <c r="L20">
        <f>GroupData!L36</f>
        <v>1.7487434041328933E-2</v>
      </c>
      <c r="M20">
        <f>GroupData!M36</f>
        <v>0.11764705882352941</v>
      </c>
      <c r="N20">
        <f>GroupData!N36</f>
        <v>0.14261204481792716</v>
      </c>
      <c r="O20">
        <f>GroupData!O36</f>
        <v>9.6649347553569402E-3</v>
      </c>
      <c r="P20">
        <f>GroupData!P36</f>
        <v>0.32</v>
      </c>
      <c r="Q20">
        <f>GroupData!Q36</f>
        <v>0.33727283220980692</v>
      </c>
      <c r="R20">
        <f>GroupData!R36</f>
        <v>2.0484412688041482E-2</v>
      </c>
    </row>
    <row r="21" spans="1:18" x14ac:dyDescent="0.2">
      <c r="A21" t="str">
        <f>GroupData!A38</f>
        <v>+</v>
      </c>
      <c r="B21" t="str">
        <f>GroupData!B38</f>
        <v>10Hz</v>
      </c>
      <c r="C21" t="str">
        <f>GroupData!C38</f>
        <v>BI 2.5</v>
      </c>
      <c r="D21">
        <f>GroupData!D38</f>
        <v>0.88235294117647056</v>
      </c>
      <c r="E21">
        <f>GroupData!E38</f>
        <v>0.90997899159663853</v>
      </c>
      <c r="F21">
        <f>GroupData!F38</f>
        <v>1.1676182800149492E-2</v>
      </c>
      <c r="G21">
        <f>GroupData!G38</f>
        <v>0.4375</v>
      </c>
      <c r="H21">
        <f>GroupData!H38</f>
        <v>0.43746498599439781</v>
      </c>
      <c r="I21">
        <f>GroupData!I38</f>
        <v>1.0928120604575486E-2</v>
      </c>
      <c r="J21">
        <f>GroupData!J38</f>
        <v>0.5625</v>
      </c>
      <c r="K21">
        <f>GroupData!K38</f>
        <v>0.56253501400560224</v>
      </c>
      <c r="L21">
        <f>GroupData!L38</f>
        <v>1.0928120604575486E-2</v>
      </c>
      <c r="M21">
        <f>GroupData!M38</f>
        <v>0.11764705882352941</v>
      </c>
      <c r="N21">
        <f>GroupData!N38</f>
        <v>9.0021008403361344E-2</v>
      </c>
      <c r="O21">
        <f>GroupData!O38</f>
        <v>1.1676182800149499E-2</v>
      </c>
      <c r="P21">
        <f>GroupData!P38</f>
        <v>0.50416666666666665</v>
      </c>
      <c r="Q21">
        <f>GroupData!Q38</f>
        <v>0.51867326417746595</v>
      </c>
      <c r="R21">
        <f>GroupData!R38</f>
        <v>1.3350336657326866E-2</v>
      </c>
    </row>
    <row r="22" spans="1:18" x14ac:dyDescent="0.2">
      <c r="A22" t="str">
        <f>GroupData!A40</f>
        <v>+</v>
      </c>
      <c r="B22" t="str">
        <f>GroupData!B40</f>
        <v>10Hz</v>
      </c>
      <c r="C22" t="str">
        <f>GroupData!C40</f>
        <v>BI 7.5</v>
      </c>
      <c r="D22">
        <f>GroupData!D40</f>
        <v>0.8666666666666667</v>
      </c>
      <c r="E22">
        <f>GroupData!E40</f>
        <v>0.88259803921568625</v>
      </c>
      <c r="F22">
        <f>GroupData!F40</f>
        <v>8.6838969355456513E-3</v>
      </c>
      <c r="G22">
        <f>GroupData!G40</f>
        <v>0.33333333333333331</v>
      </c>
      <c r="H22">
        <f>GroupData!H40</f>
        <v>0.33375350140056026</v>
      </c>
      <c r="I22">
        <f>GroupData!I40</f>
        <v>1.7128736612820574E-2</v>
      </c>
      <c r="J22">
        <f>GroupData!J40</f>
        <v>0.66666666666666663</v>
      </c>
      <c r="K22">
        <f>GroupData!K40</f>
        <v>0.66624649859943985</v>
      </c>
      <c r="L22">
        <f>GroupData!L40</f>
        <v>1.7128736612820637E-2</v>
      </c>
      <c r="M22">
        <f>GroupData!M40</f>
        <v>0.13333333333333333</v>
      </c>
      <c r="N22">
        <f>GroupData!N40</f>
        <v>0.11740196078431372</v>
      </c>
      <c r="O22">
        <f>GroupData!O40</f>
        <v>8.6838969355456808E-3</v>
      </c>
      <c r="P22">
        <f>GroupData!P40</f>
        <v>0.61538461538461531</v>
      </c>
      <c r="Q22">
        <f>GroupData!Q40</f>
        <v>0.62129774986917841</v>
      </c>
      <c r="R22">
        <f>GroupData!R40</f>
        <v>2.0705534974953834E-2</v>
      </c>
    </row>
    <row r="23" spans="1:18" x14ac:dyDescent="0.2">
      <c r="A23" t="str">
        <f>GroupData!A42</f>
        <v>+</v>
      </c>
      <c r="B23" t="str">
        <f>GroupData!B42</f>
        <v>10Hz</v>
      </c>
      <c r="C23" t="str">
        <f>GroupData!C42</f>
        <v>BI 12.5</v>
      </c>
      <c r="D23">
        <f>GroupData!D42</f>
        <v>0.875</v>
      </c>
      <c r="E23">
        <f>GroupData!E42</f>
        <v>0.84628851540616246</v>
      </c>
      <c r="F23">
        <f>GroupData!F42</f>
        <v>1.2609167992194623E-2</v>
      </c>
      <c r="G23">
        <f>GroupData!G42</f>
        <v>0.25</v>
      </c>
      <c r="H23">
        <f>GroupData!H42</f>
        <v>0.2255952380952381</v>
      </c>
      <c r="I23">
        <f>GroupData!I42</f>
        <v>1.7865644234847589E-2</v>
      </c>
      <c r="J23">
        <f>GroupData!J42</f>
        <v>0.75</v>
      </c>
      <c r="K23">
        <f>GroupData!K42</f>
        <v>0.77440476190476193</v>
      </c>
      <c r="L23">
        <f>GroupData!L42</f>
        <v>1.7865644234847562E-2</v>
      </c>
      <c r="M23">
        <f>GroupData!M42</f>
        <v>0.125</v>
      </c>
      <c r="N23">
        <f>GroupData!N42</f>
        <v>0.15371148459383752</v>
      </c>
      <c r="O23">
        <f>GroupData!O42</f>
        <v>1.2609167992194642E-2</v>
      </c>
      <c r="P23">
        <f>GroupData!P42</f>
        <v>0.7142857142857143</v>
      </c>
      <c r="Q23">
        <f>GroupData!Q42</f>
        <v>0.73163919413919409</v>
      </c>
      <c r="R23">
        <f>GroupData!R42</f>
        <v>2.3368075886637932E-2</v>
      </c>
    </row>
  </sheetData>
  <sortState xmlns:xlrd2="http://schemas.microsoft.com/office/spreadsheetml/2017/richdata2" ref="A2:R23">
    <sortCondition ref="A2:A2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RawData</vt:lpstr>
      <vt:lpstr>GroupData</vt:lpstr>
      <vt:lpstr>Amph_Plots</vt:lpstr>
      <vt:lpstr>Atom_Plots</vt:lpstr>
      <vt:lpstr>BI_Plots</vt:lpstr>
    </vt:vector>
  </TitlesOfParts>
  <Company>Stanford SoM - IRT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de Lecea</cp:lastModifiedBy>
  <dcterms:created xsi:type="dcterms:W3CDTF">2018-11-29T02:14:43Z</dcterms:created>
  <dcterms:modified xsi:type="dcterms:W3CDTF">2020-07-22T02:55:54Z</dcterms:modified>
</cp:coreProperties>
</file>