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ohnskal/Documents/Paper Figures/ΟGDHc Paper/complete_draft/Skalidis_Kyrilis_Tueting_et_al_2022/tables/"/>
    </mc:Choice>
  </mc:AlternateContent>
  <xr:revisionPtr revIDLastSave="0" documentId="13_ncr:1_{96BC8FDA-362B-914C-9FD4-976A93C4EE55}" xr6:coauthVersionLast="47" xr6:coauthVersionMax="47" xr10:uidLastSave="{00000000-0000-0000-0000-000000000000}"/>
  <bookViews>
    <workbookView xWindow="15200" yWindow="6200" windowWidth="28040" windowHeight="17440" xr2:uid="{0EF81FED-7B81-BF46-A894-ABD03E9BFBB5}"/>
  </bookViews>
  <sheets>
    <sheet name="Description" sheetId="7" r:id="rId1"/>
    <sheet name="E1o_fits" sheetId="1" r:id="rId2"/>
    <sheet name="E3_fits" sheetId="2" r:id="rId3"/>
    <sheet name="Distance_calculations" sheetId="3" r:id="rId4"/>
    <sheet name="Full_distances_table" sheetId="6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4" i="6" l="1"/>
  <c r="H14" i="6"/>
  <c r="E14" i="6"/>
  <c r="F14" i="6"/>
  <c r="G13" i="6"/>
  <c r="H13" i="6"/>
  <c r="E13" i="6"/>
  <c r="F13" i="6"/>
  <c r="G12" i="6"/>
  <c r="H12" i="6"/>
  <c r="E12" i="6"/>
  <c r="F12" i="6"/>
  <c r="C13" i="6"/>
  <c r="C14" i="6"/>
  <c r="B14" i="6"/>
  <c r="B13" i="6"/>
  <c r="W24" i="3"/>
  <c r="W23" i="3"/>
  <c r="V24" i="3"/>
  <c r="V23" i="3"/>
  <c r="U24" i="3"/>
  <c r="U23" i="3"/>
  <c r="T24" i="3"/>
  <c r="T23" i="3"/>
  <c r="W22" i="3"/>
  <c r="V22" i="3"/>
  <c r="U22" i="3"/>
  <c r="T22" i="3"/>
  <c r="C34" i="3"/>
  <c r="B34" i="3"/>
  <c r="AD14" i="3"/>
  <c r="AE14" i="3" s="1"/>
  <c r="W14" i="3"/>
  <c r="X14" i="3" s="1"/>
  <c r="AD7" i="3"/>
  <c r="AE7" i="3" s="1"/>
  <c r="W7" i="3"/>
  <c r="X7" i="3" s="1"/>
  <c r="D2" i="3"/>
  <c r="K6" i="3"/>
  <c r="V4" i="3" s="1"/>
  <c r="W4" i="3" s="1"/>
  <c r="X4" i="3" s="1"/>
  <c r="K7" i="3"/>
  <c r="V10" i="3" s="1"/>
  <c r="W10" i="3" s="1"/>
  <c r="X10" i="3" s="1"/>
  <c r="P7" i="3"/>
  <c r="AC12" i="3" s="1"/>
  <c r="AD12" i="3" s="1"/>
  <c r="AE12" i="3" s="1"/>
  <c r="P6" i="3"/>
  <c r="AC5" i="3" s="1"/>
  <c r="AD5" i="3" s="1"/>
  <c r="AE5" i="3" s="1"/>
  <c r="F30" i="3"/>
  <c r="F31" i="3"/>
  <c r="F22" i="3"/>
  <c r="F21" i="3"/>
  <c r="C31" i="3"/>
  <c r="C30" i="3"/>
  <c r="B31" i="3"/>
  <c r="B30" i="3"/>
  <c r="C22" i="3"/>
  <c r="B22" i="3"/>
  <c r="C21" i="3"/>
  <c r="B21" i="3"/>
  <c r="F13" i="3"/>
  <c r="B6" i="3"/>
  <c r="D9" i="3" s="1"/>
  <c r="AC10" i="3" l="1"/>
  <c r="AD10" i="3" s="1"/>
  <c r="AE10" i="3" s="1"/>
  <c r="V13" i="3"/>
  <c r="W13" i="3" s="1"/>
  <c r="X13" i="3" s="1"/>
  <c r="V12" i="3"/>
  <c r="W12" i="3" s="1"/>
  <c r="X12" i="3" s="1"/>
  <c r="V11" i="3"/>
  <c r="W11" i="3" s="1"/>
  <c r="X11" i="3" s="1"/>
  <c r="AC11" i="3"/>
  <c r="AD11" i="3" s="1"/>
  <c r="AE11" i="3" s="1"/>
  <c r="AC4" i="3"/>
  <c r="AD4" i="3" s="1"/>
  <c r="AE4" i="3" s="1"/>
  <c r="V3" i="3"/>
  <c r="W3" i="3" s="1"/>
  <c r="X3" i="3" s="1"/>
  <c r="V6" i="3"/>
  <c r="W6" i="3" s="1"/>
  <c r="X6" i="3" s="1"/>
  <c r="AC3" i="3"/>
  <c r="AD3" i="3" s="1"/>
  <c r="AE3" i="3" s="1"/>
  <c r="V5" i="3"/>
  <c r="W5" i="3" s="1"/>
  <c r="X5" i="3" s="1"/>
  <c r="AC6" i="3"/>
  <c r="AD6" i="3" s="1"/>
  <c r="AE6" i="3" s="1"/>
  <c r="AC13" i="3"/>
  <c r="AD13" i="3" s="1"/>
  <c r="AE13" i="3" s="1"/>
  <c r="D12" i="3"/>
  <c r="E12" i="3" s="1"/>
  <c r="F12" i="3" s="1"/>
  <c r="D11" i="3"/>
  <c r="E11" i="3" s="1"/>
  <c r="F11" i="3" s="1"/>
  <c r="E9" i="3"/>
  <c r="F9" i="3" s="1"/>
  <c r="D10" i="3"/>
  <c r="E10" i="3" s="1"/>
  <c r="F10" i="3" s="1"/>
</calcChain>
</file>

<file path=xl/sharedStrings.xml><?xml version="1.0" encoding="utf-8"?>
<sst xmlns="http://schemas.openxmlformats.org/spreadsheetml/2006/main" count="200" uniqueCount="105">
  <si>
    <t>External</t>
  </si>
  <si>
    <t>Core</t>
  </si>
  <si>
    <t>a.a number</t>
  </si>
  <si>
    <t>ν</t>
  </si>
  <si>
    <t>Ro</t>
  </si>
  <si>
    <t>Å</t>
  </si>
  <si>
    <t>natively folded</t>
  </si>
  <si>
    <t>unfolded</t>
  </si>
  <si>
    <t>pre-molten globule</t>
  </si>
  <si>
    <t>molten globule</t>
  </si>
  <si>
    <t>Log MW</t>
  </si>
  <si>
    <t>MW (Da)</t>
  </si>
  <si>
    <t>Rs IDP</t>
  </si>
  <si>
    <t>Log Rs</t>
  </si>
  <si>
    <t>idp</t>
  </si>
  <si>
    <t>Rs (Å)</t>
  </si>
  <si>
    <t>Measured (experimentally)</t>
  </si>
  <si>
    <t xml:space="preserve">E1 to E2 lipoyllysine distance (Å) </t>
  </si>
  <si>
    <t>E2 to E3 lipoyllysine distance (Å)</t>
  </si>
  <si>
    <t>average</t>
  </si>
  <si>
    <t>st.dev</t>
  </si>
  <si>
    <t>completly linear:</t>
  </si>
  <si>
    <t>completly a-helical:</t>
  </si>
  <si>
    <t>completly b-sheet:</t>
  </si>
  <si>
    <t>Theoretical</t>
  </si>
  <si>
    <t>full linker</t>
  </si>
  <si>
    <t>1st proximal E2o trimer monomer</t>
  </si>
  <si>
    <t>2nd proximal E2o trimer monomer</t>
  </si>
  <si>
    <t>3rd proximal E2o trimer monomer</t>
  </si>
  <si>
    <t>E1 to E3 lipoyllysine distance (Å)</t>
  </si>
  <si>
    <t xml:space="preserve">1st proximal E3 (Fit based) </t>
  </si>
  <si>
    <t xml:space="preserve">2nd proximal E3 (Fit based) </t>
  </si>
  <si>
    <t xml:space="preserve">3rd proximal E3 (Fit based) </t>
  </si>
  <si>
    <t xml:space="preserve">E2 N-ter to E1 bound LD C-ter (Å) </t>
  </si>
  <si>
    <t xml:space="preserve">E2 N-ter to E3 bound LD C-ter (Å) </t>
  </si>
  <si>
    <t xml:space="preserve">E1 bound LD C-ter to E3 bound LD C-ter (Å) </t>
  </si>
  <si>
    <t>D (2 times Rs) (Å)</t>
  </si>
  <si>
    <r>
      <rPr>
        <u/>
        <sz val="12"/>
        <color theme="1"/>
        <rFont val="Calibri (Body)"/>
      </rPr>
      <t>Linear</t>
    </r>
    <r>
      <rPr>
        <sz val="12"/>
        <color theme="1"/>
        <rFont val="Calibri"/>
        <family val="2"/>
        <scheme val="minor"/>
      </rPr>
      <t>: 3.8 Å per peptide bond</t>
    </r>
  </si>
  <si>
    <r>
      <rPr>
        <u/>
        <sz val="12"/>
        <color theme="1"/>
        <rFont val="Calibri (Body)"/>
      </rPr>
      <t>Helical</t>
    </r>
    <r>
      <rPr>
        <sz val="12"/>
        <color theme="1"/>
        <rFont val="Calibri"/>
        <family val="2"/>
        <scheme val="minor"/>
      </rPr>
      <t>: 15 Å per 10 residues (1.5 Å per peptide bond)</t>
    </r>
  </si>
  <si>
    <r>
      <rPr>
        <u/>
        <sz val="12"/>
        <color theme="1"/>
        <rFont val="Calibri (Body)"/>
      </rPr>
      <t>Sheet</t>
    </r>
    <r>
      <rPr>
        <sz val="12"/>
        <color theme="1"/>
        <rFont val="Calibri"/>
        <family val="2"/>
        <scheme val="minor"/>
      </rPr>
      <t>: 3.2 - 3.4 Å per peptide bond</t>
    </r>
  </si>
  <si>
    <t>E2 to E1 crosslinked K</t>
  </si>
  <si>
    <t>First</t>
  </si>
  <si>
    <t>Last</t>
  </si>
  <si>
    <t>Max. linker residues</t>
  </si>
  <si>
    <t>Min. linker residues</t>
  </si>
  <si>
    <t>Max. MW (Da)</t>
  </si>
  <si>
    <t>Min. MW (Da)</t>
  </si>
  <si>
    <t>Log Min. MW</t>
  </si>
  <si>
    <t>Log Max. MW</t>
  </si>
  <si>
    <t>E2 to E3 crosslinked K</t>
  </si>
  <si>
    <t>Min E2-E1 (crosslinked)</t>
  </si>
  <si>
    <t>Max E2-E1 (crosslinked)</t>
  </si>
  <si>
    <t>Min E2-E3 (crosslinked)</t>
  </si>
  <si>
    <t>Max E2-E3 (crosslinked)</t>
  </si>
  <si>
    <t>Min E2-E1 linker</t>
  </si>
  <si>
    <t>Max E2-E1 linker</t>
  </si>
  <si>
    <t>Min E2-E3 linker</t>
  </si>
  <si>
    <t>Max E2-E3 linker</t>
  </si>
  <si>
    <t>Linker distances calculated to first experimentally observed ordered residue of the E2o (E188)</t>
  </si>
  <si>
    <t>constant</t>
  </si>
  <si>
    <t>experimental n-ter to c-ter</t>
  </si>
  <si>
    <t>experimenta lipoyllysine distance</t>
  </si>
  <si>
    <t>E1-E2</t>
  </si>
  <si>
    <t>E1-E3</t>
  </si>
  <si>
    <t>E2-E3</t>
  </si>
  <si>
    <t>E1-E2 XL Max</t>
  </si>
  <si>
    <t>E1-E2 XL Min</t>
  </si>
  <si>
    <t>E2-E3 XL Max</t>
  </si>
  <si>
    <t>E2-E3 XL Min</t>
  </si>
  <si>
    <t>George and Heringa</t>
  </si>
  <si>
    <t>G&amp;H min</t>
  </si>
  <si>
    <t>G&amp;H max</t>
  </si>
  <si>
    <t>full linker completly linear</t>
  </si>
  <si>
    <t>full linker completly b-sheet</t>
  </si>
  <si>
    <t>full linker completly a-helical</t>
  </si>
  <si>
    <t>Anova: Single Factor</t>
  </si>
  <si>
    <t>SUMMARY</t>
  </si>
  <si>
    <t>Groups</t>
  </si>
  <si>
    <t>Count</t>
  </si>
  <si>
    <t>Sum</t>
  </si>
  <si>
    <t>Average</t>
  </si>
  <si>
    <t>Variance</t>
  </si>
  <si>
    <t>ANOVA</t>
  </si>
  <si>
    <t>Source of Variation</t>
  </si>
  <si>
    <t>SS</t>
  </si>
  <si>
    <t>df</t>
  </si>
  <si>
    <t>MS</t>
  </si>
  <si>
    <t>F</t>
  </si>
  <si>
    <t>P-value</t>
  </si>
  <si>
    <t>F crit</t>
  </si>
  <si>
    <t>Between Groups</t>
  </si>
  <si>
    <t>Within Groups</t>
  </si>
  <si>
    <t>Total</t>
  </si>
  <si>
    <t>George and Heringa (Linker-PDB)</t>
  </si>
  <si>
    <t>G&amp;H (Linker-PDB) min</t>
  </si>
  <si>
    <t>G&amp;H (Linker-PDB) max</t>
  </si>
  <si>
    <t>Sheet description</t>
  </si>
  <si>
    <t>E1o_fits</t>
  </si>
  <si>
    <t>E3_fits</t>
  </si>
  <si>
    <t>Distance_calculations</t>
  </si>
  <si>
    <t>Full_distances_table</t>
  </si>
  <si>
    <t>Cross-correlation scores of E1o dimer fits after a search of 100 fits in ChimeraX, separated by OGDHc region (core densities, external densities) and statistical significance test</t>
  </si>
  <si>
    <t>Cross-correlation scores of E3 dimer fits after a search of 100 fits in ChimeraX, separated by OGDHc region (core densities, external densities) and statistical significance test</t>
  </si>
  <si>
    <r>
      <t xml:space="preserve">Theoretical and experimental distance calculations for E2o flexible, </t>
    </r>
    <r>
      <rPr>
        <i/>
        <sz val="12"/>
        <color theme="1"/>
        <rFont val="Calibri"/>
        <family val="2"/>
        <scheme val="minor"/>
      </rPr>
      <t xml:space="preserve">N-ter </t>
    </r>
    <r>
      <rPr>
        <sz val="12"/>
        <color theme="1"/>
        <rFont val="Calibri"/>
        <family val="2"/>
        <scheme val="minor"/>
      </rPr>
      <t>linker</t>
    </r>
  </si>
  <si>
    <t>Table of all calculated distances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</si>
</sst>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u/>
      <sz val="12"/>
      <color theme="1"/>
      <name val="Calibri (Body)"/>
    </font>
    <font>
      <sz val="12"/>
      <color rgb="FF000000"/>
      <name val="Calibri"/>
      <family val="2"/>
      <scheme val="minor"/>
    </font>
    <font>
      <i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0" fillId="0" borderId="0" xfId="0" applyFont="1" applyAlignment="1"/>
    <xf numFmtId="0" fontId="4" fillId="0" borderId="0" xfId="0" applyFont="1"/>
    <xf numFmtId="1" fontId="4" fillId="0" borderId="0" xfId="0" applyNumberFormat="1" applyFont="1"/>
    <xf numFmtId="1" fontId="0" fillId="0" borderId="0" xfId="0" applyNumberFormat="1"/>
    <xf numFmtId="0" fontId="0" fillId="0" borderId="0" xfId="0" applyFill="1" applyBorder="1" applyAlignment="1"/>
    <xf numFmtId="0" fontId="0" fillId="0" borderId="1" xfId="0" applyFill="1" applyBorder="1" applyAlignment="1"/>
    <xf numFmtId="0" fontId="5" fillId="0" borderId="2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1" fillId="2" borderId="0" xfId="0" applyFont="1" applyFill="1"/>
    <xf numFmtId="0" fontId="0" fillId="3" borderId="0" xfId="0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E1CDB1-DECA-BF42-9681-AB8DDF110B37}">
  <dimension ref="A1:B6"/>
  <sheetViews>
    <sheetView tabSelected="1" workbookViewId="0">
      <selection activeCell="B7" sqref="B7"/>
    </sheetView>
  </sheetViews>
  <sheetFormatPr baseColWidth="10" defaultRowHeight="16" x14ac:dyDescent="0.2"/>
  <cols>
    <col min="1" max="1" width="23.5" customWidth="1"/>
  </cols>
  <sheetData>
    <row r="1" spans="1:2" x14ac:dyDescent="0.2">
      <c r="A1" s="16" t="s">
        <v>96</v>
      </c>
    </row>
    <row r="3" spans="1:2" x14ac:dyDescent="0.2">
      <c r="A3" s="1" t="s">
        <v>97</v>
      </c>
      <c r="B3" t="s">
        <v>101</v>
      </c>
    </row>
    <row r="4" spans="1:2" x14ac:dyDescent="0.2">
      <c r="A4" s="1" t="s">
        <v>98</v>
      </c>
      <c r="B4" t="s">
        <v>102</v>
      </c>
    </row>
    <row r="5" spans="1:2" x14ac:dyDescent="0.2">
      <c r="A5" s="1" t="s">
        <v>99</v>
      </c>
      <c r="B5" t="s">
        <v>103</v>
      </c>
    </row>
    <row r="6" spans="1:2" x14ac:dyDescent="0.2">
      <c r="A6" s="1" t="s">
        <v>100</v>
      </c>
      <c r="B6" t="s">
        <v>104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58043D-10FD-3C43-9753-2F68E44BC37F}">
  <dimension ref="A1:J58"/>
  <sheetViews>
    <sheetView zoomScale="110" zoomScaleNormal="110" workbookViewId="0">
      <selection activeCell="G17" sqref="G17"/>
    </sheetView>
  </sheetViews>
  <sheetFormatPr baseColWidth="10" defaultRowHeight="16" x14ac:dyDescent="0.2"/>
  <cols>
    <col min="4" max="4" width="16.83203125" customWidth="1"/>
  </cols>
  <sheetData>
    <row r="1" spans="1:10" x14ac:dyDescent="0.2">
      <c r="A1" t="s">
        <v>0</v>
      </c>
      <c r="B1" t="s">
        <v>1</v>
      </c>
      <c r="D1" t="s">
        <v>75</v>
      </c>
    </row>
    <row r="2" spans="1:10" x14ac:dyDescent="0.2">
      <c r="A2">
        <v>0.87939999999999996</v>
      </c>
      <c r="B2">
        <v>0.8054</v>
      </c>
    </row>
    <row r="3" spans="1:10" ht="17" thickBot="1" x14ac:dyDescent="0.25">
      <c r="A3">
        <v>0.87760000000000005</v>
      </c>
      <c r="B3">
        <v>0.8054</v>
      </c>
      <c r="D3" t="s">
        <v>76</v>
      </c>
    </row>
    <row r="4" spans="1:10" x14ac:dyDescent="0.2">
      <c r="A4">
        <v>0.87729999999999997</v>
      </c>
      <c r="B4">
        <v>0.80400000000000005</v>
      </c>
      <c r="D4" s="13" t="s">
        <v>77</v>
      </c>
      <c r="E4" s="13" t="s">
        <v>78</v>
      </c>
      <c r="F4" s="13" t="s">
        <v>79</v>
      </c>
      <c r="G4" s="13" t="s">
        <v>80</v>
      </c>
      <c r="H4" s="13" t="s">
        <v>81</v>
      </c>
    </row>
    <row r="5" spans="1:10" x14ac:dyDescent="0.2">
      <c r="A5">
        <v>0.87719999999999998</v>
      </c>
      <c r="B5">
        <v>0.80400000000000005</v>
      </c>
      <c r="D5" s="11" t="s">
        <v>0</v>
      </c>
      <c r="E5" s="11">
        <v>48</v>
      </c>
      <c r="F5" s="11">
        <v>39.900800000000004</v>
      </c>
      <c r="G5" s="11">
        <v>0.83126666666666671</v>
      </c>
      <c r="H5" s="11">
        <v>6.546409929078015E-4</v>
      </c>
    </row>
    <row r="6" spans="1:10" ht="17" thickBot="1" x14ac:dyDescent="0.25">
      <c r="A6">
        <v>0.87690000000000001</v>
      </c>
      <c r="B6">
        <v>0.80400000000000005</v>
      </c>
      <c r="D6" s="12" t="s">
        <v>1</v>
      </c>
      <c r="E6" s="12">
        <v>40</v>
      </c>
      <c r="F6" s="12">
        <v>30.932499999999997</v>
      </c>
      <c r="G6" s="12">
        <v>0.77331249999999996</v>
      </c>
      <c r="H6" s="12">
        <v>7.8179342948717957E-4</v>
      </c>
    </row>
    <row r="7" spans="1:10" x14ac:dyDescent="0.2">
      <c r="A7">
        <v>0.87460000000000004</v>
      </c>
      <c r="B7">
        <v>0.80400000000000005</v>
      </c>
    </row>
    <row r="8" spans="1:10" x14ac:dyDescent="0.2">
      <c r="A8">
        <v>0.86890000000000001</v>
      </c>
      <c r="B8">
        <v>0.79659999999999997</v>
      </c>
    </row>
    <row r="9" spans="1:10" ht="17" thickBot="1" x14ac:dyDescent="0.25">
      <c r="A9">
        <v>0.86109999999999998</v>
      </c>
      <c r="B9">
        <v>0.79659999999999997</v>
      </c>
      <c r="D9" t="s">
        <v>82</v>
      </c>
    </row>
    <row r="10" spans="1:10" x14ac:dyDescent="0.2">
      <c r="A10">
        <v>0.85250000000000004</v>
      </c>
      <c r="B10">
        <v>0.79659999999999997</v>
      </c>
      <c r="D10" s="13" t="s">
        <v>83</v>
      </c>
      <c r="E10" s="13" t="s">
        <v>84</v>
      </c>
      <c r="F10" s="13" t="s">
        <v>85</v>
      </c>
      <c r="G10" s="13" t="s">
        <v>86</v>
      </c>
      <c r="H10" s="13" t="s">
        <v>87</v>
      </c>
      <c r="I10" s="13" t="s">
        <v>88</v>
      </c>
      <c r="J10" s="13" t="s">
        <v>89</v>
      </c>
    </row>
    <row r="11" spans="1:10" x14ac:dyDescent="0.2">
      <c r="A11">
        <v>0.85199999999999998</v>
      </c>
      <c r="B11">
        <v>0.79659999999999997</v>
      </c>
      <c r="D11" s="11" t="s">
        <v>90</v>
      </c>
      <c r="E11" s="11">
        <v>7.3280409469696856E-2</v>
      </c>
      <c r="F11" s="11">
        <v>1</v>
      </c>
      <c r="G11" s="11">
        <v>7.3280409469696856E-2</v>
      </c>
      <c r="H11" s="11">
        <v>102.87812155244272</v>
      </c>
      <c r="I11" s="17">
        <v>2.3385453115749538E-16</v>
      </c>
      <c r="J11" s="11">
        <v>3.9518824083351602</v>
      </c>
    </row>
    <row r="12" spans="1:10" x14ac:dyDescent="0.2">
      <c r="A12">
        <v>0.8518</v>
      </c>
      <c r="B12">
        <v>0.79349999999999998</v>
      </c>
      <c r="D12" s="11" t="s">
        <v>91</v>
      </c>
      <c r="E12" s="11">
        <v>6.1258070416666671E-2</v>
      </c>
      <c r="F12" s="11">
        <v>86</v>
      </c>
      <c r="G12" s="11">
        <v>7.1230314437984506E-4</v>
      </c>
      <c r="H12" s="11"/>
      <c r="I12" s="11"/>
      <c r="J12" s="11"/>
    </row>
    <row r="13" spans="1:10" x14ac:dyDescent="0.2">
      <c r="A13">
        <v>0.8518</v>
      </c>
      <c r="B13">
        <v>0.79349999999999998</v>
      </c>
      <c r="D13" s="11"/>
      <c r="E13" s="11"/>
      <c r="F13" s="11"/>
      <c r="G13" s="11"/>
      <c r="H13" s="11"/>
      <c r="I13" s="11"/>
      <c r="J13" s="11"/>
    </row>
    <row r="14" spans="1:10" ht="17" thickBot="1" x14ac:dyDescent="0.25">
      <c r="A14">
        <v>0.8518</v>
      </c>
      <c r="B14">
        <v>0.79349999999999998</v>
      </c>
      <c r="D14" s="12" t="s">
        <v>92</v>
      </c>
      <c r="E14" s="12">
        <v>0.13453847988636353</v>
      </c>
      <c r="F14" s="12">
        <v>87</v>
      </c>
      <c r="G14" s="12"/>
      <c r="H14" s="12"/>
      <c r="I14" s="12"/>
      <c r="J14" s="12"/>
    </row>
    <row r="15" spans="1:10" x14ac:dyDescent="0.2">
      <c r="A15">
        <v>0.8518</v>
      </c>
      <c r="B15">
        <v>0.79320000000000002</v>
      </c>
    </row>
    <row r="16" spans="1:10" x14ac:dyDescent="0.2">
      <c r="A16">
        <v>0.8518</v>
      </c>
      <c r="B16">
        <v>0.79159999999999997</v>
      </c>
    </row>
    <row r="17" spans="1:2" x14ac:dyDescent="0.2">
      <c r="A17">
        <v>0.84809999999999997</v>
      </c>
      <c r="B17">
        <v>0.78979999999999995</v>
      </c>
    </row>
    <row r="18" spans="1:2" x14ac:dyDescent="0.2">
      <c r="A18">
        <v>0.84809999999999997</v>
      </c>
      <c r="B18">
        <v>0.78779999999999994</v>
      </c>
    </row>
    <row r="19" spans="1:2" x14ac:dyDescent="0.2">
      <c r="A19">
        <v>0.84770000000000001</v>
      </c>
      <c r="B19">
        <v>0.78779999999999994</v>
      </c>
    </row>
    <row r="20" spans="1:2" x14ac:dyDescent="0.2">
      <c r="A20">
        <v>0.83250000000000002</v>
      </c>
      <c r="B20">
        <v>0.78739999999999999</v>
      </c>
    </row>
    <row r="21" spans="1:2" x14ac:dyDescent="0.2">
      <c r="A21">
        <v>0.8175</v>
      </c>
      <c r="B21">
        <v>0.78010000000000002</v>
      </c>
    </row>
    <row r="22" spans="1:2" x14ac:dyDescent="0.2">
      <c r="A22">
        <v>0.81089999999999995</v>
      </c>
      <c r="B22">
        <v>0.77700000000000002</v>
      </c>
    </row>
    <row r="23" spans="1:2" x14ac:dyDescent="0.2">
      <c r="A23">
        <v>0.81089999999999995</v>
      </c>
      <c r="B23">
        <v>0.77700000000000002</v>
      </c>
    </row>
    <row r="24" spans="1:2" x14ac:dyDescent="0.2">
      <c r="A24">
        <v>0.83120000000000005</v>
      </c>
      <c r="B24">
        <v>0.7762</v>
      </c>
    </row>
    <row r="25" spans="1:2" x14ac:dyDescent="0.2">
      <c r="A25">
        <v>0.82669999999999999</v>
      </c>
      <c r="B25">
        <v>0.7762</v>
      </c>
    </row>
    <row r="26" spans="1:2" x14ac:dyDescent="0.2">
      <c r="A26">
        <v>0.8266</v>
      </c>
      <c r="B26">
        <v>0.77580000000000005</v>
      </c>
    </row>
    <row r="27" spans="1:2" x14ac:dyDescent="0.2">
      <c r="A27">
        <v>0.8266</v>
      </c>
      <c r="B27">
        <v>0.77580000000000005</v>
      </c>
    </row>
    <row r="28" spans="1:2" x14ac:dyDescent="0.2">
      <c r="A28">
        <v>0.81950000000000001</v>
      </c>
      <c r="B28">
        <v>0.77049999999999996</v>
      </c>
    </row>
    <row r="29" spans="1:2" x14ac:dyDescent="0.2">
      <c r="A29">
        <v>0.81920000000000004</v>
      </c>
      <c r="B29">
        <v>0.76319999999999999</v>
      </c>
    </row>
    <row r="30" spans="1:2" x14ac:dyDescent="0.2">
      <c r="A30">
        <v>0.81920000000000004</v>
      </c>
      <c r="B30">
        <v>0.75900000000000001</v>
      </c>
    </row>
    <row r="31" spans="1:2" x14ac:dyDescent="0.2">
      <c r="A31">
        <v>0.81820000000000004</v>
      </c>
      <c r="B31">
        <v>0.75529999999999997</v>
      </c>
    </row>
    <row r="32" spans="1:2" x14ac:dyDescent="0.2">
      <c r="A32">
        <v>0.81779999999999997</v>
      </c>
      <c r="B32">
        <v>0.74709999999999999</v>
      </c>
    </row>
    <row r="33" spans="1:2" x14ac:dyDescent="0.2">
      <c r="A33">
        <v>0.81479999999999997</v>
      </c>
      <c r="B33">
        <v>0.746</v>
      </c>
    </row>
    <row r="34" spans="1:2" x14ac:dyDescent="0.2">
      <c r="A34">
        <v>0.81410000000000005</v>
      </c>
      <c r="B34">
        <v>0.74150000000000005</v>
      </c>
    </row>
    <row r="35" spans="1:2" x14ac:dyDescent="0.2">
      <c r="A35">
        <v>0.81189999999999996</v>
      </c>
      <c r="B35">
        <v>0.73719999999999997</v>
      </c>
    </row>
    <row r="36" spans="1:2" x14ac:dyDescent="0.2">
      <c r="A36">
        <v>0.81069999999999998</v>
      </c>
      <c r="B36">
        <v>0.73329999999999995</v>
      </c>
    </row>
    <row r="37" spans="1:2" x14ac:dyDescent="0.2">
      <c r="A37">
        <v>0.80940000000000001</v>
      </c>
      <c r="B37">
        <v>0.73329999999999995</v>
      </c>
    </row>
    <row r="38" spans="1:2" x14ac:dyDescent="0.2">
      <c r="A38">
        <v>0.80940000000000001</v>
      </c>
      <c r="B38">
        <v>0.72419999999999995</v>
      </c>
    </row>
    <row r="39" spans="1:2" x14ac:dyDescent="0.2">
      <c r="A39">
        <v>0.80869999999999997</v>
      </c>
      <c r="B39">
        <v>0.72330000000000005</v>
      </c>
    </row>
    <row r="40" spans="1:2" x14ac:dyDescent="0.2">
      <c r="A40">
        <v>0.80869999999999997</v>
      </c>
      <c r="B40">
        <v>0.72330000000000005</v>
      </c>
    </row>
    <row r="41" spans="1:2" x14ac:dyDescent="0.2">
      <c r="A41">
        <v>0.80759999999999998</v>
      </c>
      <c r="B41">
        <v>0.70589999999999997</v>
      </c>
    </row>
    <row r="42" spans="1:2" x14ac:dyDescent="0.2">
      <c r="A42">
        <v>0.80710000000000004</v>
      </c>
    </row>
    <row r="43" spans="1:2" x14ac:dyDescent="0.2">
      <c r="A43">
        <v>0.80710000000000004</v>
      </c>
    </row>
    <row r="44" spans="1:2" x14ac:dyDescent="0.2">
      <c r="A44">
        <v>0.80610000000000004</v>
      </c>
    </row>
    <row r="45" spans="1:2" x14ac:dyDescent="0.2">
      <c r="A45">
        <v>0.80510000000000004</v>
      </c>
    </row>
    <row r="46" spans="1:2" x14ac:dyDescent="0.2">
      <c r="A46">
        <v>0.8014</v>
      </c>
    </row>
    <row r="47" spans="1:2" x14ac:dyDescent="0.2">
      <c r="A47">
        <v>0.80049999999999999</v>
      </c>
    </row>
    <row r="48" spans="1:2" x14ac:dyDescent="0.2">
      <c r="A48">
        <v>0.80049999999999999</v>
      </c>
    </row>
    <row r="49" spans="1:1" x14ac:dyDescent="0.2">
      <c r="A49">
        <v>0.80049999999999999</v>
      </c>
    </row>
    <row r="50" spans="1:1" x14ac:dyDescent="0.2">
      <c r="A50">
        <v>0.79979999999999996</v>
      </c>
    </row>
    <row r="51" spans="1:1" x14ac:dyDescent="0.2">
      <c r="A51">
        <v>0.79679999999999995</v>
      </c>
    </row>
    <row r="52" spans="1:1" x14ac:dyDescent="0.2">
      <c r="A52">
        <v>0.79679999999999995</v>
      </c>
    </row>
    <row r="53" spans="1:1" x14ac:dyDescent="0.2">
      <c r="A53">
        <v>0.79669999999999996</v>
      </c>
    </row>
    <row r="54" spans="1:1" x14ac:dyDescent="0.2">
      <c r="A54">
        <v>0.79100000000000004</v>
      </c>
    </row>
    <row r="55" spans="1:1" x14ac:dyDescent="0.2">
      <c r="A55">
        <v>0.78979999999999995</v>
      </c>
    </row>
    <row r="56" spans="1:1" x14ac:dyDescent="0.2">
      <c r="A56">
        <v>0.78879999999999995</v>
      </c>
    </row>
    <row r="57" spans="1:1" x14ac:dyDescent="0.2">
      <c r="A57">
        <v>0.7833</v>
      </c>
    </row>
    <row r="58" spans="1:1" x14ac:dyDescent="0.2">
      <c r="A58">
        <v>0.78090000000000004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AFBAEF-D2B1-0F4E-BC58-A6F0538D56C2}">
  <dimension ref="A1:J49"/>
  <sheetViews>
    <sheetView workbookViewId="0">
      <selection activeCell="G29" sqref="G29"/>
    </sheetView>
  </sheetViews>
  <sheetFormatPr baseColWidth="10" defaultRowHeight="16" x14ac:dyDescent="0.2"/>
  <cols>
    <col min="4" max="4" width="16.83203125" customWidth="1"/>
  </cols>
  <sheetData>
    <row r="1" spans="1:10" x14ac:dyDescent="0.2">
      <c r="A1" t="s">
        <v>0</v>
      </c>
      <c r="B1" t="s">
        <v>1</v>
      </c>
      <c r="D1" t="s">
        <v>75</v>
      </c>
    </row>
    <row r="2" spans="1:10" x14ac:dyDescent="0.2">
      <c r="A2">
        <v>0.91859999999999997</v>
      </c>
      <c r="B2">
        <v>0.86799999999999999</v>
      </c>
    </row>
    <row r="3" spans="1:10" ht="17" thickBot="1" x14ac:dyDescent="0.25">
      <c r="A3">
        <v>0.90780000000000005</v>
      </c>
      <c r="B3">
        <v>0.86750000000000005</v>
      </c>
      <c r="D3" t="s">
        <v>76</v>
      </c>
    </row>
    <row r="4" spans="1:10" x14ac:dyDescent="0.2">
      <c r="A4">
        <v>0.90720000000000001</v>
      </c>
      <c r="B4">
        <v>0.86750000000000005</v>
      </c>
      <c r="D4" s="13" t="s">
        <v>77</v>
      </c>
      <c r="E4" s="13" t="s">
        <v>78</v>
      </c>
      <c r="F4" s="13" t="s">
        <v>79</v>
      </c>
      <c r="G4" s="13" t="s">
        <v>80</v>
      </c>
      <c r="H4" s="13" t="s">
        <v>81</v>
      </c>
    </row>
    <row r="5" spans="1:10" x14ac:dyDescent="0.2">
      <c r="A5">
        <v>0.90559999999999996</v>
      </c>
      <c r="B5">
        <v>0.86129999999999995</v>
      </c>
      <c r="D5" s="11" t="s">
        <v>0</v>
      </c>
      <c r="E5" s="11">
        <v>48</v>
      </c>
      <c r="F5" s="11">
        <v>41.731800000000007</v>
      </c>
      <c r="G5" s="11">
        <v>0.86941250000000014</v>
      </c>
      <c r="H5" s="11">
        <v>7.4102707446808567E-4</v>
      </c>
    </row>
    <row r="6" spans="1:10" ht="17" thickBot="1" x14ac:dyDescent="0.25">
      <c r="A6">
        <v>0.90380000000000005</v>
      </c>
      <c r="B6">
        <v>0.85299999999999998</v>
      </c>
      <c r="D6" s="12" t="s">
        <v>1</v>
      </c>
      <c r="E6" s="12">
        <v>47</v>
      </c>
      <c r="F6" s="12">
        <v>38.713999999999992</v>
      </c>
      <c r="G6" s="12">
        <v>0.82370212765957429</v>
      </c>
      <c r="H6" s="12">
        <v>9.8421803885291375E-4</v>
      </c>
    </row>
    <row r="7" spans="1:10" x14ac:dyDescent="0.2">
      <c r="A7">
        <v>0.9022</v>
      </c>
      <c r="B7">
        <v>0.84819999999999995</v>
      </c>
    </row>
    <row r="8" spans="1:10" x14ac:dyDescent="0.2">
      <c r="A8">
        <v>0.89880000000000004</v>
      </c>
      <c r="B8">
        <v>0.84819999999999995</v>
      </c>
    </row>
    <row r="9" spans="1:10" ht="17" thickBot="1" x14ac:dyDescent="0.25">
      <c r="A9">
        <v>0.89880000000000004</v>
      </c>
      <c r="B9">
        <v>0.84819999999999995</v>
      </c>
      <c r="D9" t="s">
        <v>82</v>
      </c>
    </row>
    <row r="10" spans="1:10" x14ac:dyDescent="0.2">
      <c r="A10">
        <v>0.89880000000000004</v>
      </c>
      <c r="B10">
        <v>0.84819999999999995</v>
      </c>
      <c r="D10" s="13" t="s">
        <v>83</v>
      </c>
      <c r="E10" s="13" t="s">
        <v>84</v>
      </c>
      <c r="F10" s="13" t="s">
        <v>85</v>
      </c>
      <c r="G10" s="13" t="s">
        <v>86</v>
      </c>
      <c r="H10" s="13" t="s">
        <v>87</v>
      </c>
      <c r="I10" s="13" t="s">
        <v>88</v>
      </c>
      <c r="J10" s="13" t="s">
        <v>89</v>
      </c>
    </row>
    <row r="11" spans="1:10" x14ac:dyDescent="0.2">
      <c r="A11">
        <v>0.89880000000000004</v>
      </c>
      <c r="B11">
        <v>0.84209999999999996</v>
      </c>
      <c r="D11" s="11" t="s">
        <v>90</v>
      </c>
      <c r="E11" s="11">
        <v>4.9618657291713469E-2</v>
      </c>
      <c r="F11" s="11">
        <v>1</v>
      </c>
      <c r="G11" s="11">
        <v>4.9618657291713469E-2</v>
      </c>
      <c r="H11" s="11">
        <v>57.608021197472794</v>
      </c>
      <c r="I11" s="17">
        <v>2.4134467378593524E-11</v>
      </c>
      <c r="J11" s="11">
        <v>3.9434088458591683</v>
      </c>
    </row>
    <row r="12" spans="1:10" x14ac:dyDescent="0.2">
      <c r="A12">
        <v>0.89880000000000004</v>
      </c>
      <c r="B12">
        <v>0.8407</v>
      </c>
      <c r="D12" s="11" t="s">
        <v>91</v>
      </c>
      <c r="E12" s="11">
        <v>8.0102302287234056E-2</v>
      </c>
      <c r="F12" s="11">
        <v>93</v>
      </c>
      <c r="G12" s="11">
        <v>8.6131507835735541E-4</v>
      </c>
      <c r="H12" s="11"/>
      <c r="I12" s="11"/>
      <c r="J12" s="11"/>
    </row>
    <row r="13" spans="1:10" x14ac:dyDescent="0.2">
      <c r="A13">
        <v>0.89880000000000004</v>
      </c>
      <c r="B13">
        <v>0.84060000000000001</v>
      </c>
      <c r="D13" s="11"/>
      <c r="E13" s="11"/>
      <c r="F13" s="11"/>
      <c r="G13" s="11"/>
      <c r="H13" s="11"/>
      <c r="I13" s="11"/>
      <c r="J13" s="11"/>
    </row>
    <row r="14" spans="1:10" ht="17" thickBot="1" x14ac:dyDescent="0.25">
      <c r="A14">
        <v>0.89880000000000004</v>
      </c>
      <c r="B14">
        <v>0.84009999999999996</v>
      </c>
      <c r="D14" s="12" t="s">
        <v>92</v>
      </c>
      <c r="E14" s="12">
        <v>0.12972095957894753</v>
      </c>
      <c r="F14" s="12">
        <v>94</v>
      </c>
      <c r="G14" s="12"/>
      <c r="H14" s="12"/>
      <c r="I14" s="12"/>
      <c r="J14" s="12"/>
    </row>
    <row r="15" spans="1:10" x14ac:dyDescent="0.2">
      <c r="A15">
        <v>0.87960000000000005</v>
      </c>
      <c r="B15">
        <v>0.83689999999999998</v>
      </c>
    </row>
    <row r="16" spans="1:10" x14ac:dyDescent="0.2">
      <c r="A16">
        <v>0.87960000000000005</v>
      </c>
      <c r="B16">
        <v>0.83689999999999998</v>
      </c>
    </row>
    <row r="17" spans="1:2" x14ac:dyDescent="0.2">
      <c r="A17">
        <v>0.87960000000000005</v>
      </c>
      <c r="B17">
        <v>0.83689999999999998</v>
      </c>
    </row>
    <row r="18" spans="1:2" x14ac:dyDescent="0.2">
      <c r="A18">
        <v>0.87960000000000005</v>
      </c>
      <c r="B18">
        <v>0.83689999999999998</v>
      </c>
    </row>
    <row r="19" spans="1:2" x14ac:dyDescent="0.2">
      <c r="A19">
        <v>0.87960000000000005</v>
      </c>
      <c r="B19">
        <v>0.83689999999999998</v>
      </c>
    </row>
    <row r="20" spans="1:2" x14ac:dyDescent="0.2">
      <c r="A20">
        <v>0.88229999999999997</v>
      </c>
      <c r="B20">
        <v>0.83689999999999998</v>
      </c>
    </row>
    <row r="21" spans="1:2" x14ac:dyDescent="0.2">
      <c r="A21">
        <v>0.87870000000000004</v>
      </c>
      <c r="B21">
        <v>0.8367</v>
      </c>
    </row>
    <row r="22" spans="1:2" x14ac:dyDescent="0.2">
      <c r="A22">
        <v>0.87870000000000004</v>
      </c>
      <c r="B22">
        <v>0.83609999999999995</v>
      </c>
    </row>
    <row r="23" spans="1:2" x14ac:dyDescent="0.2">
      <c r="A23">
        <v>0.87870000000000004</v>
      </c>
      <c r="B23">
        <v>0.8357</v>
      </c>
    </row>
    <row r="24" spans="1:2" x14ac:dyDescent="0.2">
      <c r="A24">
        <v>0.871</v>
      </c>
      <c r="B24">
        <v>0.83499999999999996</v>
      </c>
    </row>
    <row r="25" spans="1:2" x14ac:dyDescent="0.2">
      <c r="A25">
        <v>0.86960000000000004</v>
      </c>
      <c r="B25">
        <v>0.83179999999999998</v>
      </c>
    </row>
    <row r="26" spans="1:2" x14ac:dyDescent="0.2">
      <c r="A26">
        <v>0.86209999999999998</v>
      </c>
      <c r="B26">
        <v>0.83179999999999998</v>
      </c>
    </row>
    <row r="27" spans="1:2" x14ac:dyDescent="0.2">
      <c r="A27">
        <v>0.86209999999999998</v>
      </c>
      <c r="B27">
        <v>0.82869999999999999</v>
      </c>
    </row>
    <row r="28" spans="1:2" x14ac:dyDescent="0.2">
      <c r="A28">
        <v>0.86209999999999998</v>
      </c>
      <c r="B28">
        <v>0.82869999999999999</v>
      </c>
    </row>
    <row r="29" spans="1:2" x14ac:dyDescent="0.2">
      <c r="A29">
        <v>0.86209999999999998</v>
      </c>
      <c r="B29">
        <v>0.82869999999999999</v>
      </c>
    </row>
    <row r="30" spans="1:2" x14ac:dyDescent="0.2">
      <c r="A30">
        <v>0.86209999999999998</v>
      </c>
      <c r="B30">
        <v>0.82869999999999999</v>
      </c>
    </row>
    <row r="31" spans="1:2" x14ac:dyDescent="0.2">
      <c r="A31">
        <v>0.86180000000000001</v>
      </c>
      <c r="B31">
        <v>0.82289999999999996</v>
      </c>
    </row>
    <row r="32" spans="1:2" x14ac:dyDescent="0.2">
      <c r="A32">
        <v>0.85660000000000003</v>
      </c>
      <c r="B32">
        <v>0.82040000000000002</v>
      </c>
    </row>
    <row r="33" spans="1:2" x14ac:dyDescent="0.2">
      <c r="A33">
        <v>0.85540000000000005</v>
      </c>
      <c r="B33">
        <v>0.81569999999999998</v>
      </c>
    </row>
    <row r="34" spans="1:2" x14ac:dyDescent="0.2">
      <c r="A34">
        <v>0.85540000000000005</v>
      </c>
      <c r="B34">
        <v>0.81530000000000002</v>
      </c>
    </row>
    <row r="35" spans="1:2" x14ac:dyDescent="0.2">
      <c r="A35">
        <v>0.85540000000000005</v>
      </c>
      <c r="B35">
        <v>0.81289999999999996</v>
      </c>
    </row>
    <row r="36" spans="1:2" x14ac:dyDescent="0.2">
      <c r="A36">
        <v>0.85489999999999999</v>
      </c>
      <c r="B36">
        <v>0.80779999999999996</v>
      </c>
    </row>
    <row r="37" spans="1:2" x14ac:dyDescent="0.2">
      <c r="A37">
        <v>0.85399999999999998</v>
      </c>
      <c r="B37">
        <v>0.80379999999999996</v>
      </c>
    </row>
    <row r="38" spans="1:2" x14ac:dyDescent="0.2">
      <c r="A38">
        <v>0.85399999999999998</v>
      </c>
      <c r="B38">
        <v>0.80379999999999996</v>
      </c>
    </row>
    <row r="39" spans="1:2" x14ac:dyDescent="0.2">
      <c r="A39">
        <v>0.85270000000000001</v>
      </c>
      <c r="B39">
        <v>0.80379999999999996</v>
      </c>
    </row>
    <row r="40" spans="1:2" x14ac:dyDescent="0.2">
      <c r="A40">
        <v>0.84960000000000002</v>
      </c>
      <c r="B40">
        <v>0.80130000000000001</v>
      </c>
    </row>
    <row r="41" spans="1:2" x14ac:dyDescent="0.2">
      <c r="A41">
        <v>0.84960000000000002</v>
      </c>
      <c r="B41">
        <v>0.80049999999999999</v>
      </c>
    </row>
    <row r="42" spans="1:2" x14ac:dyDescent="0.2">
      <c r="A42">
        <v>0.84670000000000001</v>
      </c>
      <c r="B42">
        <v>0.79679999999999995</v>
      </c>
    </row>
    <row r="43" spans="1:2" x14ac:dyDescent="0.2">
      <c r="A43">
        <v>0.84419999999999995</v>
      </c>
      <c r="B43">
        <v>0.79679999999999995</v>
      </c>
    </row>
    <row r="44" spans="1:2" x14ac:dyDescent="0.2">
      <c r="A44">
        <v>0.84109999999999996</v>
      </c>
      <c r="B44">
        <v>0.78879999999999995</v>
      </c>
    </row>
    <row r="45" spans="1:2" x14ac:dyDescent="0.2">
      <c r="A45">
        <v>0.83889999999999998</v>
      </c>
      <c r="B45">
        <v>0.77580000000000005</v>
      </c>
    </row>
    <row r="46" spans="1:2" x14ac:dyDescent="0.2">
      <c r="A46">
        <v>0.83550000000000002</v>
      </c>
      <c r="B46">
        <v>0.77569999999999995</v>
      </c>
    </row>
    <row r="47" spans="1:2" x14ac:dyDescent="0.2">
      <c r="A47">
        <v>0.8226</v>
      </c>
      <c r="B47">
        <v>0.76770000000000005</v>
      </c>
    </row>
    <row r="48" spans="1:2" x14ac:dyDescent="0.2">
      <c r="A48">
        <v>0.80769999999999997</v>
      </c>
      <c r="B48">
        <v>0.68730000000000002</v>
      </c>
    </row>
    <row r="49" spans="1:1" x14ac:dyDescent="0.2">
      <c r="A49">
        <v>0.79139999999999999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C92BF7-7D81-AF41-8CEB-0583C3103C33}">
  <dimension ref="A1:AE41"/>
  <sheetViews>
    <sheetView zoomScaleNormal="100" workbookViewId="0">
      <selection activeCell="X22" sqref="X22"/>
    </sheetView>
  </sheetViews>
  <sheetFormatPr baseColWidth="10" defaultRowHeight="16" x14ac:dyDescent="0.2"/>
  <cols>
    <col min="1" max="1" width="17.33203125" customWidth="1"/>
    <col min="3" max="3" width="13.33203125" customWidth="1"/>
  </cols>
  <sheetData>
    <row r="1" spans="1:31" ht="51" x14ac:dyDescent="0.2">
      <c r="A1" s="1" t="s">
        <v>2</v>
      </c>
      <c r="B1">
        <v>73</v>
      </c>
      <c r="D1" t="s">
        <v>5</v>
      </c>
      <c r="H1" s="6" t="s">
        <v>40</v>
      </c>
      <c r="M1" s="6" t="s">
        <v>49</v>
      </c>
      <c r="S1" s="14" t="s">
        <v>50</v>
      </c>
      <c r="T1" s="14"/>
      <c r="U1" s="14"/>
      <c r="Z1" s="14" t="s">
        <v>52</v>
      </c>
      <c r="AA1" s="14"/>
      <c r="AB1" s="14"/>
    </row>
    <row r="2" spans="1:31" ht="34" x14ac:dyDescent="0.2">
      <c r="A2" s="1" t="s">
        <v>3</v>
      </c>
      <c r="B2">
        <v>0.50900000000000001</v>
      </c>
      <c r="C2" s="1" t="s">
        <v>12</v>
      </c>
      <c r="D2">
        <f>B3*(POWER(B1,B2))</f>
        <v>22.112135291268245</v>
      </c>
      <c r="H2" s="1" t="s">
        <v>41</v>
      </c>
      <c r="I2">
        <v>120</v>
      </c>
      <c r="M2" s="1" t="s">
        <v>41</v>
      </c>
      <c r="N2">
        <v>126</v>
      </c>
      <c r="T2" s="1" t="s">
        <v>4</v>
      </c>
      <c r="U2" s="6" t="s">
        <v>59</v>
      </c>
      <c r="V2" s="1" t="s">
        <v>13</v>
      </c>
      <c r="W2" s="1" t="s">
        <v>15</v>
      </c>
      <c r="X2" s="2" t="s">
        <v>36</v>
      </c>
      <c r="AA2" s="1" t="s">
        <v>4</v>
      </c>
      <c r="AB2" s="6" t="s">
        <v>59</v>
      </c>
      <c r="AC2" s="1" t="s">
        <v>13</v>
      </c>
      <c r="AD2" s="1" t="s">
        <v>15</v>
      </c>
      <c r="AE2" s="2" t="s">
        <v>36</v>
      </c>
    </row>
    <row r="3" spans="1:31" x14ac:dyDescent="0.2">
      <c r="A3" s="1" t="s">
        <v>4</v>
      </c>
      <c r="B3">
        <v>2.4900000000000002</v>
      </c>
      <c r="H3" s="1" t="s">
        <v>42</v>
      </c>
      <c r="I3">
        <v>171</v>
      </c>
      <c r="M3" s="1" t="s">
        <v>42</v>
      </c>
      <c r="N3">
        <v>153</v>
      </c>
      <c r="S3" s="1" t="s">
        <v>6</v>
      </c>
      <c r="T3">
        <v>0.35699999999999998</v>
      </c>
      <c r="U3">
        <v>0.20399999999999999</v>
      </c>
      <c r="V3">
        <f>(T3*$K$6)-U3</f>
        <v>0.96372376389632408</v>
      </c>
      <c r="W3">
        <f>POWER(V3,10)</f>
        <v>0.69107579380506878</v>
      </c>
      <c r="X3">
        <f>2*W3</f>
        <v>1.3821515876101376</v>
      </c>
      <c r="Z3" s="1" t="s">
        <v>6</v>
      </c>
      <c r="AA3">
        <v>0.35699999999999998</v>
      </c>
      <c r="AB3">
        <v>0.20399999999999999</v>
      </c>
      <c r="AC3">
        <f>(AA3*$P$6)-AB3</f>
        <v>1.064608862278914</v>
      </c>
      <c r="AD3">
        <f>POWER(AC3,10)</f>
        <v>1.8702547702669272</v>
      </c>
      <c r="AE3">
        <f>2*AD3</f>
        <v>3.7405095405338544</v>
      </c>
    </row>
    <row r="4" spans="1:31" ht="34" x14ac:dyDescent="0.2">
      <c r="H4" s="6" t="s">
        <v>44</v>
      </c>
      <c r="I4">
        <v>17</v>
      </c>
      <c r="M4" s="6" t="s">
        <v>44</v>
      </c>
      <c r="N4">
        <v>35</v>
      </c>
      <c r="S4" s="1" t="s">
        <v>7</v>
      </c>
      <c r="T4">
        <v>0.52100000000000002</v>
      </c>
      <c r="U4">
        <v>0.64900000000000002</v>
      </c>
      <c r="V4">
        <f t="shared" ref="V4:V6" si="0">(T4*$K$6)-U4</f>
        <v>1.0551570896078009</v>
      </c>
      <c r="W4">
        <f t="shared" ref="W4:W6" si="1">POWER(V4,10)</f>
        <v>1.7106895921000131</v>
      </c>
      <c r="X4">
        <f t="shared" ref="X4:X7" si="2">2*W4</f>
        <v>3.4213791842000263</v>
      </c>
      <c r="Z4" s="1" t="s">
        <v>7</v>
      </c>
      <c r="AA4">
        <v>0.52100000000000002</v>
      </c>
      <c r="AB4">
        <v>0.64900000000000002</v>
      </c>
      <c r="AC4">
        <f t="shared" ref="AC4:AC6" si="3">(AA4*$P$6)-AB4</f>
        <v>1.202387163157743</v>
      </c>
      <c r="AD4">
        <f t="shared" ref="AD4:AD6" si="4">POWER(AC4,10)</f>
        <v>6.3160172896810964</v>
      </c>
      <c r="AE4">
        <f t="shared" ref="AE4:AE7" si="5">2*AD4</f>
        <v>12.632034579362193</v>
      </c>
    </row>
    <row r="5" spans="1:31" ht="34" x14ac:dyDescent="0.2">
      <c r="A5" s="1" t="s">
        <v>11</v>
      </c>
      <c r="B5">
        <v>7549.57</v>
      </c>
      <c r="H5" s="6" t="s">
        <v>43</v>
      </c>
      <c r="I5">
        <v>68</v>
      </c>
      <c r="M5" s="6" t="s">
        <v>43</v>
      </c>
      <c r="N5">
        <v>62</v>
      </c>
      <c r="S5" s="1" t="s">
        <v>8</v>
      </c>
      <c r="T5">
        <v>0.39200000000000002</v>
      </c>
      <c r="U5">
        <v>0.21</v>
      </c>
      <c r="V5">
        <f t="shared" si="0"/>
        <v>1.0722064858469442</v>
      </c>
      <c r="W5">
        <f t="shared" si="1"/>
        <v>2.0080952077989975</v>
      </c>
      <c r="X5">
        <f t="shared" si="2"/>
        <v>4.0161904155979951</v>
      </c>
      <c r="Z5" s="1" t="s">
        <v>8</v>
      </c>
      <c r="AA5">
        <v>0.39200000000000002</v>
      </c>
      <c r="AB5">
        <v>0.21</v>
      </c>
      <c r="AC5">
        <f t="shared" si="3"/>
        <v>1.1829822801493959</v>
      </c>
      <c r="AD5">
        <f t="shared" si="4"/>
        <v>5.367627805238377</v>
      </c>
      <c r="AE5">
        <f t="shared" si="5"/>
        <v>10.735255610476754</v>
      </c>
    </row>
    <row r="6" spans="1:31" ht="34" x14ac:dyDescent="0.2">
      <c r="A6" s="1" t="s">
        <v>10</v>
      </c>
      <c r="B6">
        <f>LOG(B5,10)</f>
        <v>3.8779222162721849</v>
      </c>
      <c r="H6" s="6" t="s">
        <v>46</v>
      </c>
      <c r="I6">
        <v>1866.1</v>
      </c>
      <c r="J6" s="6" t="s">
        <v>47</v>
      </c>
      <c r="K6">
        <f>LOG(I6,10)</f>
        <v>3.2709349128748575</v>
      </c>
      <c r="M6" s="6" t="s">
        <v>46</v>
      </c>
      <c r="N6">
        <v>3577.06</v>
      </c>
      <c r="O6" s="6" t="s">
        <v>47</v>
      </c>
      <c r="P6">
        <f>LOG(N6,10)</f>
        <v>3.5535262248709079</v>
      </c>
      <c r="S6" s="1" t="s">
        <v>9</v>
      </c>
      <c r="T6">
        <v>0.33400000000000002</v>
      </c>
      <c r="U6">
        <v>5.2999999999999999E-2</v>
      </c>
      <c r="V6">
        <f t="shared" si="0"/>
        <v>1.0394922609002026</v>
      </c>
      <c r="W6">
        <f t="shared" si="1"/>
        <v>1.4730334303900525</v>
      </c>
      <c r="X6">
        <f t="shared" si="2"/>
        <v>2.946066860780105</v>
      </c>
      <c r="Z6" s="1" t="s">
        <v>9</v>
      </c>
      <c r="AA6">
        <v>0.33400000000000002</v>
      </c>
      <c r="AB6">
        <v>5.2999999999999999E-2</v>
      </c>
      <c r="AC6">
        <f t="shared" si="3"/>
        <v>1.1338777591068834</v>
      </c>
      <c r="AD6">
        <f t="shared" si="4"/>
        <v>3.5128723386602667</v>
      </c>
      <c r="AE6">
        <f t="shared" si="5"/>
        <v>7.0257446773205334</v>
      </c>
    </row>
    <row r="7" spans="1:31" ht="34" x14ac:dyDescent="0.2">
      <c r="H7" s="6" t="s">
        <v>45</v>
      </c>
      <c r="I7">
        <v>7008.95</v>
      </c>
      <c r="J7" s="6" t="s">
        <v>48</v>
      </c>
      <c r="K7">
        <f>LOG(I7,10)</f>
        <v>3.8456529618523487</v>
      </c>
      <c r="M7" s="6" t="s">
        <v>45</v>
      </c>
      <c r="N7">
        <v>6441.3</v>
      </c>
      <c r="O7" s="6" t="s">
        <v>48</v>
      </c>
      <c r="P7">
        <f>LOG(N7,10)</f>
        <v>3.8089735266532667</v>
      </c>
      <c r="S7" s="1" t="s">
        <v>14</v>
      </c>
      <c r="T7">
        <v>2.4900000000000002</v>
      </c>
      <c r="U7">
        <v>0.50900000000000001</v>
      </c>
      <c r="W7">
        <f>T7*POWER(I4,U7)</f>
        <v>10.531684686826317</v>
      </c>
      <c r="X7">
        <f t="shared" si="2"/>
        <v>21.063369373652634</v>
      </c>
      <c r="Z7" s="1" t="s">
        <v>14</v>
      </c>
      <c r="AA7">
        <v>2.4900000000000002</v>
      </c>
      <c r="AB7">
        <v>0.50900000000000001</v>
      </c>
      <c r="AD7">
        <f>AA7*POWER(N4,AB7)</f>
        <v>15.210026883752393</v>
      </c>
      <c r="AE7">
        <f t="shared" si="5"/>
        <v>30.420053767504786</v>
      </c>
    </row>
    <row r="8" spans="1:31" ht="34" x14ac:dyDescent="0.2">
      <c r="B8" s="1" t="s">
        <v>4</v>
      </c>
      <c r="C8" s="1" t="s">
        <v>59</v>
      </c>
      <c r="D8" s="1" t="s">
        <v>13</v>
      </c>
      <c r="E8" s="1" t="s">
        <v>15</v>
      </c>
      <c r="F8" s="2" t="s">
        <v>36</v>
      </c>
      <c r="S8" s="14" t="s">
        <v>51</v>
      </c>
      <c r="T8" s="14"/>
      <c r="U8" s="14"/>
      <c r="Z8" s="14" t="s">
        <v>53</v>
      </c>
      <c r="AA8" s="14"/>
      <c r="AB8" s="14"/>
    </row>
    <row r="9" spans="1:31" ht="34" x14ac:dyDescent="0.2">
      <c r="A9" s="1" t="s">
        <v>6</v>
      </c>
      <c r="B9">
        <v>0.35699999999999998</v>
      </c>
      <c r="C9">
        <v>0.20399999999999999</v>
      </c>
      <c r="D9">
        <f>(B9*$B$6)-C9</f>
        <v>1.18041823120917</v>
      </c>
      <c r="E9">
        <f>POWER(10,D9)</f>
        <v>15.150195295746377</v>
      </c>
      <c r="F9">
        <f>E9*2</f>
        <v>30.300390591492754</v>
      </c>
      <c r="H9" s="7" t="s">
        <v>58</v>
      </c>
      <c r="T9" s="1" t="s">
        <v>4</v>
      </c>
      <c r="U9" s="6" t="s">
        <v>59</v>
      </c>
      <c r="V9" s="1" t="s">
        <v>13</v>
      </c>
      <c r="W9" s="1" t="s">
        <v>15</v>
      </c>
      <c r="X9" s="2" t="s">
        <v>36</v>
      </c>
      <c r="AA9" s="1" t="s">
        <v>4</v>
      </c>
      <c r="AB9" s="6" t="s">
        <v>59</v>
      </c>
      <c r="AC9" s="1" t="s">
        <v>13</v>
      </c>
      <c r="AD9" s="1" t="s">
        <v>15</v>
      </c>
      <c r="AE9" s="2" t="s">
        <v>36</v>
      </c>
    </row>
    <row r="10" spans="1:31" x14ac:dyDescent="0.2">
      <c r="A10" s="1" t="s">
        <v>7</v>
      </c>
      <c r="B10">
        <v>0.52100000000000002</v>
      </c>
      <c r="C10">
        <v>0.64900000000000002</v>
      </c>
      <c r="D10">
        <f>(B10*$B$6)-C10</f>
        <v>1.3713974746778086</v>
      </c>
      <c r="E10">
        <f>POWER(10,D10)</f>
        <v>23.51784234436002</v>
      </c>
      <c r="F10">
        <f t="shared" ref="F10:F13" si="6">E10*2</f>
        <v>47.035684688720039</v>
      </c>
      <c r="S10" s="1" t="s">
        <v>6</v>
      </c>
      <c r="T10">
        <v>0.35699999999999998</v>
      </c>
      <c r="U10">
        <v>0.20399999999999999</v>
      </c>
      <c r="V10">
        <f>(T10*$K$7)-U10</f>
        <v>1.1688981073812885</v>
      </c>
      <c r="W10">
        <f>POWER(V10,10)</f>
        <v>4.7617496053233221</v>
      </c>
      <c r="X10">
        <f>2*W10</f>
        <v>9.5234992106466443</v>
      </c>
      <c r="Z10" s="1" t="s">
        <v>6</v>
      </c>
      <c r="AA10">
        <v>0.35699999999999998</v>
      </c>
      <c r="AB10">
        <v>0.20399999999999999</v>
      </c>
      <c r="AC10">
        <f>(AA10*$P$7)-AB10</f>
        <v>1.1558035490152161</v>
      </c>
      <c r="AD10">
        <f>POWER(AC10,10)</f>
        <v>4.2544187772518871</v>
      </c>
      <c r="AE10">
        <f>2*AD10</f>
        <v>8.5088375545037742</v>
      </c>
    </row>
    <row r="11" spans="1:31" x14ac:dyDescent="0.2">
      <c r="A11" s="1" t="s">
        <v>8</v>
      </c>
      <c r="B11">
        <v>0.39200000000000002</v>
      </c>
      <c r="C11">
        <v>0.21</v>
      </c>
      <c r="D11">
        <f>(B11*$B$6)-C11</f>
        <v>1.3101455087786966</v>
      </c>
      <c r="E11">
        <f>POWER(10,D11)</f>
        <v>20.424221361163021</v>
      </c>
      <c r="F11">
        <f t="shared" si="6"/>
        <v>40.848442722326041</v>
      </c>
      <c r="S11" s="1" t="s">
        <v>7</v>
      </c>
      <c r="T11">
        <v>0.52100000000000002</v>
      </c>
      <c r="U11">
        <v>0.64900000000000002</v>
      </c>
      <c r="V11">
        <f>(T11*$K$7)-U11</f>
        <v>1.3545851931250739</v>
      </c>
      <c r="W11">
        <f>POWER(V11,10)</f>
        <v>20.799995477751558</v>
      </c>
      <c r="X11">
        <f>2*W11</f>
        <v>41.599990955503117</v>
      </c>
      <c r="Z11" s="1" t="s">
        <v>7</v>
      </c>
      <c r="AA11">
        <v>0.52100000000000002</v>
      </c>
      <c r="AB11">
        <v>0.64900000000000002</v>
      </c>
      <c r="AC11">
        <f>(AA11*$P$7)-AB11</f>
        <v>1.3354752073863521</v>
      </c>
      <c r="AD11">
        <f>POWER(AC11,10)</f>
        <v>18.045058699185798</v>
      </c>
      <c r="AE11">
        <f>2*AD11</f>
        <v>36.090117398371596</v>
      </c>
    </row>
    <row r="12" spans="1:31" x14ac:dyDescent="0.2">
      <c r="A12" s="1" t="s">
        <v>9</v>
      </c>
      <c r="B12">
        <v>0.33400000000000002</v>
      </c>
      <c r="C12">
        <v>5.2999999999999999E-2</v>
      </c>
      <c r="D12">
        <f>(B12*$B$6)-C12</f>
        <v>1.2422260202349098</v>
      </c>
      <c r="E12">
        <f>POWER(10,D12)</f>
        <v>17.467309690488904</v>
      </c>
      <c r="F12">
        <f t="shared" si="6"/>
        <v>34.934619380977807</v>
      </c>
      <c r="S12" s="1" t="s">
        <v>8</v>
      </c>
      <c r="T12">
        <v>0.39200000000000002</v>
      </c>
      <c r="U12">
        <v>0.21</v>
      </c>
      <c r="V12">
        <f>(T12*$K$7)-U12</f>
        <v>1.2974959610461207</v>
      </c>
      <c r="W12">
        <f>POWER(V12,10)</f>
        <v>13.522598268746131</v>
      </c>
      <c r="X12">
        <f>2*W12</f>
        <v>27.045196537492263</v>
      </c>
      <c r="Z12" s="1" t="s">
        <v>8</v>
      </c>
      <c r="AA12">
        <v>0.39200000000000002</v>
      </c>
      <c r="AB12">
        <v>0.21</v>
      </c>
      <c r="AC12">
        <f>(AA12*$P$7)-AB12</f>
        <v>1.2831176224480807</v>
      </c>
      <c r="AD12">
        <f>POWER(AC12,10)</f>
        <v>12.096638341592794</v>
      </c>
      <c r="AE12">
        <f>2*AD12</f>
        <v>24.193276683185587</v>
      </c>
    </row>
    <row r="13" spans="1:31" x14ac:dyDescent="0.2">
      <c r="A13" s="1" t="s">
        <v>14</v>
      </c>
      <c r="B13">
        <v>2.4900000000000002</v>
      </c>
      <c r="C13">
        <v>0.50900000000000001</v>
      </c>
      <c r="E13">
        <v>22.112135291268245</v>
      </c>
      <c r="F13">
        <f t="shared" si="6"/>
        <v>44.224270582536491</v>
      </c>
      <c r="S13" s="1" t="s">
        <v>9</v>
      </c>
      <c r="T13">
        <v>0.33400000000000002</v>
      </c>
      <c r="U13">
        <v>5.2999999999999999E-2</v>
      </c>
      <c r="V13">
        <f>(T13*$K$7)-U13</f>
        <v>1.2314480892586845</v>
      </c>
      <c r="W13">
        <f>POWER(V13,10)</f>
        <v>8.0197548365875893</v>
      </c>
      <c r="X13">
        <f>2*W13</f>
        <v>16.039509673175179</v>
      </c>
      <c r="Z13" s="1" t="s">
        <v>9</v>
      </c>
      <c r="AA13">
        <v>0.33400000000000002</v>
      </c>
      <c r="AB13">
        <v>5.2999999999999999E-2</v>
      </c>
      <c r="AC13">
        <f>(AA13*$P$7)-AB13</f>
        <v>1.2191971579021912</v>
      </c>
      <c r="AD13">
        <f>POWER(AC13,10)</f>
        <v>7.2567041236973395</v>
      </c>
      <c r="AE13">
        <f>2*AD13</f>
        <v>14.513408247394679</v>
      </c>
    </row>
    <row r="14" spans="1:31" x14ac:dyDescent="0.2">
      <c r="S14" s="1" t="s">
        <v>14</v>
      </c>
      <c r="T14">
        <v>2.4900000000000002</v>
      </c>
      <c r="U14">
        <v>0.50900000000000001</v>
      </c>
      <c r="W14">
        <f>T14*POWER(I5,U14)</f>
        <v>21.327815918291112</v>
      </c>
      <c r="X14">
        <f>2*W14</f>
        <v>42.655631836582224</v>
      </c>
      <c r="Z14" s="1" t="s">
        <v>14</v>
      </c>
      <c r="AA14">
        <v>2.4900000000000002</v>
      </c>
      <c r="AB14">
        <v>0.50900000000000001</v>
      </c>
      <c r="AD14">
        <f>AA14*POWER(N5,AB14)</f>
        <v>20.34823370837853</v>
      </c>
      <c r="AE14">
        <f>2*AD14</f>
        <v>40.696467416757059</v>
      </c>
    </row>
    <row r="15" spans="1:31" x14ac:dyDescent="0.2">
      <c r="A15" s="1" t="s">
        <v>16</v>
      </c>
    </row>
    <row r="17" spans="1:23" ht="68" x14ac:dyDescent="0.2">
      <c r="B17" s="3" t="s">
        <v>17</v>
      </c>
      <c r="C17" s="4" t="s">
        <v>18</v>
      </c>
      <c r="F17" s="4" t="s">
        <v>29</v>
      </c>
      <c r="S17" s="15" t="s">
        <v>24</v>
      </c>
      <c r="T17" s="15"/>
    </row>
    <row r="18" spans="1:23" ht="51" x14ac:dyDescent="0.2">
      <c r="A18" s="5" t="s">
        <v>26</v>
      </c>
      <c r="B18">
        <v>62</v>
      </c>
      <c r="C18">
        <v>80</v>
      </c>
      <c r="E18" s="5" t="s">
        <v>30</v>
      </c>
      <c r="F18">
        <v>75</v>
      </c>
      <c r="T18" s="6" t="s">
        <v>54</v>
      </c>
      <c r="U18" s="6" t="s">
        <v>55</v>
      </c>
      <c r="V18" s="6" t="s">
        <v>56</v>
      </c>
      <c r="W18" s="6" t="s">
        <v>57</v>
      </c>
    </row>
    <row r="19" spans="1:23" ht="51" x14ac:dyDescent="0.2">
      <c r="A19" s="5" t="s">
        <v>27</v>
      </c>
      <c r="B19">
        <v>62</v>
      </c>
      <c r="C19">
        <v>65</v>
      </c>
      <c r="E19" s="5" t="s">
        <v>31</v>
      </c>
      <c r="F19">
        <v>134</v>
      </c>
      <c r="S19" s="6" t="s">
        <v>21</v>
      </c>
      <c r="T19">
        <v>65</v>
      </c>
      <c r="U19">
        <v>258</v>
      </c>
      <c r="V19">
        <v>133</v>
      </c>
      <c r="W19">
        <v>236</v>
      </c>
    </row>
    <row r="20" spans="1:23" ht="51" x14ac:dyDescent="0.2">
      <c r="A20" s="5" t="s">
        <v>28</v>
      </c>
      <c r="B20">
        <v>74</v>
      </c>
      <c r="C20">
        <v>48</v>
      </c>
      <c r="E20" s="5" t="s">
        <v>32</v>
      </c>
      <c r="F20">
        <v>167</v>
      </c>
      <c r="S20" s="6" t="s">
        <v>22</v>
      </c>
      <c r="T20">
        <v>26</v>
      </c>
      <c r="U20">
        <v>102</v>
      </c>
      <c r="V20">
        <v>53</v>
      </c>
      <c r="W20">
        <v>93</v>
      </c>
    </row>
    <row r="21" spans="1:23" ht="34" x14ac:dyDescent="0.2">
      <c r="A21" s="1" t="s">
        <v>19</v>
      </c>
      <c r="B21">
        <f>AVERAGE(B18:B20)</f>
        <v>66</v>
      </c>
      <c r="C21">
        <f>AVERAGE(C18:C20)</f>
        <v>64.333333333333329</v>
      </c>
      <c r="F21">
        <f t="shared" ref="F21" si="7">AVERAGE(F18:F20)</f>
        <v>125.33333333333333</v>
      </c>
      <c r="S21" s="6" t="s">
        <v>23</v>
      </c>
      <c r="T21">
        <v>56</v>
      </c>
      <c r="U21">
        <v>224</v>
      </c>
      <c r="V21">
        <v>116</v>
      </c>
      <c r="W21">
        <v>205</v>
      </c>
    </row>
    <row r="22" spans="1:23" ht="34" x14ac:dyDescent="0.2">
      <c r="A22" s="1" t="s">
        <v>20</v>
      </c>
      <c r="B22">
        <f>STDEV(B18:B20)</f>
        <v>6.9282032302755088</v>
      </c>
      <c r="C22">
        <f>STDEV(C18:C20)</f>
        <v>16.010413278030427</v>
      </c>
      <c r="F22">
        <f t="shared" ref="F22" si="8">STDEV(F18:F20)</f>
        <v>46.608296829355737</v>
      </c>
      <c r="S22" s="6" t="s">
        <v>69</v>
      </c>
      <c r="T22">
        <f>17*2.04</f>
        <v>34.68</v>
      </c>
      <c r="U22">
        <f>68*2.04</f>
        <v>138.72</v>
      </c>
      <c r="V22">
        <f>35*2.04</f>
        <v>71.400000000000006</v>
      </c>
      <c r="W22">
        <f>62*2.04</f>
        <v>126.48</v>
      </c>
    </row>
    <row r="23" spans="1:23" ht="17" x14ac:dyDescent="0.2">
      <c r="S23" s="6" t="s">
        <v>70</v>
      </c>
      <c r="T23">
        <f>(17*2.04)-(17*0.76)</f>
        <v>21.759999999999998</v>
      </c>
      <c r="U23">
        <f>(68*2.04)-(68*0.76)</f>
        <v>87.039999999999992</v>
      </c>
      <c r="V23">
        <f>(35*2.04)-(35*0.76)</f>
        <v>44.800000000000004</v>
      </c>
      <c r="W23">
        <f>(62*2.04)-(62*0.76)</f>
        <v>79.360000000000014</v>
      </c>
    </row>
    <row r="24" spans="1:23" ht="17" x14ac:dyDescent="0.2">
      <c r="S24" s="6" t="s">
        <v>71</v>
      </c>
      <c r="T24">
        <f>(17*2.04)+(17*0.76)</f>
        <v>47.6</v>
      </c>
      <c r="U24">
        <f>(68*2.04)+(68*0.76)</f>
        <v>190.4</v>
      </c>
      <c r="V24">
        <f>(35*2.04)+(35*0.76)</f>
        <v>98</v>
      </c>
      <c r="W24">
        <f>(62*2.04)+(62*0.76)</f>
        <v>173.6</v>
      </c>
    </row>
    <row r="26" spans="1:23" ht="68" x14ac:dyDescent="0.2">
      <c r="B26" s="2" t="s">
        <v>33</v>
      </c>
      <c r="C26" s="2" t="s">
        <v>34</v>
      </c>
      <c r="F26" s="2" t="s">
        <v>35</v>
      </c>
      <c r="S26" t="s">
        <v>37</v>
      </c>
    </row>
    <row r="27" spans="1:23" ht="51" x14ac:dyDescent="0.2">
      <c r="A27" s="5" t="s">
        <v>26</v>
      </c>
      <c r="B27">
        <v>49</v>
      </c>
      <c r="C27">
        <v>58</v>
      </c>
      <c r="E27" s="5" t="s">
        <v>30</v>
      </c>
      <c r="F27">
        <v>36</v>
      </c>
      <c r="S27" t="s">
        <v>38</v>
      </c>
    </row>
    <row r="28" spans="1:23" ht="51" x14ac:dyDescent="0.2">
      <c r="A28" s="5" t="s">
        <v>27</v>
      </c>
      <c r="B28">
        <v>50</v>
      </c>
      <c r="C28">
        <v>73</v>
      </c>
      <c r="E28" s="5" t="s">
        <v>31</v>
      </c>
      <c r="F28">
        <v>124</v>
      </c>
      <c r="S28" t="s">
        <v>39</v>
      </c>
    </row>
    <row r="29" spans="1:23" ht="51" x14ac:dyDescent="0.2">
      <c r="A29" s="5" t="s">
        <v>28</v>
      </c>
      <c r="B29">
        <v>55</v>
      </c>
      <c r="C29">
        <v>83</v>
      </c>
      <c r="E29" s="5" t="s">
        <v>32</v>
      </c>
      <c r="F29">
        <v>164</v>
      </c>
    </row>
    <row r="30" spans="1:23" x14ac:dyDescent="0.2">
      <c r="A30" s="1" t="s">
        <v>19</v>
      </c>
      <c r="B30">
        <f>AVERAGE(B27:B29)</f>
        <v>51.333333333333336</v>
      </c>
      <c r="C30">
        <f>AVERAGE(C27:C29)</f>
        <v>71.333333333333329</v>
      </c>
      <c r="F30">
        <f t="shared" ref="F30" si="9">AVERAGE(F27:F29)</f>
        <v>108</v>
      </c>
    </row>
    <row r="31" spans="1:23" x14ac:dyDescent="0.2">
      <c r="A31" s="1" t="s">
        <v>20</v>
      </c>
      <c r="B31">
        <f>STDEV(B27:B29)</f>
        <v>3.214550253664318</v>
      </c>
      <c r="C31">
        <f>STDEV(C27:C29)</f>
        <v>12.583057392117905</v>
      </c>
      <c r="F31">
        <f t="shared" ref="F31" si="10">STDEV(F27:F29)</f>
        <v>65.482822174979603</v>
      </c>
    </row>
    <row r="33" spans="1:3" x14ac:dyDescent="0.2">
      <c r="A33" s="1" t="s">
        <v>24</v>
      </c>
      <c r="B33" s="1" t="s">
        <v>25</v>
      </c>
      <c r="C33" s="1" t="s">
        <v>20</v>
      </c>
    </row>
    <row r="34" spans="1:3" x14ac:dyDescent="0.2">
      <c r="A34" s="1" t="s">
        <v>69</v>
      </c>
      <c r="B34">
        <f>73*2.04</f>
        <v>148.92000000000002</v>
      </c>
      <c r="C34">
        <f>73*0.76</f>
        <v>55.480000000000004</v>
      </c>
    </row>
    <row r="35" spans="1:3" x14ac:dyDescent="0.2">
      <c r="A35" s="1" t="s">
        <v>21</v>
      </c>
      <c r="B35">
        <v>277</v>
      </c>
    </row>
    <row r="36" spans="1:3" x14ac:dyDescent="0.2">
      <c r="A36" s="1" t="s">
        <v>22</v>
      </c>
      <c r="B36">
        <v>110</v>
      </c>
    </row>
    <row r="37" spans="1:3" x14ac:dyDescent="0.2">
      <c r="A37" s="1" t="s">
        <v>23</v>
      </c>
      <c r="B37">
        <v>237</v>
      </c>
    </row>
    <row r="39" spans="1:3" x14ac:dyDescent="0.2">
      <c r="A39" t="s">
        <v>37</v>
      </c>
    </row>
    <row r="40" spans="1:3" x14ac:dyDescent="0.2">
      <c r="A40" t="s">
        <v>38</v>
      </c>
    </row>
    <row r="41" spans="1:3" x14ac:dyDescent="0.2">
      <c r="A41" t="s">
        <v>39</v>
      </c>
    </row>
  </sheetData>
  <mergeCells count="5">
    <mergeCell ref="S1:U1"/>
    <mergeCell ref="S8:U8"/>
    <mergeCell ref="Z1:AB1"/>
    <mergeCell ref="Z8:AB8"/>
    <mergeCell ref="S17:T17"/>
  </mergeCells>
  <phoneticPr fontId="2" type="noConversion"/>
  <pageMargins left="0.7" right="0.7" top="0.75" bottom="0.75" header="0.3" footer="0.3"/>
  <ignoredErrors>
    <ignoredError sqref="V22" 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AE3E27-0B7B-844D-B3BB-0A3C1F22DB0D}">
  <dimension ref="A1:AI26"/>
  <sheetViews>
    <sheetView workbookViewId="0">
      <selection activeCell="A15" sqref="A15"/>
    </sheetView>
  </sheetViews>
  <sheetFormatPr baseColWidth="10" defaultRowHeight="16" x14ac:dyDescent="0.2"/>
  <cols>
    <col min="1" max="1" width="12.1640625" style="5" customWidth="1"/>
  </cols>
  <sheetData>
    <row r="1" spans="1:35" ht="34" x14ac:dyDescent="0.2">
      <c r="A1" s="6"/>
      <c r="B1" s="1" t="s">
        <v>62</v>
      </c>
      <c r="C1" s="1" t="s">
        <v>64</v>
      </c>
      <c r="D1" s="1" t="s">
        <v>63</v>
      </c>
      <c r="E1" s="6" t="s">
        <v>65</v>
      </c>
      <c r="F1" s="6" t="s">
        <v>66</v>
      </c>
      <c r="G1" s="6" t="s">
        <v>67</v>
      </c>
      <c r="H1" s="6" t="s">
        <v>68</v>
      </c>
    </row>
    <row r="2" spans="1:35" ht="34" x14ac:dyDescent="0.2">
      <c r="A2" s="6" t="s">
        <v>6</v>
      </c>
      <c r="B2" s="9">
        <v>30.300390591492754</v>
      </c>
      <c r="C2" s="10">
        <v>30.300390591492754</v>
      </c>
      <c r="D2" s="10"/>
      <c r="E2" s="10">
        <v>9.5234992106466443</v>
      </c>
      <c r="F2" s="10">
        <v>1.3821515876101376</v>
      </c>
      <c r="G2" s="10">
        <v>8.5088375545037742</v>
      </c>
      <c r="H2" s="10">
        <v>3.7405095405338544</v>
      </c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AB2" s="6"/>
      <c r="AC2" s="1"/>
      <c r="AD2" s="1"/>
      <c r="AE2" s="1"/>
      <c r="AF2" s="6"/>
      <c r="AG2" s="6"/>
      <c r="AH2" s="6"/>
      <c r="AI2" s="6"/>
    </row>
    <row r="3" spans="1:35" ht="17" x14ac:dyDescent="0.2">
      <c r="A3" s="6" t="s">
        <v>7</v>
      </c>
      <c r="B3" s="9">
        <v>47.035684688720039</v>
      </c>
      <c r="C3" s="10">
        <v>47.035684688720039</v>
      </c>
      <c r="D3" s="10"/>
      <c r="E3" s="10">
        <v>41.599990955503117</v>
      </c>
      <c r="F3" s="10">
        <v>3.4213791842000263</v>
      </c>
      <c r="G3" s="10">
        <v>36.090117398371596</v>
      </c>
      <c r="H3" s="10">
        <v>12.632034579362193</v>
      </c>
      <c r="K3" s="1"/>
      <c r="L3" s="9"/>
      <c r="M3" s="9"/>
      <c r="N3" s="9"/>
      <c r="O3" s="9"/>
      <c r="P3" s="9"/>
      <c r="Q3" s="10"/>
      <c r="R3" s="10"/>
      <c r="S3" s="10"/>
      <c r="T3" s="10"/>
      <c r="U3" s="10"/>
      <c r="V3" s="10"/>
      <c r="W3" s="10"/>
      <c r="X3" s="10"/>
      <c r="AB3" s="6"/>
      <c r="AC3" s="9"/>
      <c r="AD3" s="10"/>
      <c r="AE3" s="10"/>
      <c r="AF3" s="10"/>
      <c r="AG3" s="10"/>
      <c r="AH3" s="10"/>
      <c r="AI3" s="10"/>
    </row>
    <row r="4" spans="1:35" ht="34" x14ac:dyDescent="0.2">
      <c r="A4" s="6" t="s">
        <v>8</v>
      </c>
      <c r="B4" s="9">
        <v>40.848442722326041</v>
      </c>
      <c r="C4" s="10">
        <v>40.848442722326041</v>
      </c>
      <c r="D4" s="10"/>
      <c r="E4" s="10">
        <v>27.045196537492263</v>
      </c>
      <c r="F4" s="10">
        <v>4.0161904155979951</v>
      </c>
      <c r="G4" s="10">
        <v>24.193276683185587</v>
      </c>
      <c r="H4" s="10">
        <v>10.735255610476754</v>
      </c>
      <c r="K4" s="1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AB4" s="6"/>
      <c r="AC4" s="9"/>
      <c r="AD4" s="10"/>
      <c r="AE4" s="10"/>
      <c r="AF4" s="10"/>
      <c r="AG4" s="10"/>
      <c r="AH4" s="10"/>
      <c r="AI4" s="10"/>
    </row>
    <row r="5" spans="1:35" ht="34" x14ac:dyDescent="0.2">
      <c r="A5" s="6" t="s">
        <v>9</v>
      </c>
      <c r="B5" s="9">
        <v>34.934619380977807</v>
      </c>
      <c r="C5" s="10">
        <v>34.934619380977807</v>
      </c>
      <c r="D5" s="10"/>
      <c r="E5" s="10">
        <v>16.039509673175179</v>
      </c>
      <c r="F5" s="10">
        <v>2.946066860780105</v>
      </c>
      <c r="G5" s="10">
        <v>14.513408247394679</v>
      </c>
      <c r="H5" s="10">
        <v>7.0257446773205334</v>
      </c>
      <c r="K5" s="1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AB5" s="6"/>
      <c r="AC5" s="9"/>
      <c r="AD5" s="10"/>
      <c r="AE5" s="10"/>
      <c r="AF5" s="10"/>
      <c r="AG5" s="10"/>
      <c r="AH5" s="10"/>
      <c r="AI5" s="10"/>
    </row>
    <row r="6" spans="1:35" ht="17" x14ac:dyDescent="0.2">
      <c r="A6" s="6" t="s">
        <v>14</v>
      </c>
      <c r="B6" s="9">
        <v>44.224270582536491</v>
      </c>
      <c r="C6" s="10">
        <v>44.224270582536491</v>
      </c>
      <c r="D6" s="10"/>
      <c r="E6" s="10">
        <v>42.655631836582224</v>
      </c>
      <c r="F6" s="10">
        <v>21.063369373652634</v>
      </c>
      <c r="G6" s="10">
        <v>40.696467416757059</v>
      </c>
      <c r="H6" s="10">
        <v>30.420053767504786</v>
      </c>
      <c r="K6" s="6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AB6" s="6"/>
      <c r="AC6" s="9"/>
      <c r="AD6" s="10"/>
      <c r="AE6" s="10"/>
      <c r="AF6" s="10"/>
      <c r="AG6" s="10"/>
      <c r="AH6" s="10"/>
      <c r="AI6" s="10"/>
    </row>
    <row r="7" spans="1:35" ht="34" x14ac:dyDescent="0.2">
      <c r="A7" s="6" t="s">
        <v>60</v>
      </c>
      <c r="B7" s="10">
        <v>51.333333333333336</v>
      </c>
      <c r="C7" s="10">
        <v>71.333333333333329</v>
      </c>
      <c r="D7" s="10">
        <v>108</v>
      </c>
      <c r="E7" s="10"/>
      <c r="F7" s="10"/>
      <c r="G7" s="10"/>
      <c r="H7" s="10"/>
      <c r="K7" s="6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AB7" s="6"/>
      <c r="AC7" s="9"/>
      <c r="AD7" s="10"/>
      <c r="AE7" s="10"/>
      <c r="AF7" s="10"/>
      <c r="AG7" s="10"/>
      <c r="AH7" s="10"/>
      <c r="AI7" s="10"/>
    </row>
    <row r="8" spans="1:35" ht="51" x14ac:dyDescent="0.2">
      <c r="A8" s="6" t="s">
        <v>61</v>
      </c>
      <c r="B8" s="10">
        <v>66</v>
      </c>
      <c r="C8" s="10">
        <v>64.333333333333329</v>
      </c>
      <c r="D8" s="10">
        <v>125.33333333333333</v>
      </c>
      <c r="E8" s="10"/>
      <c r="F8" s="10"/>
      <c r="G8" s="10"/>
      <c r="H8" s="10"/>
      <c r="K8" s="6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AB8" s="6"/>
      <c r="AC8" s="10"/>
      <c r="AD8" s="10"/>
      <c r="AE8" s="10"/>
      <c r="AF8" s="10"/>
      <c r="AG8" s="10"/>
      <c r="AH8" s="10"/>
      <c r="AI8" s="10"/>
    </row>
    <row r="9" spans="1:35" ht="51" x14ac:dyDescent="0.2">
      <c r="A9" s="6" t="s">
        <v>74</v>
      </c>
      <c r="B9" s="10">
        <v>110</v>
      </c>
      <c r="C9" s="10">
        <v>110</v>
      </c>
      <c r="D9" s="10"/>
      <c r="E9" s="10">
        <v>102</v>
      </c>
      <c r="F9" s="10">
        <v>26</v>
      </c>
      <c r="G9" s="10">
        <v>93</v>
      </c>
      <c r="H9" s="10">
        <v>53</v>
      </c>
      <c r="K9" s="6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AB9" s="6"/>
      <c r="AC9" s="10"/>
      <c r="AD9" s="10"/>
      <c r="AE9" s="10"/>
      <c r="AF9" s="10"/>
      <c r="AG9" s="10"/>
      <c r="AH9" s="10"/>
      <c r="AI9" s="10"/>
    </row>
    <row r="10" spans="1:35" ht="51" x14ac:dyDescent="0.2">
      <c r="A10" s="6" t="s">
        <v>73</v>
      </c>
      <c r="B10" s="10">
        <v>237</v>
      </c>
      <c r="C10" s="10">
        <v>237</v>
      </c>
      <c r="D10" s="10"/>
      <c r="E10" s="10">
        <v>224</v>
      </c>
      <c r="F10" s="10">
        <v>56</v>
      </c>
      <c r="G10" s="10">
        <v>205</v>
      </c>
      <c r="H10" s="10">
        <v>116</v>
      </c>
      <c r="AB10" s="6"/>
      <c r="AC10" s="10"/>
      <c r="AD10" s="10"/>
      <c r="AE10" s="10"/>
      <c r="AF10" s="10"/>
      <c r="AG10" s="10"/>
      <c r="AH10" s="10"/>
      <c r="AI10" s="10"/>
    </row>
    <row r="11" spans="1:35" ht="51" x14ac:dyDescent="0.2">
      <c r="A11" s="6" t="s">
        <v>72</v>
      </c>
      <c r="B11" s="10">
        <v>277</v>
      </c>
      <c r="C11" s="10">
        <v>277</v>
      </c>
      <c r="D11" s="10"/>
      <c r="E11" s="10">
        <v>258</v>
      </c>
      <c r="F11" s="10">
        <v>65</v>
      </c>
      <c r="G11" s="10">
        <v>236</v>
      </c>
      <c r="H11" s="10">
        <v>133</v>
      </c>
      <c r="AB11" s="6"/>
      <c r="AC11" s="10"/>
      <c r="AD11" s="10"/>
      <c r="AE11" s="10"/>
      <c r="AF11" s="10"/>
      <c r="AG11" s="10"/>
      <c r="AH11" s="10"/>
      <c r="AI11" s="10"/>
    </row>
    <row r="12" spans="1:35" ht="51" x14ac:dyDescent="0.2">
      <c r="A12" s="6" t="s">
        <v>93</v>
      </c>
      <c r="B12" s="10">
        <v>148.92000000000002</v>
      </c>
      <c r="C12" s="10">
        <v>149.91999999999999</v>
      </c>
      <c r="D12" s="10"/>
      <c r="E12" s="10">
        <f>68*2.04</f>
        <v>138.72</v>
      </c>
      <c r="F12" s="10">
        <f>17*2.04</f>
        <v>34.68</v>
      </c>
      <c r="G12" s="10">
        <f>62*2.04</f>
        <v>126.48</v>
      </c>
      <c r="H12" s="10">
        <f>35*2.04</f>
        <v>71.400000000000006</v>
      </c>
      <c r="AB12" s="6"/>
      <c r="AC12" s="10"/>
      <c r="AD12" s="10"/>
      <c r="AE12" s="10"/>
      <c r="AF12" s="10"/>
      <c r="AG12" s="10"/>
      <c r="AH12" s="10"/>
      <c r="AI12" s="10"/>
    </row>
    <row r="13" spans="1:35" ht="34" x14ac:dyDescent="0.2">
      <c r="A13" s="6" t="s">
        <v>94</v>
      </c>
      <c r="B13" s="10">
        <f>148.92-55.48</f>
        <v>93.44</v>
      </c>
      <c r="C13" s="10">
        <f>148.92-55.48</f>
        <v>93.44</v>
      </c>
      <c r="D13" s="10"/>
      <c r="E13" s="10">
        <f>(68*2.04)-(68*0.76)</f>
        <v>87.039999999999992</v>
      </c>
      <c r="F13" s="10">
        <f>(17*2.04)-(17*0.76)</f>
        <v>21.759999999999998</v>
      </c>
      <c r="G13" s="10">
        <f>(62*2.04)-(62*0.76)</f>
        <v>79.360000000000014</v>
      </c>
      <c r="H13" s="10">
        <f>(35*2.04)-(35*0.76)</f>
        <v>44.800000000000004</v>
      </c>
      <c r="AB13" s="6"/>
      <c r="AC13" s="10"/>
      <c r="AD13" s="10"/>
      <c r="AE13" s="10"/>
      <c r="AF13" s="10"/>
      <c r="AG13" s="10"/>
      <c r="AH13" s="10"/>
      <c r="AI13" s="10"/>
    </row>
    <row r="14" spans="1:35" ht="34" x14ac:dyDescent="0.2">
      <c r="A14" s="6" t="s">
        <v>95</v>
      </c>
      <c r="B14" s="10">
        <f>148.92+55.48</f>
        <v>204.39999999999998</v>
      </c>
      <c r="C14" s="10">
        <f>148.92+55.48</f>
        <v>204.39999999999998</v>
      </c>
      <c r="D14" s="10"/>
      <c r="E14" s="10">
        <f>(68*2.04)+(68*0.76)</f>
        <v>190.4</v>
      </c>
      <c r="F14" s="10">
        <f>(17*2.04)+(17*0.76)</f>
        <v>47.6</v>
      </c>
      <c r="G14" s="10">
        <f>(62*2.04)+(62*0.76)</f>
        <v>173.6</v>
      </c>
      <c r="H14" s="10">
        <f>(35*2.04)+(35*0.76)</f>
        <v>98</v>
      </c>
      <c r="AB14" s="6"/>
      <c r="AC14" s="10"/>
      <c r="AD14" s="10"/>
      <c r="AE14" s="10"/>
      <c r="AF14" s="10"/>
      <c r="AG14" s="10"/>
      <c r="AH14" s="10"/>
      <c r="AI14" s="10"/>
    </row>
    <row r="15" spans="1:35" x14ac:dyDescent="0.2">
      <c r="AB15" s="6"/>
      <c r="AC15" s="10"/>
      <c r="AD15" s="10"/>
      <c r="AE15" s="10"/>
      <c r="AF15" s="10"/>
      <c r="AG15" s="10"/>
      <c r="AH15" s="10"/>
      <c r="AI15" s="10"/>
    </row>
    <row r="19" spans="1:11" x14ac:dyDescent="0.2">
      <c r="B19" s="6"/>
      <c r="C19" s="6"/>
      <c r="D19" s="6"/>
      <c r="E19" s="6"/>
      <c r="F19" s="6"/>
      <c r="G19" s="6"/>
      <c r="H19" s="6"/>
      <c r="I19" s="6"/>
      <c r="J19" s="6"/>
      <c r="K19" s="6"/>
    </row>
    <row r="20" spans="1:11" x14ac:dyDescent="0.2">
      <c r="A20" s="1"/>
      <c r="B20" s="8"/>
      <c r="C20" s="8"/>
      <c r="D20" s="8"/>
      <c r="E20" s="8"/>
      <c r="F20" s="8"/>
    </row>
    <row r="21" spans="1:11" x14ac:dyDescent="0.2">
      <c r="A21" s="1"/>
    </row>
    <row r="22" spans="1:11" x14ac:dyDescent="0.2">
      <c r="A22" s="1"/>
    </row>
    <row r="23" spans="1:11" x14ac:dyDescent="0.2">
      <c r="A23" s="6"/>
    </row>
    <row r="24" spans="1:11" x14ac:dyDescent="0.2">
      <c r="A24" s="6"/>
    </row>
    <row r="25" spans="1:11" x14ac:dyDescent="0.2">
      <c r="A25" s="6"/>
    </row>
    <row r="26" spans="1:11" x14ac:dyDescent="0.2">
      <c r="A26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Description</vt:lpstr>
      <vt:lpstr>E1o_fits</vt:lpstr>
      <vt:lpstr>E3_fits</vt:lpstr>
      <vt:lpstr>Distance_calculations</vt:lpstr>
      <vt:lpstr>Full_distances_table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2022-05-24T12:12:33Z</dcterms:created>
  <dcterms:modified xsi:type="dcterms:W3CDTF">2022-07-22T08:52:12Z</dcterms:modified>
</cp:coreProperties>
</file>