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2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8549\Desktop\大学\月壤论文\投稿\Comm Biol\终稿\"/>
    </mc:Choice>
  </mc:AlternateContent>
  <xr:revisionPtr revIDLastSave="0" documentId="13_ncr:1_{64253C32-F2C8-4069-AD06-5A72F7757B5C}" xr6:coauthVersionLast="47" xr6:coauthVersionMax="47" xr10:uidLastSave="{00000000-0000-0000-0000-000000000000}"/>
  <bookViews>
    <workbookView xWindow="-108" yWindow="-108" windowWidth="23256" windowHeight="12456" tabRatio="837" firstSheet="3" activeTab="5" xr2:uid="{E090E7DA-AF47-445A-98D8-62817CEDF1C6}"/>
  </bookViews>
  <sheets>
    <sheet name="Full name for the abbreviation" sheetId="23" r:id="rId1"/>
    <sheet name="Fig. 1 B&amp;C" sheetId="10" r:id="rId2"/>
    <sheet name="Fig. 2 A-D" sheetId="11" r:id="rId3"/>
    <sheet name="Fig. 3 A-H" sheetId="12" r:id="rId4"/>
    <sheet name="Fig. 4 A-F" sheetId="20" r:id="rId5"/>
    <sheet name="Fig. 6 B-G" sheetId="21" r:id="rId6"/>
    <sheet name="AP" sheetId="13" r:id="rId7"/>
    <sheet name="AMBP" sheetId="14" r:id="rId8"/>
    <sheet name="SMBP" sheetId="15" r:id="rId9"/>
    <sheet name="MBP" sheetId="16" r:id="rId10"/>
    <sheet name="DIP" sheetId="17" r:id="rId11"/>
    <sheet name="DOP" sheetId="18" r:id="rId12"/>
    <sheet name="Dissolved P" sheetId="19" r:id="rId13"/>
    <sheet name="pH" sheetId="6" r:id="rId14"/>
    <sheet name="Data of soluble salt content" sheetId="7" r:id="rId15"/>
    <sheet name="OD600&amp;GIR" sheetId="5" r:id="rId16"/>
    <sheet name="TAP&amp;DIIP" sheetId="9" r:id="rId17"/>
    <sheet name="pH&amp;GIR correlation" sheetId="2" r:id="rId18"/>
    <sheet name="salt content&amp;GIR correlation" sheetId="3" r:id="rId19"/>
    <sheet name="AMBP&amp;DIIP correlation" sheetId="4" r:id="rId20"/>
    <sheet name="pH&amp;DIIP correlation" sheetId="8" r:id="rId21"/>
    <sheet name="Sheet1" sheetId="22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4" i="19" l="1"/>
  <c r="U24" i="19"/>
  <c r="T24" i="19"/>
  <c r="S24" i="19"/>
  <c r="R24" i="19"/>
  <c r="Q24" i="19"/>
  <c r="P24" i="19"/>
  <c r="O24" i="19"/>
  <c r="V23" i="19"/>
  <c r="U23" i="19"/>
  <c r="T23" i="19"/>
  <c r="S23" i="19"/>
  <c r="R23" i="19"/>
  <c r="Q23" i="19"/>
  <c r="P23" i="19"/>
  <c r="O23" i="19"/>
  <c r="AD16" i="19"/>
  <c r="AC16" i="19"/>
  <c r="AB16" i="19"/>
  <c r="AA16" i="19"/>
  <c r="Z16" i="19"/>
  <c r="Y16" i="19"/>
  <c r="X16" i="19"/>
  <c r="W16" i="19"/>
  <c r="V16" i="19"/>
  <c r="U16" i="19"/>
  <c r="T16" i="19"/>
  <c r="S16" i="19"/>
  <c r="R16" i="19"/>
  <c r="Q16" i="19"/>
  <c r="P16" i="19"/>
  <c r="O16" i="19"/>
  <c r="AD15" i="19"/>
  <c r="AC15" i="19"/>
  <c r="AB15" i="19"/>
  <c r="AA15" i="19"/>
  <c r="Z15" i="19"/>
  <c r="Y15" i="19"/>
  <c r="X15" i="19"/>
  <c r="W15" i="19"/>
  <c r="V15" i="19"/>
  <c r="U15" i="19"/>
  <c r="T15" i="19"/>
  <c r="S15" i="19"/>
  <c r="R15" i="19"/>
  <c r="Q15" i="19"/>
  <c r="P15" i="19"/>
  <c r="O15" i="19"/>
  <c r="J14" i="19"/>
  <c r="J13" i="19"/>
  <c r="J12" i="19"/>
  <c r="J11" i="19"/>
  <c r="J10" i="19"/>
  <c r="AD8" i="19"/>
  <c r="AC8" i="19"/>
  <c r="AB8" i="19"/>
  <c r="AA8" i="19"/>
  <c r="Z8" i="19"/>
  <c r="Y8" i="19"/>
  <c r="X8" i="19"/>
  <c r="W8" i="19"/>
  <c r="V8" i="19"/>
  <c r="U8" i="19"/>
  <c r="T8" i="19"/>
  <c r="S8" i="19"/>
  <c r="R8" i="19"/>
  <c r="Q8" i="19"/>
  <c r="P8" i="19"/>
  <c r="O8" i="19"/>
  <c r="AD7" i="19"/>
  <c r="AC7" i="19"/>
  <c r="AB7" i="19"/>
  <c r="AA7" i="19"/>
  <c r="Z7" i="19"/>
  <c r="Y7" i="19"/>
  <c r="X7" i="19"/>
  <c r="W7" i="19"/>
  <c r="V7" i="19"/>
  <c r="U7" i="19"/>
  <c r="T7" i="19"/>
  <c r="S7" i="19"/>
  <c r="R7" i="19"/>
  <c r="Q7" i="19"/>
  <c r="P7" i="19"/>
  <c r="O7" i="19"/>
  <c r="J6" i="19"/>
  <c r="I6" i="19"/>
  <c r="J5" i="19"/>
  <c r="I5" i="19"/>
  <c r="J4" i="19"/>
  <c r="I4" i="19"/>
  <c r="J3" i="19"/>
  <c r="I3" i="19"/>
  <c r="I2" i="19"/>
  <c r="Q24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D24" i="18"/>
  <c r="C24" i="18"/>
  <c r="B24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B23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C16" i="18"/>
  <c r="B16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B15" i="18"/>
  <c r="Q8" i="18"/>
  <c r="P8" i="18"/>
  <c r="O8" i="18"/>
  <c r="N8" i="18"/>
  <c r="M8" i="18"/>
  <c r="L8" i="18"/>
  <c r="K8" i="18"/>
  <c r="J8" i="18"/>
  <c r="I8" i="18"/>
  <c r="H8" i="18"/>
  <c r="G8" i="18"/>
  <c r="F8" i="18"/>
  <c r="E8" i="18"/>
  <c r="D8" i="18"/>
  <c r="C8" i="18"/>
  <c r="B8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C7" i="18"/>
  <c r="B7" i="18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B24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B23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B16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B15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8" i="17"/>
  <c r="B8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B7" i="17"/>
  <c r="V22" i="16"/>
  <c r="U22" i="16"/>
  <c r="T22" i="16"/>
  <c r="S22" i="16"/>
  <c r="R22" i="16"/>
  <c r="Q22" i="16"/>
  <c r="P22" i="16"/>
  <c r="I20" i="16"/>
  <c r="K20" i="16" s="1"/>
  <c r="I19" i="16"/>
  <c r="K19" i="16" s="1"/>
  <c r="I18" i="16"/>
  <c r="K18" i="16" s="1"/>
  <c r="I17" i="16"/>
  <c r="K17" i="16" s="1"/>
  <c r="I16" i="16"/>
  <c r="K16" i="16" s="1"/>
  <c r="AE15" i="16"/>
  <c r="AD15" i="16"/>
  <c r="AC15" i="16"/>
  <c r="AB15" i="16"/>
  <c r="AA15" i="16"/>
  <c r="Z15" i="16"/>
  <c r="Y15" i="16"/>
  <c r="X15" i="16"/>
  <c r="W15" i="16"/>
  <c r="V15" i="16"/>
  <c r="U15" i="16"/>
  <c r="T15" i="16"/>
  <c r="S15" i="16"/>
  <c r="R15" i="16"/>
  <c r="Q15" i="16"/>
  <c r="P15" i="16"/>
  <c r="AE14" i="16"/>
  <c r="AD14" i="16"/>
  <c r="AC14" i="16"/>
  <c r="AB14" i="16"/>
  <c r="AA14" i="16"/>
  <c r="Z14" i="16"/>
  <c r="Y14" i="16"/>
  <c r="X14" i="16"/>
  <c r="W14" i="16"/>
  <c r="V14" i="16"/>
  <c r="U14" i="16"/>
  <c r="T14" i="16"/>
  <c r="S14" i="16"/>
  <c r="R14" i="16"/>
  <c r="Q14" i="16"/>
  <c r="P14" i="16"/>
  <c r="I13" i="16"/>
  <c r="I12" i="16"/>
  <c r="I11" i="16"/>
  <c r="I10" i="16"/>
  <c r="I9" i="16"/>
  <c r="AE7" i="16"/>
  <c r="AD7" i="16"/>
  <c r="AC7" i="16"/>
  <c r="AB7" i="16"/>
  <c r="AA7" i="16"/>
  <c r="Z7" i="16"/>
  <c r="Y7" i="16"/>
  <c r="X7" i="16"/>
  <c r="W7" i="16"/>
  <c r="V7" i="16"/>
  <c r="U7" i="16"/>
  <c r="T7" i="16"/>
  <c r="S7" i="16"/>
  <c r="R7" i="16"/>
  <c r="Q7" i="16"/>
  <c r="P7" i="16"/>
  <c r="AE6" i="16"/>
  <c r="AD6" i="16"/>
  <c r="AC6" i="16"/>
  <c r="AB6" i="16"/>
  <c r="AA6" i="16"/>
  <c r="Z6" i="16"/>
  <c r="Y6" i="16"/>
  <c r="X6" i="16"/>
  <c r="W6" i="16"/>
  <c r="V6" i="16"/>
  <c r="U6" i="16"/>
  <c r="T6" i="16"/>
  <c r="S6" i="16"/>
  <c r="R6" i="16"/>
  <c r="Q6" i="16"/>
  <c r="P6" i="16"/>
  <c r="J6" i="16"/>
  <c r="I6" i="16"/>
  <c r="J5" i="16"/>
  <c r="I5" i="16"/>
  <c r="J4" i="16"/>
  <c r="I4" i="16"/>
  <c r="J3" i="16"/>
  <c r="I3" i="16"/>
  <c r="I2" i="16"/>
  <c r="H24" i="15"/>
  <c r="G24" i="15"/>
  <c r="F24" i="15"/>
  <c r="E24" i="15"/>
  <c r="D24" i="15"/>
  <c r="C24" i="15"/>
  <c r="B24" i="15"/>
  <c r="H23" i="15"/>
  <c r="G23" i="15"/>
  <c r="F23" i="15"/>
  <c r="E23" i="15"/>
  <c r="D23" i="15"/>
  <c r="C23" i="15"/>
  <c r="B23" i="15"/>
  <c r="Q16" i="15"/>
  <c r="P16" i="15"/>
  <c r="O16" i="15"/>
  <c r="N16" i="15"/>
  <c r="M16" i="15"/>
  <c r="L16" i="15"/>
  <c r="K16" i="15"/>
  <c r="J16" i="15"/>
  <c r="I16" i="15"/>
  <c r="H16" i="15"/>
  <c r="G16" i="15"/>
  <c r="F16" i="15"/>
  <c r="E16" i="15"/>
  <c r="D16" i="15"/>
  <c r="C16" i="15"/>
  <c r="B16" i="15"/>
  <c r="R15" i="15"/>
  <c r="Q15" i="15"/>
  <c r="P15" i="15"/>
  <c r="O15" i="15"/>
  <c r="N15" i="15"/>
  <c r="M15" i="15"/>
  <c r="L15" i="15"/>
  <c r="K15" i="15"/>
  <c r="J15" i="15"/>
  <c r="I15" i="15"/>
  <c r="H15" i="15"/>
  <c r="G15" i="15"/>
  <c r="F15" i="15"/>
  <c r="E15" i="15"/>
  <c r="D15" i="15"/>
  <c r="C15" i="15"/>
  <c r="B15" i="15"/>
  <c r="Q8" i="15"/>
  <c r="P8" i="15"/>
  <c r="O8" i="15"/>
  <c r="N8" i="15"/>
  <c r="M8" i="15"/>
  <c r="L8" i="15"/>
  <c r="K8" i="15"/>
  <c r="J8" i="15"/>
  <c r="I8" i="15"/>
  <c r="H8" i="15"/>
  <c r="G8" i="15"/>
  <c r="F8" i="15"/>
  <c r="E8" i="15"/>
  <c r="D8" i="15"/>
  <c r="C8" i="15"/>
  <c r="B8" i="15"/>
  <c r="Q7" i="15"/>
  <c r="P7" i="15"/>
  <c r="O7" i="15"/>
  <c r="N7" i="15"/>
  <c r="M7" i="15"/>
  <c r="L7" i="15"/>
  <c r="K7" i="15"/>
  <c r="J7" i="15"/>
  <c r="I7" i="15"/>
  <c r="H7" i="15"/>
  <c r="G7" i="15"/>
  <c r="F7" i="15"/>
  <c r="E7" i="15"/>
  <c r="D7" i="15"/>
  <c r="C7" i="15"/>
  <c r="B7" i="15"/>
  <c r="H24" i="14"/>
  <c r="G24" i="14"/>
  <c r="F24" i="14"/>
  <c r="E24" i="14"/>
  <c r="D24" i="14"/>
  <c r="C24" i="14"/>
  <c r="B24" i="14"/>
  <c r="H23" i="14"/>
  <c r="G23" i="14"/>
  <c r="F23" i="14"/>
  <c r="E23" i="14"/>
  <c r="D23" i="14"/>
  <c r="C23" i="14"/>
  <c r="B23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B16" i="14"/>
  <c r="Q15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C15" i="14"/>
  <c r="B15" i="14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D8" i="14"/>
  <c r="C8" i="14"/>
  <c r="B8" i="14"/>
  <c r="Q7" i="14"/>
  <c r="P7" i="14"/>
  <c r="O7" i="14"/>
  <c r="N7" i="14"/>
  <c r="M7" i="14"/>
  <c r="L7" i="14"/>
  <c r="K7" i="14"/>
  <c r="J7" i="14"/>
  <c r="I7" i="14"/>
  <c r="H7" i="14"/>
  <c r="G7" i="14"/>
  <c r="F7" i="14"/>
  <c r="E7" i="14"/>
  <c r="D7" i="14"/>
  <c r="C7" i="14"/>
  <c r="B7" i="14"/>
  <c r="H24" i="13"/>
  <c r="G24" i="13"/>
  <c r="F24" i="13"/>
  <c r="E24" i="13"/>
  <c r="D24" i="13"/>
  <c r="C24" i="13"/>
  <c r="B24" i="13"/>
  <c r="H23" i="13"/>
  <c r="G23" i="13"/>
  <c r="F23" i="13"/>
  <c r="E23" i="13"/>
  <c r="D23" i="13"/>
  <c r="C23" i="13"/>
  <c r="B23" i="13"/>
  <c r="Q16" i="13"/>
  <c r="P16" i="13"/>
  <c r="O16" i="13"/>
  <c r="N16" i="13"/>
  <c r="M16" i="13"/>
  <c r="L16" i="13"/>
  <c r="K16" i="13"/>
  <c r="J16" i="13"/>
  <c r="I16" i="13"/>
  <c r="H16" i="13"/>
  <c r="G16" i="13"/>
  <c r="F16" i="13"/>
  <c r="E16" i="13"/>
  <c r="D16" i="13"/>
  <c r="C16" i="13"/>
  <c r="B16" i="13"/>
  <c r="Q15" i="13"/>
  <c r="P15" i="13"/>
  <c r="O15" i="13"/>
  <c r="N15" i="13"/>
  <c r="M15" i="13"/>
  <c r="L15" i="13"/>
  <c r="K15" i="13"/>
  <c r="J15" i="13"/>
  <c r="I15" i="13"/>
  <c r="H15" i="13"/>
  <c r="G15" i="13"/>
  <c r="F15" i="13"/>
  <c r="E15" i="13"/>
  <c r="D15" i="13"/>
  <c r="C15" i="13"/>
  <c r="B15" i="13"/>
  <c r="Q8" i="13"/>
  <c r="P8" i="13"/>
  <c r="O8" i="13"/>
  <c r="N8" i="13"/>
  <c r="M8" i="13"/>
  <c r="L8" i="13"/>
  <c r="K8" i="13"/>
  <c r="J8" i="13"/>
  <c r="I8" i="13"/>
  <c r="H8" i="13"/>
  <c r="G8" i="13"/>
  <c r="F8" i="13"/>
  <c r="E8" i="13"/>
  <c r="D8" i="13"/>
  <c r="C8" i="13"/>
  <c r="B8" i="13"/>
  <c r="AA7" i="13"/>
  <c r="Q7" i="13"/>
  <c r="P7" i="13"/>
  <c r="O7" i="13"/>
  <c r="N7" i="13"/>
  <c r="M7" i="13"/>
  <c r="L7" i="13"/>
  <c r="K7" i="13"/>
  <c r="J7" i="13"/>
  <c r="I7" i="13"/>
  <c r="H7" i="13"/>
  <c r="G7" i="13"/>
  <c r="F7" i="13"/>
  <c r="E7" i="13"/>
  <c r="D7" i="13"/>
  <c r="C7" i="13"/>
  <c r="B7" i="13"/>
  <c r="AA6" i="13"/>
  <c r="AA5" i="13"/>
  <c r="AA4" i="13"/>
  <c r="AA3" i="13"/>
  <c r="R6" i="11" l="1"/>
  <c r="N6" i="11"/>
  <c r="J6" i="11"/>
  <c r="B6" i="11"/>
  <c r="G30" i="10" l="1"/>
  <c r="C30" i="10"/>
  <c r="D30" i="10"/>
  <c r="E30" i="10"/>
  <c r="F30" i="10"/>
  <c r="B30" i="10"/>
  <c r="C24" i="10"/>
  <c r="D24" i="10"/>
  <c r="E24" i="10"/>
  <c r="F24" i="10"/>
  <c r="G24" i="10"/>
  <c r="B24" i="10"/>
  <c r="K7" i="8" l="1"/>
  <c r="J25" i="8"/>
  <c r="J24" i="8"/>
  <c r="J23" i="8"/>
  <c r="J22" i="8"/>
  <c r="J19" i="8"/>
  <c r="J18" i="8"/>
  <c r="J17" i="8"/>
  <c r="J14" i="8"/>
  <c r="J13" i="8"/>
  <c r="J12" i="8"/>
  <c r="J10" i="8"/>
  <c r="J9" i="8"/>
  <c r="J8" i="8"/>
  <c r="J7" i="8"/>
  <c r="Y15" i="6"/>
  <c r="Y16" i="6"/>
  <c r="Y17" i="6"/>
  <c r="Y19" i="6"/>
  <c r="Y20" i="6"/>
  <c r="Y21" i="6"/>
  <c r="Y24" i="6"/>
  <c r="Y25" i="6"/>
  <c r="Y26" i="6"/>
  <c r="Y29" i="6"/>
  <c r="Y30" i="6"/>
  <c r="Y31" i="6"/>
  <c r="Y32" i="6"/>
  <c r="Y14" i="6"/>
  <c r="G39" i="7" l="1"/>
  <c r="F39" i="7"/>
  <c r="E39" i="7"/>
  <c r="D39" i="7"/>
  <c r="C39" i="7"/>
  <c r="B39" i="7"/>
  <c r="G38" i="7"/>
  <c r="F38" i="7"/>
  <c r="E38" i="7"/>
  <c r="D38" i="7"/>
  <c r="C38" i="7"/>
  <c r="B38" i="7"/>
  <c r="O29" i="7"/>
  <c r="N29" i="7"/>
  <c r="M29" i="7"/>
  <c r="L29" i="7"/>
  <c r="K29" i="7"/>
  <c r="J29" i="7"/>
  <c r="F29" i="7"/>
  <c r="E29" i="7"/>
  <c r="D29" i="7"/>
  <c r="C29" i="7"/>
  <c r="B29" i="7"/>
  <c r="O28" i="7"/>
  <c r="N28" i="7"/>
  <c r="M28" i="7"/>
  <c r="L28" i="7"/>
  <c r="K28" i="7"/>
  <c r="J28" i="7"/>
  <c r="F28" i="7"/>
  <c r="E28" i="7"/>
  <c r="D28" i="7"/>
  <c r="C28" i="7"/>
  <c r="B28" i="7"/>
  <c r="O40" i="7"/>
  <c r="N40" i="7"/>
  <c r="M40" i="7"/>
  <c r="L40" i="7"/>
  <c r="K40" i="7"/>
  <c r="N19" i="7"/>
  <c r="M19" i="7"/>
  <c r="L19" i="7"/>
  <c r="K19" i="7"/>
  <c r="J19" i="7"/>
  <c r="F19" i="7"/>
  <c r="E19" i="7"/>
  <c r="D19" i="7"/>
  <c r="C19" i="7"/>
  <c r="B19" i="7"/>
  <c r="N18" i="7"/>
  <c r="M18" i="7"/>
  <c r="L18" i="7"/>
  <c r="K18" i="7"/>
  <c r="J18" i="7"/>
  <c r="F18" i="7"/>
  <c r="E18" i="7"/>
  <c r="D18" i="7"/>
  <c r="C18" i="7"/>
  <c r="B18" i="7"/>
  <c r="N9" i="7"/>
  <c r="M9" i="7"/>
  <c r="L9" i="7"/>
  <c r="K9" i="7"/>
  <c r="J9" i="7"/>
  <c r="G9" i="7"/>
  <c r="F9" i="7"/>
  <c r="E9" i="7"/>
  <c r="D9" i="7"/>
  <c r="C9" i="7"/>
  <c r="B9" i="7"/>
  <c r="T8" i="7"/>
  <c r="S8" i="7"/>
  <c r="R8" i="7"/>
  <c r="N8" i="7"/>
  <c r="M8" i="7"/>
  <c r="L8" i="7"/>
  <c r="K8" i="7"/>
  <c r="J8" i="7"/>
  <c r="G8" i="7"/>
  <c r="F8" i="7"/>
  <c r="E8" i="7"/>
  <c r="D8" i="7"/>
  <c r="C8" i="7"/>
  <c r="B8" i="7"/>
  <c r="M28" i="6" l="1"/>
  <c r="L28" i="6"/>
  <c r="K28" i="6"/>
  <c r="J28" i="6"/>
  <c r="I28" i="6"/>
  <c r="F28" i="6"/>
  <c r="E28" i="6"/>
  <c r="D28" i="6"/>
  <c r="C28" i="6"/>
  <c r="B28" i="6"/>
  <c r="M27" i="6"/>
  <c r="L27" i="6"/>
  <c r="K27" i="6"/>
  <c r="J27" i="6"/>
  <c r="I27" i="6"/>
  <c r="F27" i="6"/>
  <c r="E27" i="6"/>
  <c r="D27" i="6"/>
  <c r="C27" i="6"/>
  <c r="B27" i="6"/>
  <c r="M18" i="6"/>
  <c r="L18" i="6"/>
  <c r="K18" i="6"/>
  <c r="J18" i="6"/>
  <c r="I18" i="6"/>
  <c r="F18" i="6"/>
  <c r="E18" i="6"/>
  <c r="D18" i="6"/>
  <c r="C18" i="6"/>
  <c r="B18" i="6"/>
  <c r="M17" i="6"/>
  <c r="L17" i="6"/>
  <c r="K17" i="6"/>
  <c r="J17" i="6"/>
  <c r="I17" i="6"/>
  <c r="F17" i="6"/>
  <c r="E17" i="6"/>
  <c r="D17" i="6"/>
  <c r="C17" i="6"/>
  <c r="B17" i="6"/>
  <c r="M8" i="6"/>
  <c r="L8" i="6"/>
  <c r="K8" i="6"/>
  <c r="J8" i="6"/>
  <c r="I8" i="6"/>
  <c r="F8" i="6"/>
  <c r="E8" i="6"/>
  <c r="D8" i="6"/>
  <c r="C8" i="6"/>
  <c r="B8" i="6"/>
  <c r="M7" i="6"/>
  <c r="L7" i="6"/>
  <c r="K7" i="6"/>
  <c r="J7" i="6"/>
  <c r="I7" i="6"/>
  <c r="F7" i="6"/>
  <c r="E7" i="6"/>
  <c r="D7" i="6"/>
  <c r="C7" i="6"/>
  <c r="B7" i="6"/>
  <c r="L44" i="5"/>
  <c r="L45" i="5"/>
  <c r="L46" i="5"/>
  <c r="L43" i="5"/>
  <c r="L174" i="5" l="1"/>
  <c r="L175" i="5"/>
  <c r="L176" i="5"/>
  <c r="K174" i="5"/>
  <c r="K175" i="5"/>
  <c r="K176" i="5"/>
  <c r="J174" i="5"/>
  <c r="J175" i="5"/>
  <c r="J176" i="5"/>
  <c r="I174" i="5"/>
  <c r="I175" i="5"/>
  <c r="I176" i="5"/>
  <c r="H174" i="5"/>
  <c r="H176" i="5"/>
  <c r="L173" i="5"/>
  <c r="I173" i="5"/>
  <c r="L164" i="5"/>
  <c r="L165" i="5"/>
  <c r="L166" i="5"/>
  <c r="K164" i="5"/>
  <c r="K165" i="5"/>
  <c r="K166" i="5"/>
  <c r="J164" i="5"/>
  <c r="J165" i="5"/>
  <c r="J166" i="5"/>
  <c r="I164" i="5"/>
  <c r="I165" i="5"/>
  <c r="I166" i="5"/>
  <c r="H164" i="5"/>
  <c r="H166" i="5"/>
  <c r="L163" i="5"/>
  <c r="I163" i="5"/>
  <c r="L154" i="5"/>
  <c r="L155" i="5"/>
  <c r="L156" i="5"/>
  <c r="K154" i="5"/>
  <c r="K155" i="5"/>
  <c r="K156" i="5"/>
  <c r="J154" i="5"/>
  <c r="J155" i="5"/>
  <c r="J156" i="5"/>
  <c r="I154" i="5"/>
  <c r="I155" i="5"/>
  <c r="I156" i="5"/>
  <c r="H154" i="5"/>
  <c r="H156" i="5"/>
  <c r="L153" i="5"/>
  <c r="I153" i="5"/>
  <c r="L144" i="5"/>
  <c r="L145" i="5"/>
  <c r="L146" i="5"/>
  <c r="K144" i="5"/>
  <c r="K145" i="5"/>
  <c r="K146" i="5"/>
  <c r="J144" i="5"/>
  <c r="J145" i="5"/>
  <c r="J146" i="5"/>
  <c r="I144" i="5"/>
  <c r="I145" i="5"/>
  <c r="I146" i="5"/>
  <c r="L143" i="5"/>
  <c r="I143" i="5"/>
  <c r="H144" i="5"/>
  <c r="H146" i="5"/>
  <c r="L134" i="5"/>
  <c r="L135" i="5"/>
  <c r="L136" i="5"/>
  <c r="K134" i="5"/>
  <c r="K135" i="5"/>
  <c r="K136" i="5"/>
  <c r="J134" i="5"/>
  <c r="J135" i="5"/>
  <c r="J136" i="5"/>
  <c r="I134" i="5"/>
  <c r="I135" i="5"/>
  <c r="I136" i="5"/>
  <c r="L133" i="5"/>
  <c r="I133" i="5"/>
  <c r="H134" i="5"/>
  <c r="H136" i="5"/>
  <c r="L124" i="5"/>
  <c r="L125" i="5"/>
  <c r="L126" i="5"/>
  <c r="K124" i="5"/>
  <c r="K125" i="5"/>
  <c r="K126" i="5"/>
  <c r="J124" i="5"/>
  <c r="J125" i="5"/>
  <c r="J126" i="5"/>
  <c r="I124" i="5"/>
  <c r="I125" i="5"/>
  <c r="I126" i="5"/>
  <c r="L123" i="5"/>
  <c r="I123" i="5"/>
  <c r="H124" i="5"/>
  <c r="H126" i="5"/>
  <c r="L114" i="5"/>
  <c r="L115" i="5"/>
  <c r="L116" i="5"/>
  <c r="K114" i="5"/>
  <c r="K115" i="5"/>
  <c r="K116" i="5"/>
  <c r="J114" i="5"/>
  <c r="J115" i="5"/>
  <c r="J116" i="5"/>
  <c r="I114" i="5"/>
  <c r="I115" i="5"/>
  <c r="I116" i="5"/>
  <c r="L113" i="5"/>
  <c r="I113" i="5"/>
  <c r="H114" i="5"/>
  <c r="H116" i="5"/>
  <c r="L104" i="5"/>
  <c r="L105" i="5"/>
  <c r="L106" i="5"/>
  <c r="K104" i="5"/>
  <c r="K105" i="5"/>
  <c r="K106" i="5"/>
  <c r="J104" i="5"/>
  <c r="J105" i="5"/>
  <c r="J106" i="5"/>
  <c r="I104" i="5"/>
  <c r="I105" i="5"/>
  <c r="I106" i="5"/>
  <c r="L103" i="5"/>
  <c r="I103" i="5"/>
  <c r="H104" i="5"/>
  <c r="H106" i="5"/>
  <c r="H103" i="5"/>
  <c r="L94" i="5"/>
  <c r="L95" i="5"/>
  <c r="L96" i="5"/>
  <c r="L93" i="5"/>
  <c r="K94" i="5"/>
  <c r="K95" i="5"/>
  <c r="K96" i="5"/>
  <c r="J94" i="5"/>
  <c r="J95" i="5"/>
  <c r="J96" i="5"/>
  <c r="I94" i="5"/>
  <c r="I95" i="5"/>
  <c r="I96" i="5"/>
  <c r="I93" i="5"/>
  <c r="H94" i="5"/>
  <c r="H96" i="5"/>
  <c r="H93" i="5"/>
  <c r="L84" i="5"/>
  <c r="L85" i="5"/>
  <c r="L86" i="5"/>
  <c r="L83" i="5"/>
  <c r="K84" i="5"/>
  <c r="K85" i="5"/>
  <c r="K86" i="5"/>
  <c r="J84" i="5"/>
  <c r="J85" i="5"/>
  <c r="J86" i="5"/>
  <c r="I84" i="5"/>
  <c r="I85" i="5"/>
  <c r="I86" i="5"/>
  <c r="I83" i="5"/>
  <c r="H84" i="5"/>
  <c r="H86" i="5"/>
  <c r="H83" i="5"/>
  <c r="L74" i="5"/>
  <c r="L75" i="5"/>
  <c r="L76" i="5"/>
  <c r="L73" i="5"/>
  <c r="K74" i="5"/>
  <c r="K75" i="5"/>
  <c r="K76" i="5"/>
  <c r="J74" i="5"/>
  <c r="J75" i="5"/>
  <c r="J76" i="5"/>
  <c r="I74" i="5"/>
  <c r="I75" i="5"/>
  <c r="I76" i="5"/>
  <c r="I73" i="5"/>
  <c r="H74" i="5"/>
  <c r="H76" i="5"/>
  <c r="H73" i="5"/>
  <c r="L64" i="5"/>
  <c r="L65" i="5"/>
  <c r="L66" i="5"/>
  <c r="L63" i="5"/>
  <c r="K64" i="5"/>
  <c r="K65" i="5"/>
  <c r="K66" i="5"/>
  <c r="K63" i="5"/>
  <c r="J64" i="5"/>
  <c r="J65" i="5"/>
  <c r="J66" i="5"/>
  <c r="I64" i="5"/>
  <c r="I65" i="5"/>
  <c r="I66" i="5"/>
  <c r="I63" i="5"/>
  <c r="H64" i="5"/>
  <c r="H66" i="5"/>
  <c r="H63" i="5"/>
  <c r="L54" i="5"/>
  <c r="L55" i="5"/>
  <c r="L56" i="5"/>
  <c r="L53" i="5"/>
  <c r="K54" i="5"/>
  <c r="K55" i="5"/>
  <c r="K56" i="5"/>
  <c r="K53" i="5"/>
  <c r="J54" i="5"/>
  <c r="J55" i="5"/>
  <c r="J56" i="5"/>
  <c r="I54" i="5"/>
  <c r="I55" i="5"/>
  <c r="I56" i="5"/>
  <c r="I53" i="5"/>
  <c r="H54" i="5"/>
  <c r="H56" i="5"/>
  <c r="H53" i="5"/>
  <c r="K44" i="5"/>
  <c r="K45" i="5"/>
  <c r="K46" i="5"/>
  <c r="J44" i="5"/>
  <c r="J45" i="5"/>
  <c r="J46" i="5"/>
  <c r="I44" i="5"/>
  <c r="I45" i="5"/>
  <c r="I46" i="5"/>
  <c r="K43" i="5"/>
  <c r="I43" i="5"/>
  <c r="H44" i="5"/>
  <c r="H45" i="5"/>
  <c r="H46" i="5"/>
  <c r="H43" i="5"/>
  <c r="L34" i="5"/>
  <c r="L35" i="5"/>
  <c r="L36" i="5"/>
  <c r="K34" i="5"/>
  <c r="K35" i="5"/>
  <c r="K36" i="5"/>
  <c r="J36" i="5"/>
  <c r="J34" i="5"/>
  <c r="J35" i="5"/>
  <c r="I34" i="5"/>
  <c r="I35" i="5"/>
  <c r="I36" i="5"/>
  <c r="L33" i="5"/>
  <c r="K33" i="5"/>
  <c r="J33" i="5"/>
  <c r="I33" i="5"/>
  <c r="H34" i="5"/>
  <c r="H35" i="5"/>
  <c r="H36" i="5"/>
  <c r="H33" i="5"/>
  <c r="L24" i="5"/>
  <c r="L25" i="5"/>
  <c r="L26" i="5"/>
  <c r="K24" i="5"/>
  <c r="K25" i="5"/>
  <c r="K26" i="5"/>
  <c r="J24" i="5"/>
  <c r="J25" i="5"/>
  <c r="J26" i="5"/>
  <c r="I24" i="5"/>
  <c r="I25" i="5"/>
  <c r="I26" i="5"/>
  <c r="H24" i="5"/>
  <c r="H25" i="5"/>
  <c r="H26" i="5"/>
  <c r="L23" i="5"/>
  <c r="K23" i="5"/>
  <c r="J23" i="5"/>
  <c r="I23" i="5"/>
  <c r="H23" i="5"/>
  <c r="H14" i="5"/>
  <c r="H15" i="5"/>
  <c r="H16" i="5"/>
  <c r="H13" i="5"/>
  <c r="L14" i="5"/>
  <c r="L15" i="5"/>
  <c r="L16" i="5"/>
  <c r="K14" i="5"/>
  <c r="K15" i="5"/>
  <c r="K16" i="5"/>
  <c r="J14" i="5"/>
  <c r="J15" i="5"/>
  <c r="J16" i="5"/>
  <c r="I14" i="5"/>
  <c r="I16" i="5"/>
  <c r="L13" i="5"/>
  <c r="K13" i="5"/>
  <c r="J13" i="5"/>
  <c r="I13" i="5"/>
  <c r="L4" i="5"/>
  <c r="L5" i="5"/>
  <c r="L6" i="5"/>
  <c r="L3" i="5"/>
  <c r="K4" i="5"/>
  <c r="K5" i="5"/>
  <c r="K6" i="5"/>
  <c r="K3" i="5"/>
  <c r="J4" i="5"/>
  <c r="J5" i="5"/>
  <c r="J6" i="5"/>
  <c r="J3" i="5"/>
  <c r="I4" i="5"/>
  <c r="I5" i="5"/>
  <c r="I6" i="5"/>
  <c r="I3" i="5"/>
  <c r="H4" i="5"/>
  <c r="H5" i="5"/>
  <c r="H6" i="5"/>
  <c r="H3" i="5"/>
</calcChain>
</file>

<file path=xl/sharedStrings.xml><?xml version="1.0" encoding="utf-8"?>
<sst xmlns="http://schemas.openxmlformats.org/spreadsheetml/2006/main" count="1589" uniqueCount="196">
  <si>
    <t>D</t>
    <phoneticPr fontId="5" type="noConversion"/>
  </si>
  <si>
    <t>C</t>
    <phoneticPr fontId="5" type="noConversion"/>
  </si>
  <si>
    <t>B</t>
    <phoneticPr fontId="5" type="noConversion"/>
  </si>
  <si>
    <t>A</t>
    <phoneticPr fontId="5" type="noConversion"/>
  </si>
  <si>
    <t>0h</t>
    <phoneticPr fontId="5" type="noConversion"/>
  </si>
  <si>
    <t>10h</t>
    <phoneticPr fontId="5" type="noConversion"/>
  </si>
  <si>
    <t>17h</t>
    <phoneticPr fontId="5" type="noConversion"/>
  </si>
  <si>
    <t>26h</t>
    <phoneticPr fontId="5" type="noConversion"/>
  </si>
  <si>
    <t>32h</t>
    <phoneticPr fontId="5" type="noConversion"/>
  </si>
  <si>
    <t>48h</t>
    <phoneticPr fontId="5" type="noConversion"/>
  </si>
  <si>
    <t>60h</t>
    <phoneticPr fontId="5" type="noConversion"/>
  </si>
  <si>
    <t>72h</t>
    <phoneticPr fontId="5" type="noConversion"/>
  </si>
  <si>
    <t>84h</t>
    <phoneticPr fontId="5" type="noConversion"/>
  </si>
  <si>
    <t>96h</t>
    <phoneticPr fontId="5" type="noConversion"/>
  </si>
  <si>
    <t>120h</t>
    <phoneticPr fontId="5" type="noConversion"/>
  </si>
  <si>
    <t>144h</t>
    <phoneticPr fontId="5" type="noConversion"/>
  </si>
  <si>
    <t>168h</t>
    <phoneticPr fontId="5" type="noConversion"/>
  </si>
  <si>
    <t>192h</t>
    <phoneticPr fontId="5" type="noConversion"/>
  </si>
  <si>
    <t>216h</t>
    <phoneticPr fontId="5" type="noConversion"/>
  </si>
  <si>
    <t>240h</t>
    <phoneticPr fontId="5" type="noConversion"/>
  </si>
  <si>
    <t>360h</t>
    <phoneticPr fontId="5" type="noConversion"/>
  </si>
  <si>
    <t>504h</t>
    <phoneticPr fontId="5" type="noConversion"/>
  </si>
  <si>
    <t>A</t>
  </si>
  <si>
    <t>A</t>
    <phoneticPr fontId="1" type="noConversion"/>
  </si>
  <si>
    <t>B</t>
  </si>
  <si>
    <t>B</t>
    <phoneticPr fontId="1" type="noConversion"/>
  </si>
  <si>
    <t>C</t>
  </si>
  <si>
    <t>C</t>
    <phoneticPr fontId="1" type="noConversion"/>
  </si>
  <si>
    <t>D</t>
  </si>
  <si>
    <t>D</t>
    <phoneticPr fontId="1" type="noConversion"/>
  </si>
  <si>
    <t>10h</t>
  </si>
  <si>
    <t>7d</t>
    <phoneticPr fontId="5" type="noConversion"/>
  </si>
  <si>
    <t>60h</t>
  </si>
  <si>
    <t>15d</t>
  </si>
  <si>
    <t>5d</t>
  </si>
  <si>
    <t>21d</t>
  </si>
  <si>
    <t>CK</t>
  </si>
  <si>
    <t>CK0</t>
  </si>
  <si>
    <t>CK7</t>
  </si>
  <si>
    <t>CK21</t>
  </si>
  <si>
    <t>CK</t>
    <phoneticPr fontId="5" type="noConversion"/>
  </si>
  <si>
    <t>P=0.003</t>
    <phoneticPr fontId="1" type="noConversion"/>
  </si>
  <si>
    <t>P=0.657</t>
    <phoneticPr fontId="1" type="noConversion"/>
  </si>
  <si>
    <t>P=0.867</t>
    <phoneticPr fontId="1" type="noConversion"/>
  </si>
  <si>
    <t>0h</t>
    <phoneticPr fontId="1" type="noConversion"/>
  </si>
  <si>
    <t>10d</t>
    <phoneticPr fontId="1" type="noConversion"/>
  </si>
  <si>
    <t>CK</t>
    <phoneticPr fontId="1" type="noConversion"/>
  </si>
  <si>
    <t>2d</t>
    <phoneticPr fontId="1" type="noConversion"/>
  </si>
  <si>
    <t>4d</t>
    <phoneticPr fontId="1" type="noConversion"/>
  </si>
  <si>
    <t>7d</t>
    <phoneticPr fontId="1" type="noConversion"/>
  </si>
  <si>
    <t>P=0.223</t>
    <phoneticPr fontId="1" type="noConversion"/>
  </si>
  <si>
    <t>P=0.004</t>
    <phoneticPr fontId="1" type="noConversion"/>
  </si>
  <si>
    <t>P=0.792</t>
    <phoneticPr fontId="1" type="noConversion"/>
  </si>
  <si>
    <t>7-21d average Ph</t>
    <phoneticPr fontId="1" type="noConversion"/>
  </si>
  <si>
    <t>D0</t>
    <phoneticPr fontId="5" type="noConversion"/>
  </si>
  <si>
    <t>D2</t>
    <phoneticPr fontId="5" type="noConversion"/>
  </si>
  <si>
    <t>D4</t>
    <phoneticPr fontId="5" type="noConversion"/>
  </si>
  <si>
    <t>D7</t>
    <phoneticPr fontId="5" type="noConversion"/>
  </si>
  <si>
    <t>D10</t>
    <phoneticPr fontId="5" type="noConversion"/>
  </si>
  <si>
    <t>D15</t>
    <phoneticPr fontId="5" type="noConversion"/>
  </si>
  <si>
    <t>D21</t>
    <phoneticPr fontId="5" type="noConversion"/>
  </si>
  <si>
    <t>CAS-1</t>
    <phoneticPr fontId="1" type="noConversion"/>
  </si>
  <si>
    <t>Fig. 1B</t>
    <phoneticPr fontId="1" type="noConversion"/>
  </si>
  <si>
    <t>Element components in the lunar regolith and its simulant</t>
    <phoneticPr fontId="1" type="noConversion"/>
  </si>
  <si>
    <t>Fig. 1C</t>
    <phoneticPr fontId="1" type="noConversion"/>
  </si>
  <si>
    <t>The phosphorus dissolved in the Ca3(PO4)2 decomposition test</t>
    <phoneticPr fontId="1" type="noConversion"/>
  </si>
  <si>
    <t>After 7 days of culture</t>
    <phoneticPr fontId="5" type="noConversion"/>
  </si>
  <si>
    <t>B. mucilaginosus</t>
  </si>
  <si>
    <t>B. mucilaginosus</t>
    <phoneticPr fontId="5" type="noConversion"/>
  </si>
  <si>
    <t>B. megaterium</t>
  </si>
  <si>
    <t>B. subtilis</t>
  </si>
  <si>
    <t>B. licheniformis</t>
  </si>
  <si>
    <t>P. fluorescens</t>
  </si>
  <si>
    <t>Blank control</t>
    <phoneticPr fontId="5" type="noConversion"/>
  </si>
  <si>
    <t>Before culture</t>
    <phoneticPr fontId="1" type="noConversion"/>
  </si>
  <si>
    <t>replicate 1</t>
    <phoneticPr fontId="1" type="noConversion"/>
  </si>
  <si>
    <t>replicate 2</t>
  </si>
  <si>
    <t>replicate 3</t>
  </si>
  <si>
    <t>average value</t>
    <phoneticPr fontId="1" type="noConversion"/>
  </si>
  <si>
    <t>SD</t>
    <phoneticPr fontId="1" type="noConversion"/>
  </si>
  <si>
    <t>Fig. 2 A</t>
    <phoneticPr fontId="1" type="noConversion"/>
  </si>
  <si>
    <t>The pH of the culture medium at 7 DAI in the lunar regolith simulant culture experiment</t>
    <phoneticPr fontId="1" type="noConversion"/>
  </si>
  <si>
    <t>control without simulant</t>
    <phoneticPr fontId="5" type="noConversion"/>
  </si>
  <si>
    <t>simulant treatments</t>
    <phoneticPr fontId="5" type="noConversion"/>
  </si>
  <si>
    <t>Growth curve data</t>
    <phoneticPr fontId="1" type="noConversion"/>
  </si>
  <si>
    <t>time</t>
    <phoneticPr fontId="5" type="noConversion"/>
  </si>
  <si>
    <t>control</t>
    <phoneticPr fontId="5" type="noConversion"/>
  </si>
  <si>
    <t>Control</t>
    <phoneticPr fontId="1" type="noConversion"/>
  </si>
  <si>
    <t>Fig. 2 B</t>
    <phoneticPr fontId="1" type="noConversion"/>
  </si>
  <si>
    <t>culture time</t>
    <phoneticPr fontId="5" type="noConversion"/>
  </si>
  <si>
    <t>Fig. 2D</t>
    <phoneticPr fontId="1" type="noConversion"/>
  </si>
  <si>
    <t>Fig. 2C</t>
    <phoneticPr fontId="1" type="noConversion"/>
  </si>
  <si>
    <t>originlab</t>
    <phoneticPr fontId="1" type="noConversion"/>
  </si>
  <si>
    <t>originlab图</t>
    <phoneticPr fontId="1" type="noConversion"/>
  </si>
  <si>
    <t>originlab作图</t>
    <phoneticPr fontId="1" type="noConversion"/>
  </si>
  <si>
    <t>control</t>
    <phoneticPr fontId="1" type="noConversion"/>
  </si>
  <si>
    <t>Fig. 3A</t>
    <phoneticPr fontId="1" type="noConversion"/>
  </si>
  <si>
    <t>Fig. 3D</t>
    <phoneticPr fontId="1" type="noConversion"/>
  </si>
  <si>
    <t>Culture time(days)</t>
    <phoneticPr fontId="1" type="noConversion"/>
  </si>
  <si>
    <t>Fig. 3B</t>
    <phoneticPr fontId="1" type="noConversion"/>
  </si>
  <si>
    <t>Fig. 3C</t>
    <phoneticPr fontId="1" type="noConversion"/>
  </si>
  <si>
    <t>Fig. 3E</t>
    <phoneticPr fontId="1" type="noConversion"/>
  </si>
  <si>
    <t>Fig. 3F</t>
    <phoneticPr fontId="1" type="noConversion"/>
  </si>
  <si>
    <t>Fig. 3G</t>
    <phoneticPr fontId="1" type="noConversion"/>
  </si>
  <si>
    <t>Fig. 3H</t>
    <phoneticPr fontId="1" type="noConversion"/>
  </si>
  <si>
    <t>Fig.4A</t>
    <phoneticPr fontId="1" type="noConversion"/>
  </si>
  <si>
    <t>DIP</t>
    <phoneticPr fontId="1" type="noConversion"/>
  </si>
  <si>
    <t>DOP</t>
    <phoneticPr fontId="1" type="noConversion"/>
  </si>
  <si>
    <t>SMBP</t>
    <phoneticPr fontId="1" type="noConversion"/>
  </si>
  <si>
    <t>AMBP</t>
    <phoneticPr fontId="1" type="noConversion"/>
  </si>
  <si>
    <t>AP</t>
    <phoneticPr fontId="1" type="noConversion"/>
  </si>
  <si>
    <t>Fig.4B</t>
    <phoneticPr fontId="1" type="noConversion"/>
  </si>
  <si>
    <t>Fig.4C</t>
    <phoneticPr fontId="1" type="noConversion"/>
  </si>
  <si>
    <t>Fig.4D</t>
    <phoneticPr fontId="1" type="noConversion"/>
  </si>
  <si>
    <t>Fig.4E</t>
    <phoneticPr fontId="1" type="noConversion"/>
  </si>
  <si>
    <t>Fig.4f</t>
    <phoneticPr fontId="1" type="noConversion"/>
  </si>
  <si>
    <t>Contribution ratio</t>
    <phoneticPr fontId="1" type="noConversion"/>
  </si>
  <si>
    <t>average</t>
    <phoneticPr fontId="1" type="noConversion"/>
  </si>
  <si>
    <t>DIIP</t>
    <phoneticPr fontId="1" type="noConversion"/>
  </si>
  <si>
    <t>GIR</t>
    <phoneticPr fontId="1" type="noConversion"/>
  </si>
  <si>
    <t>average</t>
  </si>
  <si>
    <t>average</t>
    <phoneticPr fontId="5" type="noConversion"/>
  </si>
  <si>
    <t>SD</t>
  </si>
  <si>
    <t>SD</t>
    <phoneticPr fontId="5" type="noConversion"/>
  </si>
  <si>
    <t>AP</t>
    <phoneticPr fontId="5" type="noConversion"/>
  </si>
  <si>
    <t>Average</t>
    <phoneticPr fontId="5" type="noConversion"/>
  </si>
  <si>
    <t>AMBP</t>
    <phoneticPr fontId="5" type="noConversion"/>
  </si>
  <si>
    <t>B. licheniformisnamics of the dissolved phosphorus content in the culture medium</t>
  </si>
  <si>
    <t>B. licheniformisnamics of the DIP in the culture medium</t>
  </si>
  <si>
    <t>B. licheniformisnamics of the DOP in the culture medium</t>
  </si>
  <si>
    <t>B. licheniformisnamics of the MBP in the culture</t>
  </si>
  <si>
    <t>B. licheniformisnamics of the SMBP in the culture</t>
  </si>
  <si>
    <t>B. licheniformisnamics of the AMBP in the culture</t>
  </si>
  <si>
    <t>average数</t>
  </si>
  <si>
    <t>total</t>
    <phoneticPr fontId="1" type="noConversion"/>
  </si>
  <si>
    <t>inorganic</t>
    <phoneticPr fontId="1" type="noConversion"/>
  </si>
  <si>
    <t>organic</t>
    <phoneticPr fontId="1" type="noConversion"/>
  </si>
  <si>
    <t>DOP</t>
    <phoneticPr fontId="5" type="noConversion"/>
  </si>
  <si>
    <t>DIP</t>
    <phoneticPr fontId="5" type="noConversion"/>
  </si>
  <si>
    <t>Attached</t>
    <phoneticPr fontId="1" type="noConversion"/>
  </si>
  <si>
    <t>suspended</t>
    <phoneticPr fontId="1" type="noConversion"/>
  </si>
  <si>
    <t>SMBP</t>
    <phoneticPr fontId="5" type="noConversion"/>
  </si>
  <si>
    <t>No simulant no PSMs</t>
    <phoneticPr fontId="1" type="noConversion"/>
  </si>
  <si>
    <t>control</t>
  </si>
  <si>
    <t>GIIP</t>
    <phoneticPr fontId="1" type="noConversion"/>
  </si>
  <si>
    <t>TAP</t>
    <phoneticPr fontId="1" type="noConversion"/>
  </si>
  <si>
    <t>The dynamics of the soluble salt content in the culture medium.</t>
    <phoneticPr fontId="1" type="noConversion"/>
  </si>
  <si>
    <t>The dynamics of the pH of the culture medium</t>
    <phoneticPr fontId="1" type="noConversion"/>
  </si>
  <si>
    <t>p=0.437</t>
    <phoneticPr fontId="1" type="noConversion"/>
  </si>
  <si>
    <t>P=0.000</t>
    <phoneticPr fontId="1" type="noConversion"/>
  </si>
  <si>
    <t>P=0.001</t>
    <phoneticPr fontId="1" type="noConversion"/>
  </si>
  <si>
    <t>simulants</t>
    <phoneticPr fontId="1" type="noConversion"/>
  </si>
  <si>
    <t>B. mucilaginosus</t>
    <phoneticPr fontId="1" type="noConversion"/>
  </si>
  <si>
    <t>Fe</t>
  </si>
  <si>
    <t>Mg</t>
  </si>
  <si>
    <t>Ca</t>
  </si>
  <si>
    <t>Na</t>
  </si>
  <si>
    <t>K</t>
  </si>
  <si>
    <t>Mn</t>
  </si>
  <si>
    <t>P</t>
  </si>
  <si>
    <t>replicate1</t>
    <phoneticPr fontId="1" type="noConversion"/>
  </si>
  <si>
    <t>replicate2</t>
    <phoneticPr fontId="1" type="noConversion"/>
  </si>
  <si>
    <t>replicate3</t>
  </si>
  <si>
    <t>Apollo 14 samples</t>
    <phoneticPr fontId="1" type="noConversion"/>
  </si>
  <si>
    <t>b length of seedlings at 6 DAS</t>
    <phoneticPr fontId="1" type="noConversion"/>
  </si>
  <si>
    <t>a Fresh weight of plants at 24 DAS</t>
    <phoneticPr fontId="1" type="noConversion"/>
  </si>
  <si>
    <t>b chlorophyll content of leaves at 24 DAS</t>
    <phoneticPr fontId="1" type="noConversion"/>
  </si>
  <si>
    <t>Blank control</t>
    <phoneticPr fontId="1" type="noConversion"/>
  </si>
  <si>
    <t>Sterilzed control</t>
    <phoneticPr fontId="1" type="noConversion"/>
  </si>
  <si>
    <t>Not pre-cultured</t>
    <phoneticPr fontId="1" type="noConversion"/>
  </si>
  <si>
    <t>Pre-cultured for 6 days</t>
    <phoneticPr fontId="1" type="noConversion"/>
  </si>
  <si>
    <t>Pre-cultured for 12 days</t>
    <phoneticPr fontId="1" type="noConversion"/>
  </si>
  <si>
    <t>Pre-cultured for 18 days</t>
    <phoneticPr fontId="1" type="noConversion"/>
  </si>
  <si>
    <t>Horticultural soil</t>
    <phoneticPr fontId="1" type="noConversion"/>
  </si>
  <si>
    <t>Due to the limit of space in excel tables, we used some abbreviations here instead of their full names. This table is used to connect abbreviations with their full names.</t>
    <phoneticPr fontId="1" type="noConversion"/>
  </si>
  <si>
    <t>adsorbed phosphorus</t>
    <phoneticPr fontId="1" type="noConversion"/>
  </si>
  <si>
    <t>Attatched microbial biomass phosphorus</t>
    <phoneticPr fontId="1" type="noConversion"/>
  </si>
  <si>
    <t>Dissolved inorganic phosphorus</t>
    <phoneticPr fontId="1" type="noConversion"/>
  </si>
  <si>
    <t>Dissolved organic phosphorus</t>
    <phoneticPr fontId="1" type="noConversion"/>
  </si>
  <si>
    <t>Suspended microbial biomass phosphorus</t>
    <phoneticPr fontId="1" type="noConversion"/>
  </si>
  <si>
    <t>MBP</t>
    <phoneticPr fontId="1" type="noConversion"/>
  </si>
  <si>
    <t>Microbial biomass phosphorus</t>
    <phoneticPr fontId="1" type="noConversion"/>
  </si>
  <si>
    <t>total available phosphorus</t>
    <phoneticPr fontId="1" type="noConversion"/>
  </si>
  <si>
    <t>Dissociated insoluble inorganic phosphorus</t>
    <phoneticPr fontId="1" type="noConversion"/>
  </si>
  <si>
    <t>growth inhibitory rate</t>
    <phoneticPr fontId="1" type="noConversion"/>
  </si>
  <si>
    <t>DAS</t>
    <phoneticPr fontId="1" type="noConversion"/>
  </si>
  <si>
    <t>days after sowing</t>
    <phoneticPr fontId="1" type="noConversion"/>
  </si>
  <si>
    <t>DAI</t>
    <phoneticPr fontId="1" type="noConversion"/>
  </si>
  <si>
    <t>days after inoculation</t>
    <phoneticPr fontId="1" type="noConversion"/>
  </si>
  <si>
    <t>fig   6d</t>
    <phoneticPr fontId="1" type="noConversion"/>
  </si>
  <si>
    <t>fig 6e</t>
    <phoneticPr fontId="1" type="noConversion"/>
  </si>
  <si>
    <t>fig 6f</t>
    <phoneticPr fontId="1" type="noConversion"/>
  </si>
  <si>
    <t>fig 6g</t>
    <phoneticPr fontId="1" type="noConversion"/>
  </si>
  <si>
    <t>Fig. 6C</t>
    <phoneticPr fontId="1" type="noConversion"/>
  </si>
  <si>
    <t>Fig. 6B</t>
    <phoneticPr fontId="1" type="noConversion"/>
  </si>
  <si>
    <t>a The Diameter of rossete leaves at 24 DAS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</si>
</sst>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0_ "/>
  </numFmts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16"/>
      <color theme="1"/>
      <name val="等线"/>
      <family val="2"/>
      <scheme val="minor"/>
    </font>
    <font>
      <sz val="9"/>
      <name val="宋体"/>
      <family val="3"/>
      <charset val="134"/>
    </font>
    <font>
      <sz val="11"/>
      <color rgb="FF000000"/>
      <name val="等线"/>
      <family val="3"/>
      <charset val="134"/>
    </font>
    <font>
      <sz val="11"/>
      <name val="等线"/>
      <family val="3"/>
      <charset val="134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0" xfId="0" applyFill="1"/>
    <xf numFmtId="0" fontId="2" fillId="0" borderId="0" xfId="1" applyFont="1"/>
    <xf numFmtId="0" fontId="3" fillId="0" borderId="0" xfId="1"/>
    <xf numFmtId="0" fontId="0" fillId="0" borderId="0" xfId="0" applyAlignment="1">
      <alignment vertical="center"/>
    </xf>
    <xf numFmtId="176" fontId="3" fillId="0" borderId="0" xfId="1" applyNumberFormat="1" applyAlignment="1">
      <alignment horizontal="right"/>
    </xf>
    <xf numFmtId="176" fontId="3" fillId="0" borderId="0" xfId="1" applyNumberFormat="1"/>
    <xf numFmtId="0" fontId="6" fillId="2" borderId="0" xfId="0" applyFont="1" applyFill="1"/>
    <xf numFmtId="2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77" fontId="0" fillId="0" borderId="0" xfId="0" applyNumberFormat="1" applyAlignment="1">
      <alignment vertical="center"/>
    </xf>
    <xf numFmtId="0" fontId="4" fillId="3" borderId="0" xfId="0" applyFont="1" applyFill="1"/>
    <xf numFmtId="0" fontId="0" fillId="3" borderId="0" xfId="0" applyFill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8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常规" xfId="0" builtinId="0"/>
    <cellStyle name="常规 2" xfId="1" xr:uid="{04AF3E25-2C07-439A-AFDC-69AC4285FD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AP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AP!$S$3</c:f>
              <c:strCache>
                <c:ptCount val="1"/>
                <c:pt idx="0">
                  <c:v>B. mucilaginosus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AP!$K$19:$Q$19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2.3915250394686351</c:v>
                  </c:pt>
                  <c:pt idx="2">
                    <c:v>1.510553259356108</c:v>
                  </c:pt>
                  <c:pt idx="3">
                    <c:v>3.1554162337528151</c:v>
                  </c:pt>
                  <c:pt idx="4">
                    <c:v>4.9361746686829244</c:v>
                  </c:pt>
                  <c:pt idx="5">
                    <c:v>0.61961660592137946</c:v>
                  </c:pt>
                  <c:pt idx="6">
                    <c:v>2.8139689844967322</c:v>
                  </c:pt>
                </c:numCache>
              </c:numRef>
            </c:plus>
            <c:minus>
              <c:numRef>
                <c:f>AP!$K$19:$Q$19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2.3915250394686351</c:v>
                  </c:pt>
                  <c:pt idx="2">
                    <c:v>1.510553259356108</c:v>
                  </c:pt>
                  <c:pt idx="3">
                    <c:v>3.1554162337528151</c:v>
                  </c:pt>
                  <c:pt idx="4">
                    <c:v>4.9361746686829244</c:v>
                  </c:pt>
                  <c:pt idx="5">
                    <c:v>0.61961660592137946</c:v>
                  </c:pt>
                  <c:pt idx="6">
                    <c:v>2.8139689844967322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AP!$T$2:$Z$2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AP!$T$3:$Z$3</c:f>
              <c:numCache>
                <c:formatCode>General</c:formatCode>
                <c:ptCount val="7"/>
                <c:pt idx="0">
                  <c:v>15.377051973469086</c:v>
                </c:pt>
                <c:pt idx="1">
                  <c:v>15.805401590889256</c:v>
                </c:pt>
                <c:pt idx="2">
                  <c:v>20.187572292925271</c:v>
                </c:pt>
                <c:pt idx="3">
                  <c:v>24.016782958815817</c:v>
                </c:pt>
                <c:pt idx="4">
                  <c:v>44.182494365698972</c:v>
                </c:pt>
                <c:pt idx="5">
                  <c:v>40.272773106621699</c:v>
                </c:pt>
                <c:pt idx="6">
                  <c:v>38.989707378391806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6C4-4B59-8B3F-19B0443E7A59}"/>
            </c:ext>
          </c:extLst>
        </c:ser>
        <c:ser>
          <c:idx val="1"/>
          <c:order val="1"/>
          <c:tx>
            <c:strRef>
              <c:f>AP!$S$4</c:f>
              <c:strCache>
                <c:ptCount val="1"/>
                <c:pt idx="0">
                  <c:v>B. megaterium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AP!$K$20:$Q$20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1.0244152071919206</c:v>
                  </c:pt>
                  <c:pt idx="2">
                    <c:v>2.5596041410151917</c:v>
                  </c:pt>
                  <c:pt idx="3">
                    <c:v>2.0298946255371564</c:v>
                  </c:pt>
                  <c:pt idx="4">
                    <c:v>1.8599117223551969</c:v>
                  </c:pt>
                  <c:pt idx="5">
                    <c:v>0.94825179256302972</c:v>
                  </c:pt>
                  <c:pt idx="6">
                    <c:v>4.5274324713260903</c:v>
                  </c:pt>
                </c:numCache>
              </c:numRef>
            </c:plus>
            <c:minus>
              <c:numRef>
                <c:f>AP!$K$20:$Q$20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1.0244152071919206</c:v>
                  </c:pt>
                  <c:pt idx="2">
                    <c:v>2.5596041410151917</c:v>
                  </c:pt>
                  <c:pt idx="3">
                    <c:v>2.0298946255371564</c:v>
                  </c:pt>
                  <c:pt idx="4">
                    <c:v>1.8599117223551969</c:v>
                  </c:pt>
                  <c:pt idx="5">
                    <c:v>0.94825179256302972</c:v>
                  </c:pt>
                  <c:pt idx="6">
                    <c:v>4.5274324713260903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AP!$T$2:$Z$2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AP!$T$4:$Z$4</c:f>
              <c:numCache>
                <c:formatCode>General</c:formatCode>
                <c:ptCount val="7"/>
                <c:pt idx="0">
                  <c:v>14.367661706878016</c:v>
                </c:pt>
                <c:pt idx="1">
                  <c:v>18.436638956845371</c:v>
                </c:pt>
                <c:pt idx="2">
                  <c:v>26.047685439524344</c:v>
                </c:pt>
                <c:pt idx="3">
                  <c:v>24.574657720901879</c:v>
                </c:pt>
                <c:pt idx="4">
                  <c:v>32.572477056525393</c:v>
                </c:pt>
                <c:pt idx="5">
                  <c:v>33.039871440444223</c:v>
                </c:pt>
                <c:pt idx="6">
                  <c:v>45.874574592023926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6C4-4B59-8B3F-19B0443E7A59}"/>
            </c:ext>
          </c:extLst>
        </c:ser>
        <c:ser>
          <c:idx val="2"/>
          <c:order val="2"/>
          <c:tx>
            <c:strRef>
              <c:f>AP!$S$5</c:f>
              <c:strCache>
                <c:ptCount val="1"/>
                <c:pt idx="0">
                  <c:v>B. subtilis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AP!$K$21:$Q$21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0.54870741090225206</c:v>
                  </c:pt>
                  <c:pt idx="2">
                    <c:v>0.57614310079521747</c:v>
                  </c:pt>
                  <c:pt idx="3">
                    <c:v>0.46954427891516121</c:v>
                  </c:pt>
                  <c:pt idx="4">
                    <c:v>0.67355392789487234</c:v>
                  </c:pt>
                  <c:pt idx="5">
                    <c:v>0.52307977444553277</c:v>
                  </c:pt>
                  <c:pt idx="6">
                    <c:v>2.5615944829122914</c:v>
                  </c:pt>
                </c:numCache>
              </c:numRef>
            </c:plus>
            <c:minus>
              <c:numRef>
                <c:f>AP!$K$21:$Q$21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0.54870741090225206</c:v>
                  </c:pt>
                  <c:pt idx="2">
                    <c:v>0.57614310079521747</c:v>
                  </c:pt>
                  <c:pt idx="3">
                    <c:v>0.46954427891516121</c:v>
                  </c:pt>
                  <c:pt idx="4">
                    <c:v>0.67355392789487234</c:v>
                  </c:pt>
                  <c:pt idx="5">
                    <c:v>0.52307977444553277</c:v>
                  </c:pt>
                  <c:pt idx="6">
                    <c:v>2.5615944829122914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AP!$T$2:$Z$2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AP!$T$5:$Z$5</c:f>
              <c:numCache>
                <c:formatCode>General</c:formatCode>
                <c:ptCount val="7"/>
                <c:pt idx="0">
                  <c:v>16.811049405659688</c:v>
                </c:pt>
                <c:pt idx="1">
                  <c:v>16.65471054274499</c:v>
                </c:pt>
                <c:pt idx="2">
                  <c:v>12.827080435255345</c:v>
                </c:pt>
                <c:pt idx="3">
                  <c:v>15.020904538787351</c:v>
                </c:pt>
                <c:pt idx="4">
                  <c:v>20.985607776601203</c:v>
                </c:pt>
                <c:pt idx="5">
                  <c:v>21.035745296259517</c:v>
                </c:pt>
                <c:pt idx="6">
                  <c:v>25.275960511745666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6C4-4B59-8B3F-19B0443E7A59}"/>
            </c:ext>
          </c:extLst>
        </c:ser>
        <c:ser>
          <c:idx val="3"/>
          <c:order val="3"/>
          <c:tx>
            <c:strRef>
              <c:f>AP!$S$6</c:f>
              <c:strCache>
                <c:ptCount val="1"/>
                <c:pt idx="0">
                  <c:v>B. licheniformis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AP!$K$22:$Q$22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0.56533840209217145</c:v>
                  </c:pt>
                  <c:pt idx="2">
                    <c:v>0.73310435378811001</c:v>
                  </c:pt>
                  <c:pt idx="3">
                    <c:v>0.3854642799890371</c:v>
                  </c:pt>
                  <c:pt idx="4">
                    <c:v>1.3027025558496266</c:v>
                  </c:pt>
                  <c:pt idx="5">
                    <c:v>3.0657841160038801</c:v>
                  </c:pt>
                  <c:pt idx="6">
                    <c:v>6.250606812754425</c:v>
                  </c:pt>
                </c:numCache>
              </c:numRef>
            </c:plus>
            <c:minus>
              <c:numRef>
                <c:f>AP!$K$22:$Q$22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0.56533840209217145</c:v>
                  </c:pt>
                  <c:pt idx="2">
                    <c:v>0.73310435378811001</c:v>
                  </c:pt>
                  <c:pt idx="3">
                    <c:v>0.3854642799890371</c:v>
                  </c:pt>
                  <c:pt idx="4">
                    <c:v>1.3027025558496266</c:v>
                  </c:pt>
                  <c:pt idx="5">
                    <c:v>3.0657841160038801</c:v>
                  </c:pt>
                  <c:pt idx="6">
                    <c:v>6.250606812754425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AP!$T$2:$Z$2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AP!$T$6:$Z$6</c:f>
              <c:numCache>
                <c:formatCode>General</c:formatCode>
                <c:ptCount val="7"/>
                <c:pt idx="0">
                  <c:v>17.244572659691865</c:v>
                </c:pt>
                <c:pt idx="1">
                  <c:v>15.97946601455836</c:v>
                </c:pt>
                <c:pt idx="2">
                  <c:v>13.674185375605077</c:v>
                </c:pt>
                <c:pt idx="3">
                  <c:v>16.029111986225974</c:v>
                </c:pt>
                <c:pt idx="4">
                  <c:v>30.862129832762559</c:v>
                </c:pt>
                <c:pt idx="5">
                  <c:v>32.170260054429072</c:v>
                </c:pt>
                <c:pt idx="6">
                  <c:v>38.194526043254477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6C4-4B59-8B3F-19B0443E7A59}"/>
            </c:ext>
          </c:extLst>
        </c:ser>
        <c:ser>
          <c:idx val="4"/>
          <c:order val="4"/>
          <c:tx>
            <c:strRef>
              <c:f>AP!$S$7</c:f>
              <c:strCache>
                <c:ptCount val="1"/>
                <c:pt idx="0">
                  <c:v>P. fluorescens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AP!$K$23:$Q$23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1.9415911133049575</c:v>
                  </c:pt>
                  <c:pt idx="2">
                    <c:v>3.9749319036675521</c:v>
                  </c:pt>
                  <c:pt idx="3">
                    <c:v>1.5825887623965742</c:v>
                  </c:pt>
                  <c:pt idx="4">
                    <c:v>1.865211438104531</c:v>
                  </c:pt>
                  <c:pt idx="5">
                    <c:v>1.5448810574440632</c:v>
                  </c:pt>
                  <c:pt idx="6">
                    <c:v>8.366959446608222</c:v>
                  </c:pt>
                </c:numCache>
              </c:numRef>
            </c:plus>
            <c:minus>
              <c:numRef>
                <c:f>AP!$K$23:$Q$23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1.9415911133049575</c:v>
                  </c:pt>
                  <c:pt idx="2">
                    <c:v>3.9749319036675521</c:v>
                  </c:pt>
                  <c:pt idx="3">
                    <c:v>1.5825887623965742</c:v>
                  </c:pt>
                  <c:pt idx="4">
                    <c:v>1.865211438104531</c:v>
                  </c:pt>
                  <c:pt idx="5">
                    <c:v>1.5448810574440632</c:v>
                  </c:pt>
                  <c:pt idx="6">
                    <c:v>8.366959446608222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AP!$T$2:$Z$2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AP!$T$7:$Z$7</c:f>
              <c:numCache>
                <c:formatCode>General</c:formatCode>
                <c:ptCount val="7"/>
                <c:pt idx="0">
                  <c:v>13.76591995232627</c:v>
                </c:pt>
                <c:pt idx="1">
                  <c:v>15.73586651543819</c:v>
                </c:pt>
                <c:pt idx="2">
                  <c:v>19.886486007796201</c:v>
                </c:pt>
                <c:pt idx="3">
                  <c:v>18.339481157861147</c:v>
                </c:pt>
                <c:pt idx="4">
                  <c:v>35.151242777729124</c:v>
                </c:pt>
                <c:pt idx="5">
                  <c:v>37.056512788861582</c:v>
                </c:pt>
                <c:pt idx="6">
                  <c:v>44.385408969739501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6C4-4B59-8B3F-19B0443E7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133712"/>
        <c:axId val="123154096"/>
      </c:scatterChart>
      <c:valAx>
        <c:axId val="123133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23154096"/>
        <c:crosses val="autoZero"/>
        <c:crossBetween val="midCat"/>
      </c:valAx>
      <c:valAx>
        <c:axId val="123154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2313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54192186612061"/>
          <c:w val="1"/>
          <c:h val="0.16996418939031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9.6081640695159704E-2"/>
                  <c:y val="-0.1762190943688449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'pH&amp;GIR correlation'!$C$8:$Y$8</c:f>
              <c:numCache>
                <c:formatCode>General</c:formatCode>
                <c:ptCount val="23"/>
                <c:pt idx="0">
                  <c:v>4.42</c:v>
                </c:pt>
                <c:pt idx="1">
                  <c:v>4.45</c:v>
                </c:pt>
                <c:pt idx="2">
                  <c:v>4.57</c:v>
                </c:pt>
                <c:pt idx="3">
                  <c:v>4.6500000000000004</c:v>
                </c:pt>
                <c:pt idx="4">
                  <c:v>4.46</c:v>
                </c:pt>
                <c:pt idx="5">
                  <c:v>4.46</c:v>
                </c:pt>
                <c:pt idx="6">
                  <c:v>4.22</c:v>
                </c:pt>
                <c:pt idx="7">
                  <c:v>4.4400000000000004</c:v>
                </c:pt>
                <c:pt idx="8">
                  <c:v>4.2300000000000004</c:v>
                </c:pt>
                <c:pt idx="9">
                  <c:v>4.34</c:v>
                </c:pt>
                <c:pt idx="10">
                  <c:v>4.37</c:v>
                </c:pt>
                <c:pt idx="11">
                  <c:v>4.4800000000000004</c:v>
                </c:pt>
                <c:pt idx="12">
                  <c:v>4.3099999999999996</c:v>
                </c:pt>
                <c:pt idx="13">
                  <c:v>4.17</c:v>
                </c:pt>
                <c:pt idx="14">
                  <c:v>4.71</c:v>
                </c:pt>
                <c:pt idx="15">
                  <c:v>4.51</c:v>
                </c:pt>
                <c:pt idx="16">
                  <c:v>4.4800000000000004</c:v>
                </c:pt>
                <c:pt idx="17">
                  <c:v>4.24</c:v>
                </c:pt>
                <c:pt idx="18">
                  <c:v>4.37</c:v>
                </c:pt>
                <c:pt idx="19">
                  <c:v>4.07</c:v>
                </c:pt>
                <c:pt idx="20">
                  <c:v>4.55</c:v>
                </c:pt>
                <c:pt idx="21">
                  <c:v>4.2300000000000004</c:v>
                </c:pt>
                <c:pt idx="22">
                  <c:v>4.2699999999999996</c:v>
                </c:pt>
              </c:numCache>
            </c:numRef>
          </c:xVal>
          <c:yVal>
            <c:numRef>
              <c:f>'pH&amp;GIR correlation'!$C$9:$Y$9</c:f>
              <c:numCache>
                <c:formatCode>General</c:formatCode>
                <c:ptCount val="23"/>
                <c:pt idx="0">
                  <c:v>12.349045578496302</c:v>
                </c:pt>
                <c:pt idx="1">
                  <c:v>0.21588946459412739</c:v>
                </c:pt>
                <c:pt idx="2">
                  <c:v>33.903452685421996</c:v>
                </c:pt>
                <c:pt idx="3">
                  <c:v>36.041979010494764</c:v>
                </c:pt>
                <c:pt idx="4">
                  <c:v>51.984908136482936</c:v>
                </c:pt>
                <c:pt idx="5">
                  <c:v>61.146110976496246</c:v>
                </c:pt>
                <c:pt idx="6">
                  <c:v>12.046632124352328</c:v>
                </c:pt>
                <c:pt idx="7">
                  <c:v>34.382992327365741</c:v>
                </c:pt>
                <c:pt idx="8">
                  <c:v>34.407796101949032</c:v>
                </c:pt>
                <c:pt idx="9">
                  <c:v>53.428477690288716</c:v>
                </c:pt>
                <c:pt idx="10">
                  <c:v>59.510540344075608</c:v>
                </c:pt>
                <c:pt idx="11">
                  <c:v>3.4281262173743698</c:v>
                </c:pt>
                <c:pt idx="12">
                  <c:v>18.631260794473221</c:v>
                </c:pt>
                <c:pt idx="13">
                  <c:v>36.90856777493606</c:v>
                </c:pt>
                <c:pt idx="14">
                  <c:v>37.511244377811096</c:v>
                </c:pt>
                <c:pt idx="15">
                  <c:v>54.10104986876641</c:v>
                </c:pt>
                <c:pt idx="16">
                  <c:v>61.558032469105882</c:v>
                </c:pt>
                <c:pt idx="17">
                  <c:v>2.6490066225165521</c:v>
                </c:pt>
                <c:pt idx="18">
                  <c:v>14.658894645941274</c:v>
                </c:pt>
                <c:pt idx="19">
                  <c:v>33.663682864450124</c:v>
                </c:pt>
                <c:pt idx="20">
                  <c:v>37.001499250374813</c:v>
                </c:pt>
                <c:pt idx="21">
                  <c:v>50.295275590551185</c:v>
                </c:pt>
                <c:pt idx="22">
                  <c:v>61.037072934334866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B71-477D-A8E3-B75AB2910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5479936"/>
        <c:axId val="643466336"/>
      </c:scatterChart>
      <c:valAx>
        <c:axId val="575479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43466336"/>
        <c:crosses val="autoZero"/>
        <c:crossBetween val="midCat"/>
      </c:valAx>
      <c:valAx>
        <c:axId val="64346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754799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'pH&amp;GIR correlation'!$B$13:$X$13</c:f>
              <c:numCache>
                <c:formatCode>General</c:formatCode>
                <c:ptCount val="23"/>
                <c:pt idx="0">
                  <c:v>6.915</c:v>
                </c:pt>
                <c:pt idx="1">
                  <c:v>5.19</c:v>
                </c:pt>
                <c:pt idx="2">
                  <c:v>7.63</c:v>
                </c:pt>
                <c:pt idx="3">
                  <c:v>7.18</c:v>
                </c:pt>
                <c:pt idx="4">
                  <c:v>8.3800000000000008</c:v>
                </c:pt>
                <c:pt idx="5" formatCode="0.00">
                  <c:v>8.3000000000000007</c:v>
                </c:pt>
                <c:pt idx="6">
                  <c:v>8.26</c:v>
                </c:pt>
                <c:pt idx="7">
                  <c:v>6.915</c:v>
                </c:pt>
                <c:pt idx="8">
                  <c:v>5.23</c:v>
                </c:pt>
                <c:pt idx="9" formatCode="0.00_ ">
                  <c:v>7.65</c:v>
                </c:pt>
                <c:pt idx="10">
                  <c:v>7.25</c:v>
                </c:pt>
                <c:pt idx="11">
                  <c:v>8.11</c:v>
                </c:pt>
                <c:pt idx="12">
                  <c:v>8.2200000000000006</c:v>
                </c:pt>
                <c:pt idx="13">
                  <c:v>8.2200000000000006</c:v>
                </c:pt>
                <c:pt idx="14">
                  <c:v>6.915</c:v>
                </c:pt>
                <c:pt idx="15">
                  <c:v>5.18</c:v>
                </c:pt>
                <c:pt idx="16" formatCode="0.00_ ">
                  <c:v>7.76</c:v>
                </c:pt>
                <c:pt idx="17">
                  <c:v>7.44</c:v>
                </c:pt>
                <c:pt idx="18">
                  <c:v>8.27</c:v>
                </c:pt>
                <c:pt idx="19">
                  <c:v>8.41</c:v>
                </c:pt>
                <c:pt idx="20">
                  <c:v>8.42</c:v>
                </c:pt>
                <c:pt idx="21">
                  <c:v>6.915</c:v>
                </c:pt>
                <c:pt idx="22">
                  <c:v>5.25</c:v>
                </c:pt>
              </c:numCache>
            </c:numRef>
          </c:xVal>
          <c:yVal>
            <c:numRef>
              <c:f>'pH&amp;GIR correlation'!$B$14:$X$14</c:f>
              <c:numCache>
                <c:formatCode>General</c:formatCode>
                <c:ptCount val="23"/>
                <c:pt idx="0">
                  <c:v>53.124999999999957</c:v>
                </c:pt>
                <c:pt idx="1">
                  <c:v>29.115744069015108</c:v>
                </c:pt>
                <c:pt idx="2">
                  <c:v>-124.45625906234898</c:v>
                </c:pt>
                <c:pt idx="3">
                  <c:v>13.985798085828961</c:v>
                </c:pt>
                <c:pt idx="4">
                  <c:v>15.682261208577003</c:v>
                </c:pt>
                <c:pt idx="5">
                  <c:v>52.048585931834658</c:v>
                </c:pt>
                <c:pt idx="6">
                  <c:v>74.538216560509554</c:v>
                </c:pt>
                <c:pt idx="7">
                  <c:v>47.916666666666622</c:v>
                </c:pt>
                <c:pt idx="8">
                  <c:v>32.997843278217118</c:v>
                </c:pt>
                <c:pt idx="9">
                  <c:v>-7.0082165297244927</c:v>
                </c:pt>
                <c:pt idx="10">
                  <c:v>13.358032314500363</c:v>
                </c:pt>
                <c:pt idx="11">
                  <c:v>25.26315789473685</c:v>
                </c:pt>
                <c:pt idx="12">
                  <c:v>60.469543147208114</c:v>
                </c:pt>
                <c:pt idx="13">
                  <c:v>79.363057324840767</c:v>
                </c:pt>
                <c:pt idx="14">
                  <c:v>57.291666666666671</c:v>
                </c:pt>
                <c:pt idx="15">
                  <c:v>44.931703810208489</c:v>
                </c:pt>
                <c:pt idx="16">
                  <c:v>-36.249395843402624</c:v>
                </c:pt>
                <c:pt idx="17">
                  <c:v>20.026757229597621</c:v>
                </c:pt>
                <c:pt idx="18">
                  <c:v>26.111111111111114</c:v>
                </c:pt>
                <c:pt idx="19">
                  <c:v>63.75997099347353</c:v>
                </c:pt>
                <c:pt idx="20">
                  <c:v>78.136942675159247</c:v>
                </c:pt>
                <c:pt idx="21">
                  <c:v>22.9166666666667</c:v>
                </c:pt>
                <c:pt idx="22">
                  <c:v>75.988497483824602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B2D-48B9-A8C1-926D03551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5471584"/>
        <c:axId val="512490544"/>
      </c:scatterChart>
      <c:valAx>
        <c:axId val="575471584"/>
        <c:scaling>
          <c:orientation val="minMax"/>
          <c:min val="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12490544"/>
        <c:crosses val="autoZero"/>
        <c:crossBetween val="midCat"/>
      </c:valAx>
      <c:valAx>
        <c:axId val="51249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75471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1797493007850206E-2"/>
                  <c:y val="-1.2236286919831223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'pH&amp;GIR correlation'!$B$18:$Y$18</c:f>
              <c:numCache>
                <c:formatCode>General</c:formatCode>
                <c:ptCount val="24"/>
                <c:pt idx="0">
                  <c:v>6.915</c:v>
                </c:pt>
                <c:pt idx="1">
                  <c:v>5.09</c:v>
                </c:pt>
                <c:pt idx="2">
                  <c:v>7.5600000000000005</c:v>
                </c:pt>
                <c:pt idx="3">
                  <c:v>8.36</c:v>
                </c:pt>
                <c:pt idx="4">
                  <c:v>8.84</c:v>
                </c:pt>
                <c:pt idx="5">
                  <c:v>7.48</c:v>
                </c:pt>
                <c:pt idx="6">
                  <c:v>7.03</c:v>
                </c:pt>
                <c:pt idx="7">
                  <c:v>6.915</c:v>
                </c:pt>
                <c:pt idx="8">
                  <c:v>5.04</c:v>
                </c:pt>
                <c:pt idx="9">
                  <c:v>7.23</c:v>
                </c:pt>
                <c:pt idx="10">
                  <c:v>8.11</c:v>
                </c:pt>
                <c:pt idx="11">
                  <c:v>8.5399999999999991</c:v>
                </c:pt>
                <c:pt idx="12">
                  <c:v>7.62</c:v>
                </c:pt>
                <c:pt idx="13">
                  <c:v>7.11</c:v>
                </c:pt>
                <c:pt idx="14">
                  <c:v>6.915</c:v>
                </c:pt>
                <c:pt idx="15">
                  <c:v>5</c:v>
                </c:pt>
                <c:pt idx="16">
                  <c:v>7.11</c:v>
                </c:pt>
                <c:pt idx="17">
                  <c:v>7.87</c:v>
                </c:pt>
                <c:pt idx="18">
                  <c:v>8.33</c:v>
                </c:pt>
                <c:pt idx="19">
                  <c:v>7.23</c:v>
                </c:pt>
                <c:pt idx="20">
                  <c:v>6.98</c:v>
                </c:pt>
                <c:pt idx="21">
                  <c:v>6.915</c:v>
                </c:pt>
                <c:pt idx="22">
                  <c:v>5.1100000000000003</c:v>
                </c:pt>
                <c:pt idx="23">
                  <c:v>7.27</c:v>
                </c:pt>
              </c:numCache>
            </c:numRef>
          </c:xVal>
          <c:yVal>
            <c:numRef>
              <c:f>'pH&amp;GIR correlation'!$B$19:$Y$19</c:f>
              <c:numCache>
                <c:formatCode>General</c:formatCode>
                <c:ptCount val="24"/>
                <c:pt idx="0">
                  <c:v>-65.048543689320411</c:v>
                </c:pt>
                <c:pt idx="1">
                  <c:v>10.692019950124688</c:v>
                </c:pt>
                <c:pt idx="2">
                  <c:v>-58.989123480486228</c:v>
                </c:pt>
                <c:pt idx="3">
                  <c:v>-221.97940216026126</c:v>
                </c:pt>
                <c:pt idx="4">
                  <c:v>-197.80891719745222</c:v>
                </c:pt>
                <c:pt idx="5">
                  <c:v>5.0014841199168814</c:v>
                </c:pt>
                <c:pt idx="6">
                  <c:v>36.198898231371402</c:v>
                </c:pt>
                <c:pt idx="7">
                  <c:v>-1.941747572815558</c:v>
                </c:pt>
                <c:pt idx="8">
                  <c:v>2.3690773067331747</c:v>
                </c:pt>
                <c:pt idx="9">
                  <c:v>-78.012369375133289</c:v>
                </c:pt>
                <c:pt idx="10">
                  <c:v>-186.23461441848781</c:v>
                </c:pt>
                <c:pt idx="11">
                  <c:v>-126.11464968152865</c:v>
                </c:pt>
                <c:pt idx="12">
                  <c:v>44.864945087563072</c:v>
                </c:pt>
                <c:pt idx="13">
                  <c:v>62.742824006958536</c:v>
                </c:pt>
                <c:pt idx="14">
                  <c:v>0</c:v>
                </c:pt>
                <c:pt idx="15">
                  <c:v>11.720698254364081</c:v>
                </c:pt>
                <c:pt idx="16">
                  <c:v>-49.584133077415231</c:v>
                </c:pt>
                <c:pt idx="17">
                  <c:v>-195.88043205224818</c:v>
                </c:pt>
                <c:pt idx="18">
                  <c:v>-161.42675159235671</c:v>
                </c:pt>
                <c:pt idx="19">
                  <c:v>28.643514395963194</c:v>
                </c:pt>
                <c:pt idx="20">
                  <c:v>49.434618730066681</c:v>
                </c:pt>
                <c:pt idx="21">
                  <c:v>0</c:v>
                </c:pt>
                <c:pt idx="22">
                  <c:v>21.602244389027447</c:v>
                </c:pt>
                <c:pt idx="23">
                  <c:v>-65.451055662188111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438-4247-BF7C-466885824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4421552"/>
        <c:axId val="521808832"/>
      </c:scatterChart>
      <c:valAx>
        <c:axId val="644421552"/>
        <c:scaling>
          <c:orientation val="minMax"/>
          <c:max val="9"/>
          <c:min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21808832"/>
        <c:crosses val="autoZero"/>
        <c:crossBetween val="midCat"/>
      </c:valAx>
      <c:valAx>
        <c:axId val="52180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44421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'pH&amp;GIR correlation'!$B$23:$AC$23</c:f>
              <c:numCache>
                <c:formatCode>General</c:formatCode>
                <c:ptCount val="28"/>
                <c:pt idx="0">
                  <c:v>6.915</c:v>
                </c:pt>
                <c:pt idx="1">
                  <c:v>4.3099999999999996</c:v>
                </c:pt>
                <c:pt idx="2">
                  <c:v>4.22</c:v>
                </c:pt>
                <c:pt idx="3">
                  <c:v>4.29</c:v>
                </c:pt>
                <c:pt idx="4" formatCode="0.00">
                  <c:v>4.3600000000000003</c:v>
                </c:pt>
                <c:pt idx="5">
                  <c:v>4.21</c:v>
                </c:pt>
                <c:pt idx="6">
                  <c:v>4.37</c:v>
                </c:pt>
                <c:pt idx="7">
                  <c:v>6.915</c:v>
                </c:pt>
                <c:pt idx="8">
                  <c:v>4.38</c:v>
                </c:pt>
                <c:pt idx="9">
                  <c:v>4.17</c:v>
                </c:pt>
                <c:pt idx="10">
                  <c:v>4.24</c:v>
                </c:pt>
                <c:pt idx="11">
                  <c:v>4.17</c:v>
                </c:pt>
                <c:pt idx="12">
                  <c:v>4.42</c:v>
                </c:pt>
                <c:pt idx="13">
                  <c:v>4.24</c:v>
                </c:pt>
                <c:pt idx="14">
                  <c:v>6.915</c:v>
                </c:pt>
                <c:pt idx="15">
                  <c:v>4.38</c:v>
                </c:pt>
                <c:pt idx="16">
                  <c:v>4.32</c:v>
                </c:pt>
                <c:pt idx="17">
                  <c:v>4.43</c:v>
                </c:pt>
                <c:pt idx="18">
                  <c:v>4.22</c:v>
                </c:pt>
                <c:pt idx="19">
                  <c:v>4.37</c:v>
                </c:pt>
                <c:pt idx="20">
                  <c:v>4.3499999999999996</c:v>
                </c:pt>
                <c:pt idx="21">
                  <c:v>6.915</c:v>
                </c:pt>
                <c:pt idx="22">
                  <c:v>4.2699999999999996</c:v>
                </c:pt>
                <c:pt idx="23">
                  <c:v>4.21</c:v>
                </c:pt>
                <c:pt idx="24">
                  <c:v>4.32</c:v>
                </c:pt>
                <c:pt idx="25">
                  <c:v>4.51</c:v>
                </c:pt>
                <c:pt idx="26">
                  <c:v>4.22</c:v>
                </c:pt>
                <c:pt idx="27">
                  <c:v>4.42</c:v>
                </c:pt>
              </c:numCache>
            </c:numRef>
          </c:xVal>
          <c:yVal>
            <c:numRef>
              <c:f>'pH&amp;GIR correlation'!$B$24:$AC$24</c:f>
              <c:numCache>
                <c:formatCode>General</c:formatCode>
                <c:ptCount val="28"/>
                <c:pt idx="0">
                  <c:v>-23.107569721115539</c:v>
                </c:pt>
                <c:pt idx="1">
                  <c:v>4.7175088569830308</c:v>
                </c:pt>
                <c:pt idx="2">
                  <c:v>59.873728516310067</c:v>
                </c:pt>
                <c:pt idx="3">
                  <c:v>38.176784249384745</c:v>
                </c:pt>
                <c:pt idx="4">
                  <c:v>39.309094571457351</c:v>
                </c:pt>
                <c:pt idx="5">
                  <c:v>57.713736791546587</c:v>
                </c:pt>
                <c:pt idx="6">
                  <c:v>61.599442460144608</c:v>
                </c:pt>
                <c:pt idx="7">
                  <c:v>-21.115537848605584</c:v>
                </c:pt>
                <c:pt idx="8">
                  <c:v>13.071042327055764</c:v>
                </c:pt>
                <c:pt idx="9">
                  <c:v>57.137846369694842</c:v>
                </c:pt>
                <c:pt idx="10">
                  <c:v>44.237079573420822</c:v>
                </c:pt>
                <c:pt idx="11">
                  <c:v>47.44687279685769</c:v>
                </c:pt>
                <c:pt idx="12">
                  <c:v>67.39673390970222</c:v>
                </c:pt>
                <c:pt idx="13">
                  <c:v>76.095478700235219</c:v>
                </c:pt>
                <c:pt idx="14">
                  <c:v>-34.860557768924281</c:v>
                </c:pt>
                <c:pt idx="15">
                  <c:v>9.2858474734290581</c:v>
                </c:pt>
                <c:pt idx="16">
                  <c:v>60.551853150941184</c:v>
                </c:pt>
                <c:pt idx="17">
                  <c:v>29.891304347826093</c:v>
                </c:pt>
                <c:pt idx="18">
                  <c:v>38.221371739349372</c:v>
                </c:pt>
                <c:pt idx="19">
                  <c:v>54.178674351585016</c:v>
                </c:pt>
                <c:pt idx="20">
                  <c:v>55.170311002700579</c:v>
                </c:pt>
                <c:pt idx="21">
                  <c:v>-59.760956175298787</c:v>
                </c:pt>
                <c:pt idx="22">
                  <c:v>9.7333581950400827</c:v>
                </c:pt>
                <c:pt idx="23">
                  <c:v>33.438559569741599</c:v>
                </c:pt>
                <c:pt idx="24">
                  <c:v>26.045939294503697</c:v>
                </c:pt>
                <c:pt idx="25">
                  <c:v>35.844495921039382</c:v>
                </c:pt>
                <c:pt idx="26">
                  <c:v>48.664745437079723</c:v>
                </c:pt>
                <c:pt idx="27">
                  <c:v>72.724104887185291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B7-4565-9955-7BE62B41D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7646208"/>
        <c:axId val="790171856"/>
      </c:scatterChart>
      <c:valAx>
        <c:axId val="597646208"/>
        <c:scaling>
          <c:orientation val="minMax"/>
          <c:max val="7"/>
          <c:min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90171856"/>
        <c:crosses val="autoZero"/>
        <c:crossBetween val="midCat"/>
      </c:valAx>
      <c:valAx>
        <c:axId val="790171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97646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3.0789222069119132E-2"/>
                  <c:y val="-0.1586073571013404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'salt content&amp;GIR correlation'!$C$3:$P$3</c:f>
              <c:numCache>
                <c:formatCode>General</c:formatCode>
                <c:ptCount val="14"/>
                <c:pt idx="0">
                  <c:v>1.9559999999999997</c:v>
                </c:pt>
                <c:pt idx="1">
                  <c:v>1.9559999999999997</c:v>
                </c:pt>
                <c:pt idx="2">
                  <c:v>2.7959999999999998</c:v>
                </c:pt>
                <c:pt idx="3">
                  <c:v>4.5960000000000001</c:v>
                </c:pt>
                <c:pt idx="4">
                  <c:v>4.476</c:v>
                </c:pt>
                <c:pt idx="5">
                  <c:v>4.5960000000000001</c:v>
                </c:pt>
                <c:pt idx="6">
                  <c:v>2.1959999999999997</c:v>
                </c:pt>
                <c:pt idx="7">
                  <c:v>1.7159999999999997</c:v>
                </c:pt>
                <c:pt idx="8">
                  <c:v>2.7959999999999998</c:v>
                </c:pt>
                <c:pt idx="9">
                  <c:v>3.8759999999999994</c:v>
                </c:pt>
                <c:pt idx="10">
                  <c:v>4.1159999999999997</c:v>
                </c:pt>
                <c:pt idx="11">
                  <c:v>4.1159999999999997</c:v>
                </c:pt>
                <c:pt idx="12">
                  <c:v>2.7959999999999998</c:v>
                </c:pt>
                <c:pt idx="13">
                  <c:v>1.8359999999999996</c:v>
                </c:pt>
              </c:numCache>
            </c:numRef>
          </c:xVal>
          <c:yVal>
            <c:numRef>
              <c:f>'salt content&amp;GIR correlation'!$C$4:$P$4</c:f>
              <c:numCache>
                <c:formatCode>General</c:formatCode>
                <c:ptCount val="14"/>
                <c:pt idx="0">
                  <c:v>0.39603960396038929</c:v>
                </c:pt>
                <c:pt idx="1">
                  <c:v>-20.833333333333329</c:v>
                </c:pt>
                <c:pt idx="2">
                  <c:v>-36.15686274509801</c:v>
                </c:pt>
                <c:pt idx="3">
                  <c:v>22.833333333333329</c:v>
                </c:pt>
                <c:pt idx="4">
                  <c:v>-24.715510522213563</c:v>
                </c:pt>
                <c:pt idx="5">
                  <c:v>-38.049143708116162</c:v>
                </c:pt>
                <c:pt idx="6">
                  <c:v>-93.861386138613881</c:v>
                </c:pt>
                <c:pt idx="7">
                  <c:v>-32.127192982456108</c:v>
                </c:pt>
                <c:pt idx="8">
                  <c:v>-8.0784313725490193</c:v>
                </c:pt>
                <c:pt idx="9">
                  <c:v>-45.5</c:v>
                </c:pt>
                <c:pt idx="10">
                  <c:v>4.2088854247856631</c:v>
                </c:pt>
                <c:pt idx="11">
                  <c:v>2.1518987341772089</c:v>
                </c:pt>
                <c:pt idx="12">
                  <c:v>-55.247524752475243</c:v>
                </c:pt>
                <c:pt idx="13">
                  <c:v>-32.456140350877206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96-4069-ADBB-D20843280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7680080"/>
        <c:axId val="588646320"/>
      </c:scatterChart>
      <c:valAx>
        <c:axId val="597680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88646320"/>
        <c:crosses val="autoZero"/>
        <c:crossBetween val="midCat"/>
      </c:valAx>
      <c:valAx>
        <c:axId val="588646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976800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9904732894226504"/>
                  <c:y val="5.9171686633726663E-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'salt content&amp;GIR correlation'!$C$8:$Y$8</c:f>
              <c:numCache>
                <c:formatCode>General</c:formatCode>
                <c:ptCount val="23"/>
                <c:pt idx="0">
                  <c:v>2.1959999999999997</c:v>
                </c:pt>
                <c:pt idx="1">
                  <c:v>2.4359999999999995</c:v>
                </c:pt>
                <c:pt idx="2">
                  <c:v>2.5559999999999996</c:v>
                </c:pt>
                <c:pt idx="3">
                  <c:v>4.2359999999999998</c:v>
                </c:pt>
                <c:pt idx="4">
                  <c:v>3.7559999999999998</c:v>
                </c:pt>
                <c:pt idx="5">
                  <c:v>4.7159999999999993</c:v>
                </c:pt>
                <c:pt idx="6">
                  <c:v>3.5159999999999996</c:v>
                </c:pt>
                <c:pt idx="7">
                  <c:v>3.7559999999999998</c:v>
                </c:pt>
                <c:pt idx="8">
                  <c:v>4.476</c:v>
                </c:pt>
                <c:pt idx="9">
                  <c:v>4.3559999999999999</c:v>
                </c:pt>
                <c:pt idx="10">
                  <c:v>4.2359999999999998</c:v>
                </c:pt>
                <c:pt idx="11">
                  <c:v>2.6759999999999997</c:v>
                </c:pt>
                <c:pt idx="12">
                  <c:v>2.6759999999999997</c:v>
                </c:pt>
                <c:pt idx="13">
                  <c:v>2.5559999999999996</c:v>
                </c:pt>
                <c:pt idx="14">
                  <c:v>4.2359999999999998</c:v>
                </c:pt>
                <c:pt idx="15">
                  <c:v>3.6359999999999997</c:v>
                </c:pt>
                <c:pt idx="16">
                  <c:v>5.1959999999999988</c:v>
                </c:pt>
                <c:pt idx="17">
                  <c:v>2.5559999999999996</c:v>
                </c:pt>
                <c:pt idx="18">
                  <c:v>2.7959999999999998</c:v>
                </c:pt>
                <c:pt idx="19">
                  <c:v>3.5159999999999996</c:v>
                </c:pt>
                <c:pt idx="20">
                  <c:v>3.9959999999999996</c:v>
                </c:pt>
                <c:pt idx="21">
                  <c:v>4.1159999999999997</c:v>
                </c:pt>
                <c:pt idx="22">
                  <c:v>4.7159999999999993</c:v>
                </c:pt>
              </c:numCache>
            </c:numRef>
          </c:xVal>
          <c:yVal>
            <c:numRef>
              <c:f>'salt content&amp;GIR correlation'!$C$9:$Y$9</c:f>
              <c:numCache>
                <c:formatCode>General</c:formatCode>
                <c:ptCount val="23"/>
                <c:pt idx="0">
                  <c:v>6.0033484812245916</c:v>
                </c:pt>
                <c:pt idx="1">
                  <c:v>28.087932943223151</c:v>
                </c:pt>
                <c:pt idx="2">
                  <c:v>36.041979010494764</c:v>
                </c:pt>
                <c:pt idx="3">
                  <c:v>26.288308740068118</c:v>
                </c:pt>
                <c:pt idx="4">
                  <c:v>51.984908136482936</c:v>
                </c:pt>
                <c:pt idx="5">
                  <c:v>61.146110976496246</c:v>
                </c:pt>
                <c:pt idx="6">
                  <c:v>10.356374073188235</c:v>
                </c:pt>
                <c:pt idx="7">
                  <c:v>34.407796101949032</c:v>
                </c:pt>
                <c:pt idx="8">
                  <c:v>19.023836549375702</c:v>
                </c:pt>
                <c:pt idx="9">
                  <c:v>53.428477690288716</c:v>
                </c:pt>
                <c:pt idx="10">
                  <c:v>59.510540344075608</c:v>
                </c:pt>
                <c:pt idx="11">
                  <c:v>20.951925376704139</c:v>
                </c:pt>
                <c:pt idx="12">
                  <c:v>29.906689862407077</c:v>
                </c:pt>
                <c:pt idx="13">
                  <c:v>37.511244377811096</c:v>
                </c:pt>
                <c:pt idx="14">
                  <c:v>25.539160045402951</c:v>
                </c:pt>
                <c:pt idx="15">
                  <c:v>54.10104986876641</c:v>
                </c:pt>
                <c:pt idx="16">
                  <c:v>61.558032469105882</c:v>
                </c:pt>
                <c:pt idx="17">
                  <c:v>5.5728294666347864</c:v>
                </c:pt>
                <c:pt idx="18">
                  <c:v>30.55511624229004</c:v>
                </c:pt>
                <c:pt idx="19">
                  <c:v>37.001499250374813</c:v>
                </c:pt>
                <c:pt idx="20">
                  <c:v>19.591373439273553</c:v>
                </c:pt>
                <c:pt idx="21">
                  <c:v>50.295275590551185</c:v>
                </c:pt>
                <c:pt idx="22">
                  <c:v>61.037072934334866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85B-45A6-AF22-BF9F65E3D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7668944"/>
        <c:axId val="881923952"/>
      </c:scatterChart>
      <c:valAx>
        <c:axId val="597668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81923952"/>
        <c:crosses val="autoZero"/>
        <c:crossBetween val="midCat"/>
      </c:valAx>
      <c:valAx>
        <c:axId val="88192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97668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9039207959510987"/>
                  <c:y val="1.931767845789462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'salt content&amp;GIR correlation'!$C$13:$T$13</c:f>
              <c:numCache>
                <c:formatCode>General</c:formatCode>
                <c:ptCount val="18"/>
                <c:pt idx="0">
                  <c:v>2.3159999999999998</c:v>
                </c:pt>
                <c:pt idx="1">
                  <c:v>1.7159999999999997</c:v>
                </c:pt>
                <c:pt idx="2">
                  <c:v>2.4359999999999995</c:v>
                </c:pt>
                <c:pt idx="3">
                  <c:v>3.8759999999999994</c:v>
                </c:pt>
                <c:pt idx="4">
                  <c:v>4.1159999999999997</c:v>
                </c:pt>
                <c:pt idx="5">
                  <c:v>4.3559999999999999</c:v>
                </c:pt>
                <c:pt idx="6">
                  <c:v>2.5559999999999996</c:v>
                </c:pt>
                <c:pt idx="7">
                  <c:v>2.1959999999999997</c:v>
                </c:pt>
                <c:pt idx="8">
                  <c:v>3.0359999999999996</c:v>
                </c:pt>
                <c:pt idx="9">
                  <c:v>3.9959999999999996</c:v>
                </c:pt>
                <c:pt idx="10">
                  <c:v>3.8759999999999994</c:v>
                </c:pt>
                <c:pt idx="11">
                  <c:v>4.5960000000000001</c:v>
                </c:pt>
                <c:pt idx="12">
                  <c:v>2.6759999999999997</c:v>
                </c:pt>
                <c:pt idx="13">
                  <c:v>2.5559999999999996</c:v>
                </c:pt>
                <c:pt idx="14">
                  <c:v>2.6759999999999997</c:v>
                </c:pt>
                <c:pt idx="15">
                  <c:v>3.5159999999999996</c:v>
                </c:pt>
                <c:pt idx="16">
                  <c:v>4.1159999999999997</c:v>
                </c:pt>
                <c:pt idx="17">
                  <c:v>5.0759999999999996</c:v>
                </c:pt>
              </c:numCache>
            </c:numRef>
          </c:xVal>
          <c:yVal>
            <c:numRef>
              <c:f>'salt content&amp;GIR correlation'!$C$14:$T$14</c:f>
              <c:numCache>
                <c:formatCode>General</c:formatCode>
                <c:ptCount val="18"/>
                <c:pt idx="0">
                  <c:v>14.859568909209671</c:v>
                </c:pt>
                <c:pt idx="1">
                  <c:v>2.97134397800572</c:v>
                </c:pt>
                <c:pt idx="2">
                  <c:v>15.682261208577003</c:v>
                </c:pt>
                <c:pt idx="3">
                  <c:v>18.956703182055307</c:v>
                </c:pt>
                <c:pt idx="4">
                  <c:v>52.048585931834658</c:v>
                </c:pt>
                <c:pt idx="5">
                  <c:v>74.538216560509554</c:v>
                </c:pt>
                <c:pt idx="6">
                  <c:v>39.875898105813199</c:v>
                </c:pt>
                <c:pt idx="7">
                  <c:v>27.725494342814855</c:v>
                </c:pt>
                <c:pt idx="8">
                  <c:v>25.26315789473685</c:v>
                </c:pt>
                <c:pt idx="9">
                  <c:v>38.591549295774655</c:v>
                </c:pt>
                <c:pt idx="10">
                  <c:v>60.469543147208114</c:v>
                </c:pt>
                <c:pt idx="11">
                  <c:v>79.363057324840767</c:v>
                </c:pt>
                <c:pt idx="12">
                  <c:v>46.47289353363815</c:v>
                </c:pt>
                <c:pt idx="13">
                  <c:v>12.012266046314906</c:v>
                </c:pt>
                <c:pt idx="14">
                  <c:v>26.111111111111114</c:v>
                </c:pt>
                <c:pt idx="15">
                  <c:v>31.23630672926447</c:v>
                </c:pt>
                <c:pt idx="16">
                  <c:v>63.75997099347353</c:v>
                </c:pt>
                <c:pt idx="17">
                  <c:v>78.136942675159247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D2-410E-8889-89CE529F0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0347072"/>
        <c:axId val="519940096"/>
      </c:scatterChart>
      <c:valAx>
        <c:axId val="470347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19940096"/>
        <c:crosses val="autoZero"/>
        <c:crossBetween val="midCat"/>
      </c:valAx>
      <c:valAx>
        <c:axId val="51994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70347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('salt content&amp;GIR correlation'!$C$18:$D$18,'salt content&amp;GIR correlation'!$F$18:$T$18)</c:f>
              <c:numCache>
                <c:formatCode>General</c:formatCode>
                <c:ptCount val="17"/>
                <c:pt idx="0">
                  <c:v>2.1959999999999997</c:v>
                </c:pt>
                <c:pt idx="1">
                  <c:v>1.5959999999999996</c:v>
                </c:pt>
                <c:pt idx="2">
                  <c:v>3.8759999999999994</c:v>
                </c:pt>
                <c:pt idx="3">
                  <c:v>3.9959999999999996</c:v>
                </c:pt>
                <c:pt idx="4">
                  <c:v>4.7159999999999993</c:v>
                </c:pt>
                <c:pt idx="5">
                  <c:v>1.9559999999999997</c:v>
                </c:pt>
                <c:pt idx="6">
                  <c:v>1.8359999999999996</c:v>
                </c:pt>
                <c:pt idx="7">
                  <c:v>2.5559999999999996</c:v>
                </c:pt>
                <c:pt idx="8">
                  <c:v>3.8759999999999994</c:v>
                </c:pt>
                <c:pt idx="9">
                  <c:v>4.3559999999999999</c:v>
                </c:pt>
                <c:pt idx="10">
                  <c:v>4.5960000000000001</c:v>
                </c:pt>
                <c:pt idx="11">
                  <c:v>2.5559999999999996</c:v>
                </c:pt>
                <c:pt idx="12">
                  <c:v>1.5959999999999996</c:v>
                </c:pt>
                <c:pt idx="13">
                  <c:v>4.1159999999999997</c:v>
                </c:pt>
                <c:pt idx="14">
                  <c:v>4.7159999999999993</c:v>
                </c:pt>
                <c:pt idx="15">
                  <c:v>4.476</c:v>
                </c:pt>
                <c:pt idx="16">
                  <c:v>2.1959999999999997</c:v>
                </c:pt>
              </c:numCache>
            </c:numRef>
          </c:xVal>
          <c:yVal>
            <c:numRef>
              <c:f>('salt content&amp;GIR correlation'!$C$19:$D$19,'salt content&amp;GIR correlation'!$F$19:$T$19)</c:f>
              <c:numCache>
                <c:formatCode>General</c:formatCode>
                <c:ptCount val="17"/>
                <c:pt idx="0">
                  <c:v>-55.094679891794414</c:v>
                </c:pt>
                <c:pt idx="1">
                  <c:v>-40.29212682579265</c:v>
                </c:pt>
                <c:pt idx="2">
                  <c:v>-61.528150134048275</c:v>
                </c:pt>
                <c:pt idx="3">
                  <c:v>5.0014841199168814</c:v>
                </c:pt>
                <c:pt idx="4">
                  <c:v>36.198898231371402</c:v>
                </c:pt>
                <c:pt idx="5">
                  <c:v>-64.697926059513065</c:v>
                </c:pt>
                <c:pt idx="6">
                  <c:v>-34.093338083363022</c:v>
                </c:pt>
                <c:pt idx="7">
                  <c:v>-126.11464968152865</c:v>
                </c:pt>
                <c:pt idx="8">
                  <c:v>-12.064343163538879</c:v>
                </c:pt>
                <c:pt idx="9">
                  <c:v>44.864945087563072</c:v>
                </c:pt>
                <c:pt idx="10">
                  <c:v>62.742824006958536</c:v>
                </c:pt>
                <c:pt idx="11">
                  <c:v>-57.642019837691606</c:v>
                </c:pt>
                <c:pt idx="12">
                  <c:v>-38.807742548390934</c:v>
                </c:pt>
                <c:pt idx="13">
                  <c:v>-34.349865951742629</c:v>
                </c:pt>
                <c:pt idx="14">
                  <c:v>28.643514395963194</c:v>
                </c:pt>
                <c:pt idx="15">
                  <c:v>49.434618730066681</c:v>
                </c:pt>
                <c:pt idx="16">
                  <c:v>-68.101893597835897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D79-4083-A0EF-525CD0487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567264"/>
        <c:axId val="520450816"/>
      </c:scatterChart>
      <c:valAx>
        <c:axId val="186567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20450816"/>
        <c:crosses val="autoZero"/>
        <c:crossBetween val="midCat"/>
      </c:valAx>
      <c:valAx>
        <c:axId val="520450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86567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9.896148428765102E-3"/>
                  <c:y val="-0.1066069811097837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'salt content&amp;GIR correlation'!$C$23:$Y$23</c:f>
              <c:numCache>
                <c:formatCode>General</c:formatCode>
                <c:ptCount val="23"/>
                <c:pt idx="0">
                  <c:v>2.1959999999999997</c:v>
                </c:pt>
                <c:pt idx="1">
                  <c:v>3.0359999999999996</c:v>
                </c:pt>
                <c:pt idx="2">
                  <c:v>2.9159999999999995</c:v>
                </c:pt>
                <c:pt idx="3">
                  <c:v>3.7559999999999998</c:v>
                </c:pt>
                <c:pt idx="4">
                  <c:v>4.3559999999999999</c:v>
                </c:pt>
                <c:pt idx="5">
                  <c:v>5.1959999999999988</c:v>
                </c:pt>
                <c:pt idx="6">
                  <c:v>2.6759999999999997</c:v>
                </c:pt>
                <c:pt idx="7">
                  <c:v>2.6759999999999997</c:v>
                </c:pt>
                <c:pt idx="8">
                  <c:v>2.9159999999999995</c:v>
                </c:pt>
                <c:pt idx="9">
                  <c:v>4.3559999999999999</c:v>
                </c:pt>
                <c:pt idx="10">
                  <c:v>4.9559999999999995</c:v>
                </c:pt>
                <c:pt idx="11">
                  <c:v>4.5960000000000001</c:v>
                </c:pt>
                <c:pt idx="12">
                  <c:v>2.6759999999999997</c:v>
                </c:pt>
                <c:pt idx="13">
                  <c:v>2.7959999999999998</c:v>
                </c:pt>
                <c:pt idx="14">
                  <c:v>4.9559999999999995</c:v>
                </c:pt>
                <c:pt idx="15">
                  <c:v>4.476</c:v>
                </c:pt>
                <c:pt idx="16">
                  <c:v>5.3159999999999989</c:v>
                </c:pt>
                <c:pt idx="17">
                  <c:v>2.7959999999999998</c:v>
                </c:pt>
                <c:pt idx="18">
                  <c:v>1.4759999999999998</c:v>
                </c:pt>
                <c:pt idx="19">
                  <c:v>3.5159999999999996</c:v>
                </c:pt>
                <c:pt idx="20">
                  <c:v>4.3559999999999999</c:v>
                </c:pt>
                <c:pt idx="21">
                  <c:v>5.4359999999999991</c:v>
                </c:pt>
                <c:pt idx="22">
                  <c:v>5.3159999999999989</c:v>
                </c:pt>
              </c:numCache>
            </c:numRef>
          </c:xVal>
          <c:yVal>
            <c:numRef>
              <c:f>'salt content&amp;GIR correlation'!$C$24:$Y$24</c:f>
              <c:numCache>
                <c:formatCode>General</c:formatCode>
                <c:ptCount val="23"/>
                <c:pt idx="0">
                  <c:v>68.654738237243208</c:v>
                </c:pt>
                <c:pt idx="1">
                  <c:v>44.07170562952092</c:v>
                </c:pt>
                <c:pt idx="2">
                  <c:v>39.309094571457351</c:v>
                </c:pt>
                <c:pt idx="3">
                  <c:v>43.352888535348519</c:v>
                </c:pt>
                <c:pt idx="4">
                  <c:v>57.713736791546587</c:v>
                </c:pt>
                <c:pt idx="5">
                  <c:v>61.599442460144608</c:v>
                </c:pt>
                <c:pt idx="6">
                  <c:v>61.210514689639943</c:v>
                </c:pt>
                <c:pt idx="7">
                  <c:v>31.135339134081136</c:v>
                </c:pt>
                <c:pt idx="8">
                  <c:v>47.44687279685769</c:v>
                </c:pt>
                <c:pt idx="9">
                  <c:v>41.304563985283885</c:v>
                </c:pt>
                <c:pt idx="10">
                  <c:v>67.39673390970222</c:v>
                </c:pt>
                <c:pt idx="11">
                  <c:v>76.095478700235219</c:v>
                </c:pt>
                <c:pt idx="12">
                  <c:v>73.878948531036002</c:v>
                </c:pt>
                <c:pt idx="13">
                  <c:v>70.04927141209771</c:v>
                </c:pt>
                <c:pt idx="14">
                  <c:v>43.163965397235756</c:v>
                </c:pt>
                <c:pt idx="15">
                  <c:v>54.178674351585016</c:v>
                </c:pt>
                <c:pt idx="16">
                  <c:v>55.170311002700579</c:v>
                </c:pt>
                <c:pt idx="17">
                  <c:v>85.730064060083947</c:v>
                </c:pt>
                <c:pt idx="18">
                  <c:v>43.285459691791594</c:v>
                </c:pt>
                <c:pt idx="19">
                  <c:v>35.844495921039382</c:v>
                </c:pt>
                <c:pt idx="20">
                  <c:v>41.871333399622159</c:v>
                </c:pt>
                <c:pt idx="21">
                  <c:v>48.664745437079723</c:v>
                </c:pt>
                <c:pt idx="22">
                  <c:v>72.724104887185291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80-49EA-A521-009495F30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2264480"/>
        <c:axId val="520450336"/>
      </c:scatterChart>
      <c:valAx>
        <c:axId val="872264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20450336"/>
        <c:crosses val="autoZero"/>
        <c:crossBetween val="midCat"/>
      </c:valAx>
      <c:valAx>
        <c:axId val="52045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722644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'AMBP&amp;DIIP correlation'!$B$3:$O$3</c:f>
              <c:numCache>
                <c:formatCode>General</c:formatCode>
                <c:ptCount val="14"/>
                <c:pt idx="0">
                  <c:v>36.931234107717053</c:v>
                </c:pt>
                <c:pt idx="1">
                  <c:v>7.3066110353677871</c:v>
                </c:pt>
                <c:pt idx="2">
                  <c:v>16.548197244838189</c:v>
                </c:pt>
                <c:pt idx="3">
                  <c:v>44.059464598571509</c:v>
                </c:pt>
                <c:pt idx="4">
                  <c:v>131.90225562275637</c:v>
                </c:pt>
                <c:pt idx="5">
                  <c:v>23.555819907655067</c:v>
                </c:pt>
                <c:pt idx="6">
                  <c:v>129.08210340297748</c:v>
                </c:pt>
                <c:pt idx="7">
                  <c:v>28.159849761318075</c:v>
                </c:pt>
                <c:pt idx="8">
                  <c:v>5.9325992558959992</c:v>
                </c:pt>
                <c:pt idx="9">
                  <c:v>76.094389102724861</c:v>
                </c:pt>
                <c:pt idx="10">
                  <c:v>568.87439244954385</c:v>
                </c:pt>
                <c:pt idx="11">
                  <c:v>276.63185259396221</c:v>
                </c:pt>
                <c:pt idx="12">
                  <c:v>114.11821499470132</c:v>
                </c:pt>
                <c:pt idx="13">
                  <c:v>17.233578291306262</c:v>
                </c:pt>
              </c:numCache>
            </c:numRef>
          </c:xVal>
          <c:yVal>
            <c:numRef>
              <c:f>'AMBP&amp;DIIP correlation'!$B$4:$O$4</c:f>
              <c:numCache>
                <c:formatCode>General</c:formatCode>
                <c:ptCount val="14"/>
                <c:pt idx="0">
                  <c:v>0</c:v>
                </c:pt>
                <c:pt idx="1">
                  <c:v>88.713345091633187</c:v>
                </c:pt>
                <c:pt idx="2">
                  <c:v>194.52154995357523</c:v>
                </c:pt>
                <c:pt idx="3">
                  <c:v>389.66701823905419</c:v>
                </c:pt>
                <c:pt idx="4">
                  <c:v>663.26500008377718</c:v>
                </c:pt>
                <c:pt idx="5">
                  <c:v>155.52856518247006</c:v>
                </c:pt>
                <c:pt idx="6">
                  <c:v>343.69470241289616</c:v>
                </c:pt>
                <c:pt idx="7">
                  <c:v>120.98204080123321</c:v>
                </c:pt>
                <c:pt idx="8">
                  <c:v>158.53063872724169</c:v>
                </c:pt>
                <c:pt idx="9">
                  <c:v>309.18991376552333</c:v>
                </c:pt>
                <c:pt idx="10">
                  <c:v>1193.5613214722234</c:v>
                </c:pt>
                <c:pt idx="11">
                  <c:v>545.85696913747176</c:v>
                </c:pt>
                <c:pt idx="12">
                  <c:v>405.80981390318959</c:v>
                </c:pt>
                <c:pt idx="13">
                  <c:v>148.00558562395747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581-4FAC-A28E-8C947D3D6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8768687"/>
        <c:axId val="1224218527"/>
      </c:scatterChart>
      <c:valAx>
        <c:axId val="1348768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224218527"/>
        <c:crosses val="autoZero"/>
        <c:crossBetween val="midCat"/>
      </c:valAx>
      <c:valAx>
        <c:axId val="12242185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487686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ambp</a:t>
            </a:r>
          </a:p>
        </c:rich>
      </c:tx>
      <c:layout>
        <c:manualLayout>
          <c:xMode val="edge"/>
          <c:yMode val="edge"/>
          <c:x val="0.40338157857824269"/>
          <c:y val="1.6792607550370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9396325459317584"/>
          <c:w val="0.87753018372703417"/>
          <c:h val="0.5973559413027916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AMBP!$S$3</c:f>
              <c:strCache>
                <c:ptCount val="1"/>
                <c:pt idx="0">
                  <c:v>B. mucilaginosus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AMBP!$K$19:$Q$19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8.5165567670557074</c:v>
                  </c:pt>
                  <c:pt idx="2">
                    <c:v>5.3077989944710966</c:v>
                  </c:pt>
                  <c:pt idx="3">
                    <c:v>16.017462252076658</c:v>
                  </c:pt>
                  <c:pt idx="4">
                    <c:v>218.48606841339378</c:v>
                  </c:pt>
                  <c:pt idx="5">
                    <c:v>126.53801634315356</c:v>
                  </c:pt>
                  <c:pt idx="6">
                    <c:v>7.481944204138081</c:v>
                  </c:pt>
                </c:numCache>
              </c:numRef>
            </c:plus>
            <c:minus>
              <c:numRef>
                <c:f>AMBP!$K$19:$Q$19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8.5165567670557074</c:v>
                  </c:pt>
                  <c:pt idx="2">
                    <c:v>5.3077989944710966</c:v>
                  </c:pt>
                  <c:pt idx="3">
                    <c:v>16.017462252076658</c:v>
                  </c:pt>
                  <c:pt idx="4">
                    <c:v>218.48606841339378</c:v>
                  </c:pt>
                  <c:pt idx="5">
                    <c:v>126.53801634315356</c:v>
                  </c:pt>
                  <c:pt idx="6">
                    <c:v>7.481944204138081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AMBP!$T$2:$Z$2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AMBP!$T$3:$Z$3</c:f>
              <c:numCache>
                <c:formatCode>General</c:formatCode>
                <c:ptCount val="7"/>
                <c:pt idx="0">
                  <c:v>36.931234107717053</c:v>
                </c:pt>
                <c:pt idx="1">
                  <c:v>17.566679695997376</c:v>
                </c:pt>
                <c:pt idx="2">
                  <c:v>11.240398250367093</c:v>
                </c:pt>
                <c:pt idx="3">
                  <c:v>60.076926850648185</c:v>
                </c:pt>
                <c:pt idx="4">
                  <c:v>350.3883240361501</c:v>
                </c:pt>
                <c:pt idx="5">
                  <c:v>150.09383625080864</c:v>
                </c:pt>
                <c:pt idx="6">
                  <c:v>121.60015919883941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E68-432E-9C6C-F8C0866FE257}"/>
            </c:ext>
          </c:extLst>
        </c:ser>
        <c:ser>
          <c:idx val="1"/>
          <c:order val="1"/>
          <c:tx>
            <c:strRef>
              <c:f>AMBP!$S$4</c:f>
              <c:strCache>
                <c:ptCount val="1"/>
                <c:pt idx="0">
                  <c:v>B. megaterium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AMBP!$K$20:$Q$20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3.9349458249193217</c:v>
                  </c:pt>
                  <c:pt idx="2">
                    <c:v>18.666883356134875</c:v>
                  </c:pt>
                  <c:pt idx="3">
                    <c:v>15.508002206434382</c:v>
                  </c:pt>
                  <c:pt idx="4">
                    <c:v>61.256638208281672</c:v>
                  </c:pt>
                  <c:pt idx="5">
                    <c:v>186.62195077272338</c:v>
                  </c:pt>
                  <c:pt idx="6">
                    <c:v>52.784063342644721</c:v>
                  </c:pt>
                </c:numCache>
              </c:numRef>
            </c:plus>
            <c:minus>
              <c:numRef>
                <c:f>AMBP!$K$20:$Q$20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3.9349458249193217</c:v>
                  </c:pt>
                  <c:pt idx="2">
                    <c:v>18.666883356134875</c:v>
                  </c:pt>
                  <c:pt idx="3">
                    <c:v>15.508002206434382</c:v>
                  </c:pt>
                  <c:pt idx="4">
                    <c:v>61.256638208281672</c:v>
                  </c:pt>
                  <c:pt idx="5">
                    <c:v>186.62195077272338</c:v>
                  </c:pt>
                  <c:pt idx="6">
                    <c:v>52.784063342644721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AMBP!$T$2:$Z$2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AMBP!$T$4:$Z$4</c:f>
              <c:numCache>
                <c:formatCode>General</c:formatCode>
                <c:ptCount val="7"/>
                <c:pt idx="0">
                  <c:v>50.464910142360523</c:v>
                </c:pt>
                <c:pt idx="1">
                  <c:v>18.300717586219324</c:v>
                </c:pt>
                <c:pt idx="2">
                  <c:v>5.4460956496443247</c:v>
                </c:pt>
                <c:pt idx="3">
                  <c:v>25.995659269012261</c:v>
                </c:pt>
                <c:pt idx="4">
                  <c:v>193.8556838462693</c:v>
                </c:pt>
                <c:pt idx="5">
                  <c:v>566.50564850703995</c:v>
                </c:pt>
                <c:pt idx="6">
                  <c:v>370.96391578816156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E68-432E-9C6C-F8C0866FE257}"/>
            </c:ext>
          </c:extLst>
        </c:ser>
        <c:ser>
          <c:idx val="2"/>
          <c:order val="2"/>
          <c:tx>
            <c:strRef>
              <c:f>AMBP!$S$5</c:f>
              <c:strCache>
                <c:ptCount val="1"/>
                <c:pt idx="0">
                  <c:v>B. subtilis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AMBP!$K$21:$Q$21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1.3350292700935595</c:v>
                  </c:pt>
                  <c:pt idx="2">
                    <c:v>5.3090076820636476</c:v>
                  </c:pt>
                  <c:pt idx="3">
                    <c:v>0.28242211699665859</c:v>
                  </c:pt>
                  <c:pt idx="4">
                    <c:v>8.3263278356995905</c:v>
                  </c:pt>
                  <c:pt idx="5">
                    <c:v>2.5243750710354451</c:v>
                  </c:pt>
                  <c:pt idx="6">
                    <c:v>12.867079113629025</c:v>
                  </c:pt>
                </c:numCache>
              </c:numRef>
            </c:plus>
            <c:minus>
              <c:numRef>
                <c:f>AMBP!$K$21:$Q$21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1.3350292700935595</c:v>
                  </c:pt>
                  <c:pt idx="2">
                    <c:v>5.3090076820636476</c:v>
                  </c:pt>
                  <c:pt idx="3">
                    <c:v>0.28242211699665859</c:v>
                  </c:pt>
                  <c:pt idx="4">
                    <c:v>8.3263278356995905</c:v>
                  </c:pt>
                  <c:pt idx="5">
                    <c:v>2.5243750710354451</c:v>
                  </c:pt>
                  <c:pt idx="6">
                    <c:v>12.867079113629025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AMBP!$T$2:$Z$2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AMBP!$T$5:$Z$5</c:f>
              <c:numCache>
                <c:formatCode>General</c:formatCode>
                <c:ptCount val="7"/>
                <c:pt idx="0">
                  <c:v>26.445669895143702</c:v>
                </c:pt>
                <c:pt idx="1">
                  <c:v>1.3068589714721734</c:v>
                </c:pt>
                <c:pt idx="2">
                  <c:v>17.293109546913087</c:v>
                </c:pt>
                <c:pt idx="3">
                  <c:v>11.981676309818335</c:v>
                </c:pt>
                <c:pt idx="4">
                  <c:v>18.769917855704016</c:v>
                </c:pt>
                <c:pt idx="5">
                  <c:v>19.207171172692124</c:v>
                </c:pt>
                <c:pt idx="6">
                  <c:v>31.607323111301508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E68-432E-9C6C-F8C0866FE257}"/>
            </c:ext>
          </c:extLst>
        </c:ser>
        <c:ser>
          <c:idx val="3"/>
          <c:order val="3"/>
          <c:tx>
            <c:strRef>
              <c:f>AMBP!$S$6</c:f>
              <c:strCache>
                <c:ptCount val="1"/>
                <c:pt idx="0">
                  <c:v>B. licheniformis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AMBP!$K$22:$Q$22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2.5134997950166085</c:v>
                  </c:pt>
                  <c:pt idx="2">
                    <c:v>2.5849116612361542</c:v>
                  </c:pt>
                  <c:pt idx="3">
                    <c:v>0.65529717890981587</c:v>
                  </c:pt>
                  <c:pt idx="4">
                    <c:v>6.4540144342259262</c:v>
                  </c:pt>
                  <c:pt idx="5">
                    <c:v>13.4855122435021</c:v>
                  </c:pt>
                  <c:pt idx="6">
                    <c:v>13.338720432363024</c:v>
                  </c:pt>
                </c:numCache>
              </c:numRef>
            </c:plus>
            <c:minus>
              <c:numRef>
                <c:f>AMBP!$K$22:$Q$22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2.5134997950166085</c:v>
                  </c:pt>
                  <c:pt idx="2">
                    <c:v>2.5849116612361542</c:v>
                  </c:pt>
                  <c:pt idx="3">
                    <c:v>0.65529717890981587</c:v>
                  </c:pt>
                  <c:pt idx="4">
                    <c:v>6.4540144342259262</c:v>
                  </c:pt>
                  <c:pt idx="5">
                    <c:v>13.4855122435021</c:v>
                  </c:pt>
                  <c:pt idx="6">
                    <c:v>13.338720432363024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AMBP!$T$2:$Z$2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AMBP!$T$6:$Z$6</c:f>
              <c:numCache>
                <c:formatCode>General</c:formatCode>
                <c:ptCount val="7"/>
                <c:pt idx="0">
                  <c:v>37.131285703490995</c:v>
                </c:pt>
                <c:pt idx="1">
                  <c:v>6.5166722062181517</c:v>
                </c:pt>
                <c:pt idx="2">
                  <c:v>9.3814717716575799</c:v>
                </c:pt>
                <c:pt idx="3">
                  <c:v>10.338837477112889</c:v>
                </c:pt>
                <c:pt idx="4">
                  <c:v>28.648401510562138</c:v>
                </c:pt>
                <c:pt idx="5">
                  <c:v>74.964392204587838</c:v>
                </c:pt>
                <c:pt idx="6">
                  <c:v>20.098315142742383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E68-432E-9C6C-F8C0866FE257}"/>
            </c:ext>
          </c:extLst>
        </c:ser>
        <c:ser>
          <c:idx val="4"/>
          <c:order val="4"/>
          <c:tx>
            <c:strRef>
              <c:f>AMBP!$S$7</c:f>
              <c:strCache>
                <c:ptCount val="1"/>
                <c:pt idx="0">
                  <c:v>P. fluorescens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AMBP!$K$23:$Q$23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14.209172133490947</c:v>
                  </c:pt>
                  <c:pt idx="2">
                    <c:v>30.977415356070505</c:v>
                  </c:pt>
                  <c:pt idx="3">
                    <c:v>44.708265957108793</c:v>
                  </c:pt>
                  <c:pt idx="4">
                    <c:v>40.453334168232686</c:v>
                  </c:pt>
                  <c:pt idx="5">
                    <c:v>146.50240999212451</c:v>
                  </c:pt>
                  <c:pt idx="6">
                    <c:v>109.89716880061934</c:v>
                  </c:pt>
                </c:numCache>
              </c:numRef>
            </c:plus>
            <c:minus>
              <c:numRef>
                <c:f>AMBP!$K$23:$Q$23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14.209172133490947</c:v>
                  </c:pt>
                  <c:pt idx="2">
                    <c:v>30.977415356070505</c:v>
                  </c:pt>
                  <c:pt idx="3">
                    <c:v>44.708265957108793</c:v>
                  </c:pt>
                  <c:pt idx="4">
                    <c:v>40.453334168232686</c:v>
                  </c:pt>
                  <c:pt idx="5">
                    <c:v>146.50240999212451</c:v>
                  </c:pt>
                  <c:pt idx="6">
                    <c:v>109.89716880061934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AMBP!$T$2:$Z$2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AMBP!$T$7:$Z$7</c:f>
              <c:numCache>
                <c:formatCode>General</c:formatCode>
                <c:ptCount val="7"/>
                <c:pt idx="0">
                  <c:v>26.496557812703422</c:v>
                </c:pt>
                <c:pt idx="1">
                  <c:v>23.926477454168484</c:v>
                </c:pt>
                <c:pt idx="2">
                  <c:v>34.008349696395861</c:v>
                </c:pt>
                <c:pt idx="3">
                  <c:v>85.33723016508317</c:v>
                </c:pt>
                <c:pt idx="4">
                  <c:v>121.26933800049191</c:v>
                </c:pt>
                <c:pt idx="5">
                  <c:v>291.55745327921989</c:v>
                </c:pt>
                <c:pt idx="6">
                  <c:v>341.38875085473506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E68-432E-9C6C-F8C0866FE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151600"/>
        <c:axId val="123152432"/>
      </c:scatterChart>
      <c:valAx>
        <c:axId val="123151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23152432"/>
        <c:crosses val="autoZero"/>
        <c:crossBetween val="midCat"/>
      </c:valAx>
      <c:valAx>
        <c:axId val="12315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23151600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'AMBP&amp;DIIP correlation'!$B$10:$Y$10</c:f>
              <c:numCache>
                <c:formatCode>General</c:formatCode>
                <c:ptCount val="24"/>
                <c:pt idx="0">
                  <c:v>50.464910142360523</c:v>
                </c:pt>
                <c:pt idx="1">
                  <c:v>19.684914503157113</c:v>
                </c:pt>
                <c:pt idx="2">
                  <c:v>-14.750263966765381</c:v>
                </c:pt>
                <c:pt idx="3">
                  <c:v>4.7921230440802276</c:v>
                </c:pt>
                <c:pt idx="4">
                  <c:v>213.54831731332942</c:v>
                </c:pt>
                <c:pt idx="5">
                  <c:v>425.67347791234408</c:v>
                </c:pt>
                <c:pt idx="6">
                  <c:v>416.13857987385609</c:v>
                </c:pt>
                <c:pt idx="7">
                  <c:v>11.740135329658994</c:v>
                </c:pt>
                <c:pt idx="8">
                  <c:v>18.773029489571908</c:v>
                </c:pt>
                <c:pt idx="9">
                  <c:v>180.73338119184729</c:v>
                </c:pt>
                <c:pt idx="10">
                  <c:v>477.58343611558359</c:v>
                </c:pt>
                <c:pt idx="11">
                  <c:v>290.40204685486304</c:v>
                </c:pt>
                <c:pt idx="12">
                  <c:v>22.226907142819979</c:v>
                </c:pt>
                <c:pt idx="13">
                  <c:v>0.82153471331356265</c:v>
                </c:pt>
                <c:pt idx="14">
                  <c:v>34.907197990889053</c:v>
                </c:pt>
                <c:pt idx="15">
                  <c:v>275.505563135898</c:v>
                </c:pt>
                <c:pt idx="16">
                  <c:v>475.01349675942527</c:v>
                </c:pt>
                <c:pt idx="17">
                  <c:v>420.18161405226385</c:v>
                </c:pt>
                <c:pt idx="18">
                  <c:v>19.550913369241215</c:v>
                </c:pt>
                <c:pt idx="19">
                  <c:v>30.267016202384795</c:v>
                </c:pt>
                <c:pt idx="20">
                  <c:v>45.510286551507861</c:v>
                </c:pt>
                <c:pt idx="21">
                  <c:v>105.63547374400258</c:v>
                </c:pt>
                <c:pt idx="22">
                  <c:v>887.75218324080708</c:v>
                </c:pt>
                <c:pt idx="23">
                  <c:v>357.13342237166313</c:v>
                </c:pt>
              </c:numCache>
            </c:numRef>
          </c:xVal>
          <c:yVal>
            <c:numRef>
              <c:f>'AMBP&amp;DIIP correlation'!$B$11:$Y$11</c:f>
              <c:numCache>
                <c:formatCode>General</c:formatCode>
                <c:ptCount val="24"/>
                <c:pt idx="0">
                  <c:v>0</c:v>
                </c:pt>
                <c:pt idx="1">
                  <c:v>-135.7711968178337</c:v>
                </c:pt>
                <c:pt idx="2">
                  <c:v>-107.97387570130866</c:v>
                </c:pt>
                <c:pt idx="3">
                  <c:v>71.648742157123706</c:v>
                </c:pt>
                <c:pt idx="4">
                  <c:v>386.3789063670564</c:v>
                </c:pt>
                <c:pt idx="5">
                  <c:v>782.44000505101701</c:v>
                </c:pt>
                <c:pt idx="6">
                  <c:v>807.71016758944063</c:v>
                </c:pt>
                <c:pt idx="7">
                  <c:v>-139.41987720963232</c:v>
                </c:pt>
                <c:pt idx="8">
                  <c:v>117.41422835223</c:v>
                </c:pt>
                <c:pt idx="9">
                  <c:v>385.12095061242974</c:v>
                </c:pt>
                <c:pt idx="10">
                  <c:v>766.99458005533063</c:v>
                </c:pt>
                <c:pt idx="11">
                  <c:v>841.57407908856237</c:v>
                </c:pt>
                <c:pt idx="12">
                  <c:v>-71.388822703120127</c:v>
                </c:pt>
                <c:pt idx="13">
                  <c:v>-24.270427079809451</c:v>
                </c:pt>
                <c:pt idx="14">
                  <c:v>74.421190075871891</c:v>
                </c:pt>
                <c:pt idx="15">
                  <c:v>487.80301460803446</c:v>
                </c:pt>
                <c:pt idx="16">
                  <c:v>753.04564384996604</c:v>
                </c:pt>
                <c:pt idx="17">
                  <c:v>928.24113663440914</c:v>
                </c:pt>
                <c:pt idx="18">
                  <c:v>-133.28538394433929</c:v>
                </c:pt>
                <c:pt idx="19">
                  <c:v>-24.312741395104922</c:v>
                </c:pt>
                <c:pt idx="20">
                  <c:v>108.42976155757481</c:v>
                </c:pt>
                <c:pt idx="21">
                  <c:v>376.0541798396431</c:v>
                </c:pt>
                <c:pt idx="22">
                  <c:v>1091.2376655566923</c:v>
                </c:pt>
                <c:pt idx="23">
                  <c:v>822.09760602496715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8FA-42FF-804D-5C85B4699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8838287"/>
        <c:axId val="1231561263"/>
      </c:scatterChart>
      <c:valAx>
        <c:axId val="13488382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231561263"/>
        <c:crosses val="autoZero"/>
        <c:crossBetween val="midCat"/>
      </c:valAx>
      <c:valAx>
        <c:axId val="1231561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488382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'AMBP&amp;DIIP correlation'!$B$17:$T$17</c:f>
              <c:numCache>
                <c:formatCode>General</c:formatCode>
                <c:ptCount val="19"/>
                <c:pt idx="0">
                  <c:v>26.445669895143702</c:v>
                </c:pt>
                <c:pt idx="1">
                  <c:v>-0.14749783708916042</c:v>
                </c:pt>
                <c:pt idx="2">
                  <c:v>11.322953038312962</c:v>
                </c:pt>
                <c:pt idx="3">
                  <c:v>12.297902151900994</c:v>
                </c:pt>
                <c:pt idx="4">
                  <c:v>30.279711918072334</c:v>
                </c:pt>
                <c:pt idx="5">
                  <c:v>15.711400252318203</c:v>
                </c:pt>
                <c:pt idx="6">
                  <c:v>14.041937635957778</c:v>
                </c:pt>
                <c:pt idx="7">
                  <c:v>0.99140156538889446</c:v>
                </c:pt>
                <c:pt idx="8">
                  <c:v>16.33531228968215</c:v>
                </c:pt>
                <c:pt idx="9">
                  <c:v>12.034855345208493</c:v>
                </c:pt>
                <c:pt idx="10">
                  <c:v>10.862096459215294</c:v>
                </c:pt>
                <c:pt idx="11">
                  <c:v>21.582267524923342</c:v>
                </c:pt>
                <c:pt idx="12">
                  <c:v>44.505293749859369</c:v>
                </c:pt>
                <c:pt idx="13">
                  <c:v>3.0766731861167864</c:v>
                </c:pt>
                <c:pt idx="14">
                  <c:v>24.22106331274415</c:v>
                </c:pt>
                <c:pt idx="15">
                  <c:v>11.612271432345516</c:v>
                </c:pt>
                <c:pt idx="16">
                  <c:v>15.167945189824415</c:v>
                </c:pt>
                <c:pt idx="17">
                  <c:v>20.327845740834821</c:v>
                </c:pt>
                <c:pt idx="18">
                  <c:v>36.274737948087363</c:v>
                </c:pt>
              </c:numCache>
            </c:numRef>
          </c:xVal>
          <c:yVal>
            <c:numRef>
              <c:f>'AMBP&amp;DIIP correlation'!$B$18:$T$18</c:f>
              <c:numCache>
                <c:formatCode>General</c:formatCode>
                <c:ptCount val="19"/>
                <c:pt idx="0">
                  <c:v>0</c:v>
                </c:pt>
                <c:pt idx="1">
                  <c:v>-129.94957206442842</c:v>
                </c:pt>
                <c:pt idx="2">
                  <c:v>-126.96790597298997</c:v>
                </c:pt>
                <c:pt idx="3">
                  <c:v>-65.826426400280639</c:v>
                </c:pt>
                <c:pt idx="4">
                  <c:v>-87.814030754526129</c:v>
                </c:pt>
                <c:pt idx="5">
                  <c:v>-26.499974096827145</c:v>
                </c:pt>
                <c:pt idx="6">
                  <c:v>22.386994432060078</c:v>
                </c:pt>
                <c:pt idx="7">
                  <c:v>-142.36239346499099</c:v>
                </c:pt>
                <c:pt idx="8">
                  <c:v>-136.23782686925102</c:v>
                </c:pt>
                <c:pt idx="9">
                  <c:v>-104.47158796610307</c:v>
                </c:pt>
                <c:pt idx="10">
                  <c:v>-96.091595858235166</c:v>
                </c:pt>
                <c:pt idx="11">
                  <c:v>3.2612256323244537</c:v>
                </c:pt>
                <c:pt idx="12">
                  <c:v>89.242435168991165</c:v>
                </c:pt>
                <c:pt idx="13">
                  <c:v>-171.79830318109953</c:v>
                </c:pt>
                <c:pt idx="14">
                  <c:v>-107.03929238763828</c:v>
                </c:pt>
                <c:pt idx="15">
                  <c:v>-58.322596743130362</c:v>
                </c:pt>
                <c:pt idx="16">
                  <c:v>-123.51073860371332</c:v>
                </c:pt>
                <c:pt idx="17">
                  <c:v>-14.74683764042004</c:v>
                </c:pt>
                <c:pt idx="18">
                  <c:v>79.091941962049987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796-4D23-8709-A96FBD4DF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1419775"/>
        <c:axId val="1400740527"/>
      </c:scatterChart>
      <c:valAx>
        <c:axId val="13414197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00740527"/>
        <c:crosses val="autoZero"/>
        <c:crossBetween val="midCat"/>
      </c:valAx>
      <c:valAx>
        <c:axId val="14007405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4141977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'AMBP&amp;DIIP correlation'!$B$23:$T$23</c:f>
              <c:numCache>
                <c:formatCode>General</c:formatCode>
                <c:ptCount val="19"/>
                <c:pt idx="0">
                  <c:v>37.131285703491002</c:v>
                </c:pt>
                <c:pt idx="1">
                  <c:v>6.196900274165186</c:v>
                </c:pt>
                <c:pt idx="2">
                  <c:v>5.972234089644644</c:v>
                </c:pt>
                <c:pt idx="3">
                  <c:v>10.994134656022705</c:v>
                </c:pt>
                <c:pt idx="4">
                  <c:v>20.3798111353649</c:v>
                </c:pt>
                <c:pt idx="5">
                  <c:v>56.91814587184782</c:v>
                </c:pt>
                <c:pt idx="6">
                  <c:v>5.8459665272539088</c:v>
                </c:pt>
                <c:pt idx="7">
                  <c:v>2.8140788434869486</c:v>
                </c:pt>
                <c:pt idx="8">
                  <c:v>12.228665015164498</c:v>
                </c:pt>
                <c:pt idx="9">
                  <c:v>9.6835402982030736</c:v>
                </c:pt>
                <c:pt idx="10">
                  <c:v>29.435419688232866</c:v>
                </c:pt>
                <c:pt idx="11">
                  <c:v>78.645389794184069</c:v>
                </c:pt>
                <c:pt idx="12">
                  <c:v>37.926597344076832</c:v>
                </c:pt>
                <c:pt idx="13">
                  <c:v>9.8258459740694661</c:v>
                </c:pt>
                <c:pt idx="14">
                  <c:v>9.9435162101635992</c:v>
                </c:pt>
                <c:pt idx="15">
                  <c:v>36.129973708088642</c:v>
                </c:pt>
                <c:pt idx="16">
                  <c:v>89.329640947731605</c:v>
                </c:pt>
                <c:pt idx="17">
                  <c:v>16.522381556896416</c:v>
                </c:pt>
                <c:pt idx="18">
                  <c:v>7.2298637331510074</c:v>
                </c:pt>
              </c:numCache>
            </c:numRef>
          </c:xVal>
          <c:yVal>
            <c:numRef>
              <c:f>'AMBP&amp;DIIP correlation'!$B$24:$T$24</c:f>
              <c:numCache>
                <c:formatCode>General</c:formatCode>
                <c:ptCount val="19"/>
                <c:pt idx="0">
                  <c:v>0</c:v>
                </c:pt>
                <c:pt idx="1">
                  <c:v>-179.06024678879635</c:v>
                </c:pt>
                <c:pt idx="2">
                  <c:v>-147.18296485929807</c:v>
                </c:pt>
                <c:pt idx="3">
                  <c:v>-117.03251827611905</c:v>
                </c:pt>
                <c:pt idx="4">
                  <c:v>-148.42272730723465</c:v>
                </c:pt>
                <c:pt idx="5">
                  <c:v>23.475742286679747</c:v>
                </c:pt>
                <c:pt idx="6">
                  <c:v>-16.302028666803153</c:v>
                </c:pt>
                <c:pt idx="7">
                  <c:v>-125.2323027032084</c:v>
                </c:pt>
                <c:pt idx="8">
                  <c:v>-81.39611149784696</c:v>
                </c:pt>
                <c:pt idx="9">
                  <c:v>-137.98404617937592</c:v>
                </c:pt>
                <c:pt idx="10">
                  <c:v>-154.95940346671966</c:v>
                </c:pt>
                <c:pt idx="11">
                  <c:v>63.499616896989323</c:v>
                </c:pt>
                <c:pt idx="12">
                  <c:v>55.951051408148714</c:v>
                </c:pt>
                <c:pt idx="13">
                  <c:v>-127.36071218217103</c:v>
                </c:pt>
                <c:pt idx="14">
                  <c:v>-79.171824654027432</c:v>
                </c:pt>
                <c:pt idx="15">
                  <c:v>-121.69891210063565</c:v>
                </c:pt>
                <c:pt idx="16">
                  <c:v>80.925320043930128</c:v>
                </c:pt>
                <c:pt idx="17">
                  <c:v>30.156236674066804</c:v>
                </c:pt>
                <c:pt idx="18">
                  <c:v>-125.19933904545223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A78-4185-B916-EA6A4101B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6749423"/>
        <c:axId val="1224212767"/>
      </c:scatterChart>
      <c:valAx>
        <c:axId val="15567494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224212767"/>
        <c:crosses val="autoZero"/>
        <c:crossBetween val="midCat"/>
      </c:valAx>
      <c:valAx>
        <c:axId val="1224212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567494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'AMBP&amp;DIIP correlation'!$B$30:$X$30</c:f>
              <c:numCache>
                <c:formatCode>General</c:formatCode>
                <c:ptCount val="23"/>
                <c:pt idx="0">
                  <c:v>26.496557812703422</c:v>
                </c:pt>
                <c:pt idx="1">
                  <c:v>34.690961910558585</c:v>
                </c:pt>
                <c:pt idx="2">
                  <c:v>57.800775135185212</c:v>
                </c:pt>
                <c:pt idx="3">
                  <c:v>119.80295881861862</c:v>
                </c:pt>
                <c:pt idx="4">
                  <c:v>117.38305323164013</c:v>
                </c:pt>
                <c:pt idx="5">
                  <c:v>135.78967028808356</c:v>
                </c:pt>
                <c:pt idx="6">
                  <c:v>162.44041726267218</c:v>
                </c:pt>
                <c:pt idx="7">
                  <c:v>-0.27603985031358186</c:v>
                </c:pt>
                <c:pt idx="8">
                  <c:v>34.473196381193134</c:v>
                </c:pt>
                <c:pt idx="9">
                  <c:v>76.463241853690633</c:v>
                </c:pt>
                <c:pt idx="10">
                  <c:v>482.63148858101459</c:v>
                </c:pt>
                <c:pt idx="11">
                  <c:v>407.40558370603242</c:v>
                </c:pt>
                <c:pt idx="12">
                  <c:v>27.84585479630724</c:v>
                </c:pt>
                <c:pt idx="13">
                  <c:v>60.466614471741998</c:v>
                </c:pt>
                <c:pt idx="14">
                  <c:v>104.76381160046603</c:v>
                </c:pt>
                <c:pt idx="15">
                  <c:v>163.32478646784321</c:v>
                </c:pt>
                <c:pt idx="16">
                  <c:v>450.54254824099314</c:v>
                </c:pt>
                <c:pt idx="17">
                  <c:v>33.445132960121704</c:v>
                </c:pt>
                <c:pt idx="18">
                  <c:v>-16.707187202536893</c:v>
                </c:pt>
                <c:pt idx="19">
                  <c:v>114.01001612913487</c:v>
                </c:pt>
                <c:pt idx="20">
                  <c:v>186.46724531617082</c:v>
                </c:pt>
                <c:pt idx="21">
                  <c:v>384.48386777993829</c:v>
                </c:pt>
                <c:pt idx="22">
                  <c:v>345.16645420924249</c:v>
                </c:pt>
              </c:numCache>
            </c:numRef>
          </c:xVal>
          <c:yVal>
            <c:numRef>
              <c:f>'AMBP&amp;DIIP correlation'!$B$31:$X$31</c:f>
              <c:numCache>
                <c:formatCode>General</c:formatCode>
                <c:ptCount val="23"/>
                <c:pt idx="0">
                  <c:v>0</c:v>
                </c:pt>
                <c:pt idx="1">
                  <c:v>-92.714275925550567</c:v>
                </c:pt>
                <c:pt idx="2">
                  <c:v>122.69970793684604</c:v>
                </c:pt>
                <c:pt idx="3">
                  <c:v>361.08953687664655</c:v>
                </c:pt>
                <c:pt idx="4">
                  <c:v>369.95665011736003</c:v>
                </c:pt>
                <c:pt idx="5">
                  <c:v>532.89479412237415</c:v>
                </c:pt>
                <c:pt idx="6">
                  <c:v>637.00223481755552</c:v>
                </c:pt>
                <c:pt idx="7">
                  <c:v>-121.44800458731009</c:v>
                </c:pt>
                <c:pt idx="8">
                  <c:v>147.74584048769884</c:v>
                </c:pt>
                <c:pt idx="9">
                  <c:v>255.79633108695907</c:v>
                </c:pt>
                <c:pt idx="10">
                  <c:v>957.41847453655316</c:v>
                </c:pt>
                <c:pt idx="11">
                  <c:v>864.76069469553283</c:v>
                </c:pt>
                <c:pt idx="12">
                  <c:v>-121.42272566139809</c:v>
                </c:pt>
                <c:pt idx="13">
                  <c:v>80.427198893356717</c:v>
                </c:pt>
                <c:pt idx="14">
                  <c:v>316.51037413438291</c:v>
                </c:pt>
                <c:pt idx="15">
                  <c:v>503.41444081410225</c:v>
                </c:pt>
                <c:pt idx="16">
                  <c:v>863.84443043795125</c:v>
                </c:pt>
                <c:pt idx="17">
                  <c:v>-10.477622648191414</c:v>
                </c:pt>
                <c:pt idx="18">
                  <c:v>-11.363923779589982</c:v>
                </c:pt>
                <c:pt idx="19">
                  <c:v>164.54244655256548</c:v>
                </c:pt>
                <c:pt idx="20">
                  <c:v>409.09004364148984</c:v>
                </c:pt>
                <c:pt idx="21">
                  <c:v>646.81781225336761</c:v>
                </c:pt>
                <c:pt idx="22">
                  <c:v>866.09000758843638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87C-49B4-B95F-C6DA6146C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6721119"/>
        <c:axId val="1231565583"/>
      </c:scatterChart>
      <c:valAx>
        <c:axId val="15567211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231565583"/>
        <c:crosses val="autoZero"/>
        <c:crossBetween val="midCat"/>
      </c:valAx>
      <c:valAx>
        <c:axId val="1231565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56721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'pH&amp;DIIP correlation'!$J$2:$J$25</c:f>
              <c:numCache>
                <c:formatCode>General</c:formatCode>
                <c:ptCount val="24"/>
                <c:pt idx="0">
                  <c:v>5.4766666669999999</c:v>
                </c:pt>
                <c:pt idx="2">
                  <c:v>5.3633333329999999</c:v>
                </c:pt>
                <c:pt idx="5">
                  <c:v>4.5233333333333334</c:v>
                </c:pt>
                <c:pt idx="6">
                  <c:v>4.3133333333333335</c:v>
                </c:pt>
                <c:pt idx="7">
                  <c:v>4.5666666666666664</c:v>
                </c:pt>
                <c:pt idx="8">
                  <c:v>4.3500000000000005</c:v>
                </c:pt>
                <c:pt idx="10">
                  <c:v>8.3133333333333326</c:v>
                </c:pt>
                <c:pt idx="11">
                  <c:v>8.1833333333333318</c:v>
                </c:pt>
                <c:pt idx="12">
                  <c:v>8.3666666666666671</c:v>
                </c:pt>
                <c:pt idx="15">
                  <c:v>7.7833333333333341</c:v>
                </c:pt>
                <c:pt idx="16">
                  <c:v>7.7566666666666668</c:v>
                </c:pt>
                <c:pt idx="17">
                  <c:v>7.5133333333333328</c:v>
                </c:pt>
                <c:pt idx="20">
                  <c:v>4.3133333333333335</c:v>
                </c:pt>
                <c:pt idx="21">
                  <c:v>4.2766666666666664</c:v>
                </c:pt>
                <c:pt idx="22">
                  <c:v>4.3133333333333335</c:v>
                </c:pt>
                <c:pt idx="23">
                  <c:v>4.3833333333333337</c:v>
                </c:pt>
              </c:numCache>
            </c:numRef>
          </c:xVal>
          <c:yVal>
            <c:numRef>
              <c:f>'pH&amp;DIIP correlation'!$K$2:$K$25</c:f>
              <c:numCache>
                <c:formatCode>General</c:formatCode>
                <c:ptCount val="24"/>
                <c:pt idx="0">
                  <c:v>663.26500008377718</c:v>
                </c:pt>
                <c:pt idx="2">
                  <c:v>1193.5613214722234</c:v>
                </c:pt>
                <c:pt idx="5">
                  <c:v>822.08072217667996</c:v>
                </c:pt>
                <c:pt idx="6">
                  <c:v>841.57407908856237</c:v>
                </c:pt>
                <c:pt idx="7">
                  <c:v>928.24113663440914</c:v>
                </c:pt>
                <c:pt idx="8">
                  <c:v>822.09760602496715</c:v>
                </c:pt>
                <c:pt idx="10">
                  <c:v>22.386994432060078</c:v>
                </c:pt>
                <c:pt idx="11">
                  <c:v>89.242435168991165</c:v>
                </c:pt>
                <c:pt idx="12">
                  <c:v>79.091941962049987</c:v>
                </c:pt>
                <c:pt idx="15">
                  <c:v>-16.302028666803153</c:v>
                </c:pt>
                <c:pt idx="16">
                  <c:v>55.951051408148714</c:v>
                </c:pt>
                <c:pt idx="17">
                  <c:v>30.156236674066804</c:v>
                </c:pt>
                <c:pt idx="20">
                  <c:v>623.23342196252577</c:v>
                </c:pt>
                <c:pt idx="21">
                  <c:v>864.76069469553283</c:v>
                </c:pt>
                <c:pt idx="22">
                  <c:v>863.84443043795125</c:v>
                </c:pt>
                <c:pt idx="23">
                  <c:v>866.09000758843638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A5-4D04-9522-F9AE66900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5491536"/>
        <c:axId val="589101952"/>
      </c:scatterChart>
      <c:valAx>
        <c:axId val="575491536"/>
        <c:scaling>
          <c:orientation val="maxMin"/>
          <c:min val="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89101952"/>
        <c:crosses val="autoZero"/>
        <c:crossBetween val="midCat"/>
      </c:valAx>
      <c:valAx>
        <c:axId val="5891019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754915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SMBP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SMBP!$S$3</c:f>
              <c:strCache>
                <c:ptCount val="1"/>
                <c:pt idx="0">
                  <c:v>B. mucilaginosus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SMBP!$K$19:$Q$19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32.972548472888612</c:v>
                  </c:pt>
                  <c:pt idx="2">
                    <c:v>37.724935332794921</c:v>
                  </c:pt>
                  <c:pt idx="3">
                    <c:v>82.743978026919152</c:v>
                  </c:pt>
                  <c:pt idx="4">
                    <c:v>51.917111111057409</c:v>
                  </c:pt>
                  <c:pt idx="5">
                    <c:v>31.592587465651373</c:v>
                  </c:pt>
                  <c:pt idx="6">
                    <c:v>33.422848787904599</c:v>
                  </c:pt>
                </c:numCache>
              </c:numRef>
            </c:plus>
            <c:minus>
              <c:numRef>
                <c:f>SMBP!$K$19:$Q$19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32.972548472888612</c:v>
                  </c:pt>
                  <c:pt idx="2">
                    <c:v>37.724935332794921</c:v>
                  </c:pt>
                  <c:pt idx="3">
                    <c:v>82.743978026919152</c:v>
                  </c:pt>
                  <c:pt idx="4">
                    <c:v>51.917111111057409</c:v>
                  </c:pt>
                  <c:pt idx="5">
                    <c:v>31.592587465651373</c:v>
                  </c:pt>
                  <c:pt idx="6">
                    <c:v>33.422848787904599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SMBP!$T$2:$Z$2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SMBP!$T$3:$Z$3</c:f>
              <c:numCache>
                <c:formatCode>General</c:formatCode>
                <c:ptCount val="7"/>
                <c:pt idx="0">
                  <c:v>284.50265671799997</c:v>
                </c:pt>
                <c:pt idx="1">
                  <c:v>306.42679184954847</c:v>
                </c:pt>
                <c:pt idx="2">
                  <c:v>418.49689327687588</c:v>
                </c:pt>
                <c:pt idx="3">
                  <c:v>421.12191405401614</c:v>
                </c:pt>
                <c:pt idx="4">
                  <c:v>643.36641307850664</c:v>
                </c:pt>
                <c:pt idx="5">
                  <c:v>243.21120348294716</c:v>
                </c:pt>
                <c:pt idx="6">
                  <c:v>335.60236415390398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FAB-461A-A83B-CD32464E8584}"/>
            </c:ext>
          </c:extLst>
        </c:ser>
        <c:ser>
          <c:idx val="1"/>
          <c:order val="1"/>
          <c:tx>
            <c:strRef>
              <c:f>SMBP!$S$4</c:f>
              <c:strCache>
                <c:ptCount val="1"/>
                <c:pt idx="0">
                  <c:v>B. megaterium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SMBP!$K$20:$Q$20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21.184132959696939</c:v>
                  </c:pt>
                  <c:pt idx="2">
                    <c:v>29.135953377861771</c:v>
                  </c:pt>
                  <c:pt idx="3">
                    <c:v>62.881238632705958</c:v>
                  </c:pt>
                  <c:pt idx="4">
                    <c:v>20.881570218433293</c:v>
                  </c:pt>
                  <c:pt idx="5">
                    <c:v>67.986057819695901</c:v>
                  </c:pt>
                  <c:pt idx="6">
                    <c:v>108.86870266272491</c:v>
                  </c:pt>
                </c:numCache>
              </c:numRef>
            </c:plus>
            <c:minus>
              <c:numRef>
                <c:f>SMBP!$K$20:$Q$20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21.184132959696939</c:v>
                  </c:pt>
                  <c:pt idx="2">
                    <c:v>29.135953377861771</c:v>
                  </c:pt>
                  <c:pt idx="3">
                    <c:v>62.881238632705958</c:v>
                  </c:pt>
                  <c:pt idx="4">
                    <c:v>20.881570218433293</c:v>
                  </c:pt>
                  <c:pt idx="5">
                    <c:v>67.986057819695901</c:v>
                  </c:pt>
                  <c:pt idx="6">
                    <c:v>108.86870266272491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SMBP!$T$2:$Z$2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SMBP!$T$4:$Z$4</c:f>
              <c:numCache>
                <c:formatCode>General</c:formatCode>
                <c:ptCount val="7"/>
                <c:pt idx="0">
                  <c:v>343.97259367799995</c:v>
                </c:pt>
                <c:pt idx="1">
                  <c:v>195.23589594926275</c:v>
                </c:pt>
                <c:pt idx="2">
                  <c:v>384.09042057567223</c:v>
                </c:pt>
                <c:pt idx="3">
                  <c:v>458.38038427982997</c:v>
                </c:pt>
                <c:pt idx="4">
                  <c:v>449.47263938352609</c:v>
                </c:pt>
                <c:pt idx="5">
                  <c:v>433.06847333154394</c:v>
                </c:pt>
                <c:pt idx="6">
                  <c:v>588.82448562769548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FAB-461A-A83B-CD32464E8584}"/>
            </c:ext>
          </c:extLst>
        </c:ser>
        <c:ser>
          <c:idx val="2"/>
          <c:order val="2"/>
          <c:tx>
            <c:strRef>
              <c:f>SMBP!$S$5</c:f>
              <c:strCache>
                <c:ptCount val="1"/>
                <c:pt idx="0">
                  <c:v>B. subtilis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SMBP!$K$21:$Q$21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20.355989831358109</c:v>
                  </c:pt>
                  <c:pt idx="2">
                    <c:v>5.171359739432372</c:v>
                  </c:pt>
                  <c:pt idx="3">
                    <c:v>25.643301496597939</c:v>
                  </c:pt>
                  <c:pt idx="4">
                    <c:v>16.536449817936838</c:v>
                  </c:pt>
                  <c:pt idx="5">
                    <c:v>2.4243755283899606</c:v>
                  </c:pt>
                  <c:pt idx="6">
                    <c:v>19.269211223900161</c:v>
                  </c:pt>
                </c:numCache>
              </c:numRef>
            </c:plus>
            <c:minus>
              <c:numRef>
                <c:f>SMBP!$K$21:$Q$21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20.355989831358109</c:v>
                  </c:pt>
                  <c:pt idx="2">
                    <c:v>5.171359739432372</c:v>
                  </c:pt>
                  <c:pt idx="3">
                    <c:v>25.643301496597939</c:v>
                  </c:pt>
                  <c:pt idx="4">
                    <c:v>16.536449817936838</c:v>
                  </c:pt>
                  <c:pt idx="5">
                    <c:v>2.4243755283899606</c:v>
                  </c:pt>
                  <c:pt idx="6">
                    <c:v>19.269211223900161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SMBP!$T$2:$Z$2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SMBP!$T$5:$Z$5</c:f>
              <c:numCache>
                <c:formatCode>General</c:formatCode>
                <c:ptCount val="7"/>
                <c:pt idx="0">
                  <c:v>253.74473837999994</c:v>
                </c:pt>
                <c:pt idx="1">
                  <c:v>98.057538254757517</c:v>
                </c:pt>
                <c:pt idx="2">
                  <c:v>213.40897431461272</c:v>
                </c:pt>
                <c:pt idx="3">
                  <c:v>221.91426151488272</c:v>
                </c:pt>
                <c:pt idx="4">
                  <c:v>106.60208617683749</c:v>
                </c:pt>
                <c:pt idx="5">
                  <c:v>58.746768037895869</c:v>
                </c:pt>
                <c:pt idx="6">
                  <c:v>68.472146976648972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FAB-461A-A83B-CD32464E8584}"/>
            </c:ext>
          </c:extLst>
        </c:ser>
        <c:ser>
          <c:idx val="3"/>
          <c:order val="3"/>
          <c:tx>
            <c:strRef>
              <c:f>SMBP!$S$6</c:f>
              <c:strCache>
                <c:ptCount val="1"/>
                <c:pt idx="0">
                  <c:v>B. licheniformis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SMBP!$K$22:$Q$22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27.507120633730846</c:v>
                  </c:pt>
                  <c:pt idx="2">
                    <c:v>30.187409265878024</c:v>
                  </c:pt>
                  <c:pt idx="3">
                    <c:v>30.332260061838848</c:v>
                  </c:pt>
                  <c:pt idx="4">
                    <c:v>42.097191766296625</c:v>
                  </c:pt>
                  <c:pt idx="5">
                    <c:v>67.817543596256542</c:v>
                  </c:pt>
                  <c:pt idx="6">
                    <c:v>48.99537485610751</c:v>
                  </c:pt>
                </c:numCache>
              </c:numRef>
            </c:plus>
            <c:minus>
              <c:numRef>
                <c:f>SMBP!$K$22:$Q$22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27.507120633730846</c:v>
                  </c:pt>
                  <c:pt idx="2">
                    <c:v>30.187409265878024</c:v>
                  </c:pt>
                  <c:pt idx="3">
                    <c:v>30.332260061838848</c:v>
                  </c:pt>
                  <c:pt idx="4">
                    <c:v>42.097191766296625</c:v>
                  </c:pt>
                  <c:pt idx="5">
                    <c:v>67.817543596256542</c:v>
                  </c:pt>
                  <c:pt idx="6">
                    <c:v>48.99537485610751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SMBP!$T$2:$Z$2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SMBP!$T$6:$Z$6</c:f>
              <c:numCache>
                <c:formatCode>General</c:formatCode>
                <c:ptCount val="7"/>
                <c:pt idx="0">
                  <c:v>261.32815090199989</c:v>
                </c:pt>
                <c:pt idx="1">
                  <c:v>231.14215068205806</c:v>
                </c:pt>
                <c:pt idx="2">
                  <c:v>322.82829148881029</c:v>
                </c:pt>
                <c:pt idx="3">
                  <c:v>153.74560420312221</c:v>
                </c:pt>
                <c:pt idx="4">
                  <c:v>174.00202643795171</c:v>
                </c:pt>
                <c:pt idx="5">
                  <c:v>251.20396536258536</c:v>
                </c:pt>
                <c:pt idx="6">
                  <c:v>81.98139295348993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FAB-461A-A83B-CD32464E8584}"/>
            </c:ext>
          </c:extLst>
        </c:ser>
        <c:ser>
          <c:idx val="4"/>
          <c:order val="4"/>
          <c:tx>
            <c:strRef>
              <c:f>SMBP!$S$7</c:f>
              <c:strCache>
                <c:ptCount val="1"/>
                <c:pt idx="0">
                  <c:v>P. fluorescens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SMBP!$K$23:$Q$23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46.494837190308246</c:v>
                  </c:pt>
                  <c:pt idx="2">
                    <c:v>29.470666425843042</c:v>
                  </c:pt>
                  <c:pt idx="3">
                    <c:v>106.98858148825643</c:v>
                  </c:pt>
                  <c:pt idx="4">
                    <c:v>34.607100002262364</c:v>
                  </c:pt>
                  <c:pt idx="5">
                    <c:v>78.604505413832953</c:v>
                  </c:pt>
                  <c:pt idx="6">
                    <c:v>71.349342596650843</c:v>
                  </c:pt>
                </c:numCache>
              </c:numRef>
            </c:plus>
            <c:minus>
              <c:numRef>
                <c:f>SMBP!$K$23:$Q$23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46.494837190308246</c:v>
                  </c:pt>
                  <c:pt idx="2">
                    <c:v>29.470666425843042</c:v>
                  </c:pt>
                  <c:pt idx="3">
                    <c:v>106.98858148825643</c:v>
                  </c:pt>
                  <c:pt idx="4">
                    <c:v>34.607100002262364</c:v>
                  </c:pt>
                  <c:pt idx="5">
                    <c:v>78.604505413832953</c:v>
                  </c:pt>
                  <c:pt idx="6">
                    <c:v>71.349342596650843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SMBP!$T$2:$Z$2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SMBP!$T$7:$Z$7</c:f>
              <c:numCache>
                <c:formatCode>General</c:formatCode>
                <c:ptCount val="7"/>
                <c:pt idx="0">
                  <c:v>255.51181718999999</c:v>
                </c:pt>
                <c:pt idx="1">
                  <c:v>237.13741207949613</c:v>
                </c:pt>
                <c:pt idx="2">
                  <c:v>431.27068381495474</c:v>
                </c:pt>
                <c:pt idx="3">
                  <c:v>573.06990630940015</c:v>
                </c:pt>
                <c:pt idx="4">
                  <c:v>432.71321265917044</c:v>
                </c:pt>
                <c:pt idx="5">
                  <c:v>549.03644892504462</c:v>
                </c:pt>
                <c:pt idx="6">
                  <c:v>511.94448009527849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EFAB-461A-A83B-CD32464E8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142448"/>
        <c:axId val="123147440"/>
      </c:scatterChart>
      <c:valAx>
        <c:axId val="12314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23147440"/>
        <c:crosses val="autoZero"/>
        <c:crossBetween val="midCat"/>
      </c:valAx>
      <c:valAx>
        <c:axId val="12314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23142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914260717410323E-2"/>
          <c:y val="8.7801108194808977E-2"/>
          <c:w val="0.86486351706036746"/>
          <c:h val="0.6988961796442111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MBP!$A$16</c:f>
              <c:strCache>
                <c:ptCount val="1"/>
                <c:pt idx="0">
                  <c:v>B. mucilaginosus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MBP!$B$15:$H$15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MBP!$B$16:$H$16</c:f>
              <c:numCache>
                <c:formatCode>General</c:formatCode>
                <c:ptCount val="7"/>
                <c:pt idx="0">
                  <c:v>321.43389082571701</c:v>
                </c:pt>
                <c:pt idx="1">
                  <c:v>323.99347154554584</c:v>
                </c:pt>
                <c:pt idx="2">
                  <c:v>429.73729152724297</c:v>
                </c:pt>
                <c:pt idx="3">
                  <c:v>481.19884090466434</c:v>
                </c:pt>
                <c:pt idx="4">
                  <c:v>775.26866870126298</c:v>
                </c:pt>
                <c:pt idx="5">
                  <c:v>393.30503973375579</c:v>
                </c:pt>
                <c:pt idx="6">
                  <c:v>457.20252335274336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831-4F8F-BA7F-95947C593EA5}"/>
            </c:ext>
          </c:extLst>
        </c:ser>
        <c:ser>
          <c:idx val="1"/>
          <c:order val="1"/>
          <c:tx>
            <c:strRef>
              <c:f>MBP!$A$17</c:f>
              <c:strCache>
                <c:ptCount val="1"/>
                <c:pt idx="0">
                  <c:v>B. megaterium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MBP!$B$15:$H$15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MBP!$B$17:$H$17</c:f>
              <c:numCache>
                <c:formatCode>General</c:formatCode>
                <c:ptCount val="7"/>
                <c:pt idx="0">
                  <c:v>394.43750382036046</c:v>
                </c:pt>
                <c:pt idx="1">
                  <c:v>213.53661353548208</c:v>
                </c:pt>
                <c:pt idx="2">
                  <c:v>399.63469603352138</c:v>
                </c:pt>
                <c:pt idx="3">
                  <c:v>484.37604354884223</c:v>
                </c:pt>
                <c:pt idx="4">
                  <c:v>643.32832322979539</c:v>
                </c:pt>
                <c:pt idx="5">
                  <c:v>892.49194359399485</c:v>
                </c:pt>
                <c:pt idx="6">
                  <c:v>959.78840141585704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831-4F8F-BA7F-95947C593EA5}"/>
            </c:ext>
          </c:extLst>
        </c:ser>
        <c:ser>
          <c:idx val="2"/>
          <c:order val="2"/>
          <c:tx>
            <c:strRef>
              <c:f>MBP!$A$18</c:f>
              <c:strCache>
                <c:ptCount val="1"/>
                <c:pt idx="0">
                  <c:v>B. subtilis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MBP!$B$15:$H$15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MBP!$B$18:$H$18</c:f>
              <c:numCache>
                <c:formatCode>General</c:formatCode>
                <c:ptCount val="7"/>
                <c:pt idx="0">
                  <c:v>280.19040827514362</c:v>
                </c:pt>
                <c:pt idx="1">
                  <c:v>100.09157563051036</c:v>
                </c:pt>
                <c:pt idx="2">
                  <c:v>230.70208386152581</c:v>
                </c:pt>
                <c:pt idx="3">
                  <c:v>233.89593782470106</c:v>
                </c:pt>
                <c:pt idx="4">
                  <c:v>125.3720040325415</c:v>
                </c:pt>
                <c:pt idx="5">
                  <c:v>77.95393921058799</c:v>
                </c:pt>
                <c:pt idx="6">
                  <c:v>100.07947008795048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831-4F8F-BA7F-95947C593EA5}"/>
            </c:ext>
          </c:extLst>
        </c:ser>
        <c:ser>
          <c:idx val="3"/>
          <c:order val="3"/>
          <c:tx>
            <c:strRef>
              <c:f>MBP!$A$19</c:f>
              <c:strCache>
                <c:ptCount val="1"/>
                <c:pt idx="0">
                  <c:v>B. licheniformis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MBP!$B$15:$H$15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MBP!$B$19:$H$19</c:f>
              <c:numCache>
                <c:formatCode>General</c:formatCode>
                <c:ptCount val="7"/>
                <c:pt idx="0">
                  <c:v>298.45943660549091</c:v>
                </c:pt>
                <c:pt idx="1">
                  <c:v>237.65882288827621</c:v>
                </c:pt>
                <c:pt idx="2">
                  <c:v>332.20976326046787</c:v>
                </c:pt>
                <c:pt idx="3">
                  <c:v>164.0844416802351</c:v>
                </c:pt>
                <c:pt idx="4">
                  <c:v>232.36994097736996</c:v>
                </c:pt>
                <c:pt idx="5">
                  <c:v>373.69954595083084</c:v>
                </c:pt>
                <c:pt idx="6">
                  <c:v>128.70837096230036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831-4F8F-BA7F-95947C593EA5}"/>
            </c:ext>
          </c:extLst>
        </c:ser>
        <c:ser>
          <c:idx val="4"/>
          <c:order val="4"/>
          <c:tx>
            <c:strRef>
              <c:f>MBP!$A$20</c:f>
              <c:strCache>
                <c:ptCount val="1"/>
                <c:pt idx="0">
                  <c:v>P. fluorescens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MBP!$B$15:$H$15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MBP!$B$20:$H$20</c:f>
              <c:numCache>
                <c:formatCode>General</c:formatCode>
                <c:ptCount val="7"/>
                <c:pt idx="0">
                  <c:v>282.00837500270342</c:v>
                </c:pt>
                <c:pt idx="1">
                  <c:v>269.13139530182531</c:v>
                </c:pt>
                <c:pt idx="2">
                  <c:v>465.27903351135058</c:v>
                </c:pt>
                <c:pt idx="3">
                  <c:v>658.40713647448331</c:v>
                </c:pt>
                <c:pt idx="4">
                  <c:v>553.98255065966237</c:v>
                </c:pt>
                <c:pt idx="5">
                  <c:v>776.90255710366625</c:v>
                </c:pt>
                <c:pt idx="6">
                  <c:v>912.98267548070123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2831-4F8F-BA7F-95947C593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6153360"/>
        <c:axId val="2046156272"/>
      </c:scatterChart>
      <c:valAx>
        <c:axId val="2046153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046156272"/>
        <c:crosses val="autoZero"/>
        <c:crossBetween val="midCat"/>
      </c:valAx>
      <c:valAx>
        <c:axId val="204615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046153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DIP</a:t>
            </a:r>
            <a:endParaRPr lang="zh-CN" altLang="en-US"/>
          </a:p>
        </c:rich>
      </c:tx>
      <c:layout>
        <c:manualLayout>
          <c:xMode val="edge"/>
          <c:yMode val="edge"/>
          <c:x val="0.30761680408323516"/>
          <c:y val="5.333333333333333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DIP!$S$3</c:f>
              <c:strCache>
                <c:ptCount val="1"/>
                <c:pt idx="0">
                  <c:v>B. mucilaginosus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DIP!$K$27:$P$27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9.0436203876011945</c:v>
                  </c:pt>
                  <c:pt idx="2">
                    <c:v>3.53443599843171</c:v>
                  </c:pt>
                  <c:pt idx="3">
                    <c:v>7.7523843344155807</c:v>
                  </c:pt>
                  <c:pt idx="4">
                    <c:v>11.264998059759407</c:v>
                  </c:pt>
                  <c:pt idx="5">
                    <c:v>39.25197488774316</c:v>
                  </c:pt>
                </c:numCache>
              </c:numRef>
            </c:plus>
            <c:minus>
              <c:numRef>
                <c:f>DIP!$K$27:$P$27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9.0436203876011945</c:v>
                  </c:pt>
                  <c:pt idx="2">
                    <c:v>3.53443599843171</c:v>
                  </c:pt>
                  <c:pt idx="3">
                    <c:v>7.7523843344155807</c:v>
                  </c:pt>
                  <c:pt idx="4">
                    <c:v>11.264998059759407</c:v>
                  </c:pt>
                  <c:pt idx="5">
                    <c:v>39.25197488774316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DIP!$T$2:$Z$2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DIP!$T$3:$Z$3</c:f>
              <c:numCache>
                <c:formatCode>General</c:formatCode>
                <c:ptCount val="7"/>
                <c:pt idx="0">
                  <c:v>68.361038969999996</c:v>
                </c:pt>
                <c:pt idx="1">
                  <c:v>126.35671296296294</c:v>
                </c:pt>
                <c:pt idx="2">
                  <c:v>183.60531894576013</c:v>
                </c:pt>
                <c:pt idx="3">
                  <c:v>178.2263595779221</c:v>
                </c:pt>
                <c:pt idx="4">
                  <c:v>247.77590867934293</c:v>
                </c:pt>
                <c:pt idx="5">
                  <c:v>165.73778341371474</c:v>
                </c:pt>
                <c:pt idx="6">
                  <c:v>112.48220762066805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991-4BC4-9C31-ABBAB81254D3}"/>
            </c:ext>
          </c:extLst>
        </c:ser>
        <c:ser>
          <c:idx val="1"/>
          <c:order val="1"/>
          <c:tx>
            <c:strRef>
              <c:f>DIP!$S$4</c:f>
              <c:strCache>
                <c:ptCount val="1"/>
                <c:pt idx="0">
                  <c:v>B. megaterium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DIP!$K$28:$Q$28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2.3951528840449008</c:v>
                  </c:pt>
                  <c:pt idx="2">
                    <c:v>3.3547285665480828</c:v>
                  </c:pt>
                  <c:pt idx="3">
                    <c:v>5.0102105504014176</c:v>
                  </c:pt>
                  <c:pt idx="4">
                    <c:v>2.7276560495686057</c:v>
                  </c:pt>
                  <c:pt idx="5">
                    <c:v>4.2604994898266639</c:v>
                  </c:pt>
                  <c:pt idx="6">
                    <c:v>3.4344267500469723</c:v>
                  </c:pt>
                </c:numCache>
              </c:numRef>
            </c:plus>
            <c:minus>
              <c:numRef>
                <c:f>DIP!$K$28:$Q$28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2.3951528840449008</c:v>
                  </c:pt>
                  <c:pt idx="2">
                    <c:v>3.3547285665480828</c:v>
                  </c:pt>
                  <c:pt idx="3">
                    <c:v>5.0102105504014176</c:v>
                  </c:pt>
                  <c:pt idx="4">
                    <c:v>2.7276560495686057</c:v>
                  </c:pt>
                  <c:pt idx="5">
                    <c:v>4.2604994898266639</c:v>
                  </c:pt>
                  <c:pt idx="6">
                    <c:v>3.4344267500469723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DIP!$T$2:$Z$2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DIP!$T$4:$Z$4</c:f>
              <c:numCache>
                <c:formatCode>General</c:formatCode>
                <c:ptCount val="7"/>
                <c:pt idx="0">
                  <c:v>53.948701310000004</c:v>
                </c:pt>
                <c:pt idx="1">
                  <c:v>47.706824945887448</c:v>
                </c:pt>
                <c:pt idx="2">
                  <c:v>56.736334988540875</c:v>
                </c:pt>
                <c:pt idx="3">
                  <c:v>58.336444805194802</c:v>
                </c:pt>
                <c:pt idx="4">
                  <c:v>98.366839671452595</c:v>
                </c:pt>
                <c:pt idx="5">
                  <c:v>125.21800681855979</c:v>
                </c:pt>
                <c:pt idx="6">
                  <c:v>153.4438328333483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991-4BC4-9C31-ABBAB81254D3}"/>
            </c:ext>
          </c:extLst>
        </c:ser>
        <c:ser>
          <c:idx val="2"/>
          <c:order val="2"/>
          <c:tx>
            <c:strRef>
              <c:f>DIP!$S$5</c:f>
              <c:strCache>
                <c:ptCount val="1"/>
                <c:pt idx="0">
                  <c:v>B. subtilis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DIP!$K$29:$Q$29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0.78196398505286913</c:v>
                  </c:pt>
                  <c:pt idx="2">
                    <c:v>0.34102270700265658</c:v>
                  </c:pt>
                  <c:pt idx="3">
                    <c:v>0.39731904778233823</c:v>
                  </c:pt>
                  <c:pt idx="4">
                    <c:v>2.3216332070731465</c:v>
                  </c:pt>
                  <c:pt idx="5">
                    <c:v>1.8328370888586623</c:v>
                  </c:pt>
                  <c:pt idx="6">
                    <c:v>1.8642721034419141</c:v>
                  </c:pt>
                </c:numCache>
              </c:numRef>
            </c:plus>
            <c:minus>
              <c:numRef>
                <c:f>DIP!$K$29:$Q$29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0.78196398505286913</c:v>
                  </c:pt>
                  <c:pt idx="2">
                    <c:v>0.34102270700265658</c:v>
                  </c:pt>
                  <c:pt idx="3">
                    <c:v>0.39731904778233823</c:v>
                  </c:pt>
                  <c:pt idx="4">
                    <c:v>2.3216332070731465</c:v>
                  </c:pt>
                  <c:pt idx="5">
                    <c:v>1.8328370888586623</c:v>
                  </c:pt>
                  <c:pt idx="6">
                    <c:v>1.8642721034419141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DIP!$T$2:$Z$2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DIP!$T$5:$Z$5</c:f>
              <c:numCache>
                <c:formatCode>General</c:formatCode>
                <c:ptCount val="7"/>
                <c:pt idx="0">
                  <c:v>63.612662329999999</c:v>
                </c:pt>
                <c:pt idx="1">
                  <c:v>25.891991341991343</c:v>
                </c:pt>
                <c:pt idx="2">
                  <c:v>23.120359052711994</c:v>
                </c:pt>
                <c:pt idx="3">
                  <c:v>22.109188988095237</c:v>
                </c:pt>
                <c:pt idx="4">
                  <c:v>32.985579700771787</c:v>
                </c:pt>
                <c:pt idx="5">
                  <c:v>40.941423212668845</c:v>
                </c:pt>
                <c:pt idx="6">
                  <c:v>38.180919972538135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991-4BC4-9C31-ABBAB81254D3}"/>
            </c:ext>
          </c:extLst>
        </c:ser>
        <c:ser>
          <c:idx val="3"/>
          <c:order val="3"/>
          <c:tx>
            <c:strRef>
              <c:f>DIP!$S$6</c:f>
              <c:strCache>
                <c:ptCount val="1"/>
                <c:pt idx="0">
                  <c:v>B. licheniformis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DIP!$K$30:$Q$30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0.81138370043337127</c:v>
                  </c:pt>
                  <c:pt idx="2">
                    <c:v>2.3080461662967728</c:v>
                  </c:pt>
                  <c:pt idx="3">
                    <c:v>0.82766842532467066</c:v>
                  </c:pt>
                  <c:pt idx="4">
                    <c:v>0.98426678077976437</c:v>
                  </c:pt>
                  <c:pt idx="5">
                    <c:v>4.4222037351278161</c:v>
                  </c:pt>
                  <c:pt idx="6">
                    <c:v>0.54596369458726857</c:v>
                  </c:pt>
                </c:numCache>
              </c:numRef>
            </c:plus>
            <c:minus>
              <c:numRef>
                <c:f>DIP!$K$30:$Q$30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0.81138370043337127</c:v>
                  </c:pt>
                  <c:pt idx="2">
                    <c:v>2.3080461662967728</c:v>
                  </c:pt>
                  <c:pt idx="3">
                    <c:v>0.82766842532467066</c:v>
                  </c:pt>
                  <c:pt idx="4">
                    <c:v>0.98426678077976437</c:v>
                  </c:pt>
                  <c:pt idx="5">
                    <c:v>4.4222037351278161</c:v>
                  </c:pt>
                  <c:pt idx="6">
                    <c:v>0.54596369458726857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DIP!$T$2:$Z$2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DIP!$T$6:$Z$6</c:f>
              <c:numCache>
                <c:formatCode>General</c:formatCode>
                <c:ptCount val="7"/>
                <c:pt idx="0">
                  <c:v>59.771753230000002</c:v>
                </c:pt>
                <c:pt idx="1">
                  <c:v>24.643975468975469</c:v>
                </c:pt>
                <c:pt idx="2">
                  <c:v>34.617064553093968</c:v>
                </c:pt>
                <c:pt idx="3">
                  <c:v>57.610998376623385</c:v>
                </c:pt>
                <c:pt idx="4">
                  <c:v>44.474268098133052</c:v>
                </c:pt>
                <c:pt idx="5">
                  <c:v>67.822962285418626</c:v>
                </c:pt>
                <c:pt idx="6">
                  <c:v>73.051826811139975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991-4BC4-9C31-ABBAB81254D3}"/>
            </c:ext>
          </c:extLst>
        </c:ser>
        <c:ser>
          <c:idx val="4"/>
          <c:order val="4"/>
          <c:tx>
            <c:strRef>
              <c:f>DIP!$S$7</c:f>
              <c:strCache>
                <c:ptCount val="1"/>
                <c:pt idx="0">
                  <c:v>P. fluorescens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DIP!$K$31:$Q$31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4.1004679452225616</c:v>
                  </c:pt>
                  <c:pt idx="2">
                    <c:v>2.0663545716123215</c:v>
                  </c:pt>
                  <c:pt idx="3">
                    <c:v>1.1286582553949354</c:v>
                  </c:pt>
                  <c:pt idx="4">
                    <c:v>3.5911722038327603</c:v>
                  </c:pt>
                  <c:pt idx="5">
                    <c:v>1.4456812722579189</c:v>
                  </c:pt>
                  <c:pt idx="6">
                    <c:v>3.9759261764857312</c:v>
                  </c:pt>
                </c:numCache>
              </c:numRef>
            </c:plus>
            <c:minus>
              <c:numRef>
                <c:f>DIP!$K$31:$Q$31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4.1004679452225616</c:v>
                  </c:pt>
                  <c:pt idx="2">
                    <c:v>2.0663545716123215</c:v>
                  </c:pt>
                  <c:pt idx="3">
                    <c:v>1.1286582553949354</c:v>
                  </c:pt>
                  <c:pt idx="4">
                    <c:v>3.5911722038327603</c:v>
                  </c:pt>
                  <c:pt idx="5">
                    <c:v>1.4456812722579189</c:v>
                  </c:pt>
                  <c:pt idx="6">
                    <c:v>3.9759261764857312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DIP!$T$2:$Z$2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DIP!$T$7:$Z$7</c:f>
              <c:numCache>
                <c:formatCode>General</c:formatCode>
                <c:ptCount val="7"/>
                <c:pt idx="0">
                  <c:v>48.851298720000003</c:v>
                </c:pt>
                <c:pt idx="1">
                  <c:v>38.765909090909091</c:v>
                </c:pt>
                <c:pt idx="2">
                  <c:v>38.709382161955695</c:v>
                </c:pt>
                <c:pt idx="3">
                  <c:v>43.646154626623378</c:v>
                </c:pt>
                <c:pt idx="4">
                  <c:v>96.751396973224686</c:v>
                </c:pt>
                <c:pt idx="5">
                  <c:v>111.98519873607185</c:v>
                </c:pt>
                <c:pt idx="6">
                  <c:v>133.35836616817409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A991-4BC4-9C31-ABBAB81254D3}"/>
            </c:ext>
          </c:extLst>
        </c:ser>
        <c:ser>
          <c:idx val="5"/>
          <c:order val="5"/>
          <c:tx>
            <c:strRef>
              <c:f>DIP!$S$8</c:f>
              <c:strCache>
                <c:ptCount val="1"/>
                <c:pt idx="0">
                  <c:v>CK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DIP!$K$32:$Q$32</c:f>
                <c:numCache>
                  <c:formatCode>General</c:formatCode>
                  <c:ptCount val="7"/>
                  <c:pt idx="0">
                    <c:v>0</c:v>
                  </c:pt>
                  <c:pt idx="3">
                    <c:v>2.905668349429011</c:v>
                  </c:pt>
                  <c:pt idx="6">
                    <c:v>2.1419404335787959</c:v>
                  </c:pt>
                </c:numCache>
              </c:numRef>
            </c:plus>
            <c:minus>
              <c:numRef>
                <c:f>DIP!$K$32:$Q$32</c:f>
                <c:numCache>
                  <c:formatCode>General</c:formatCode>
                  <c:ptCount val="7"/>
                  <c:pt idx="0">
                    <c:v>0</c:v>
                  </c:pt>
                  <c:pt idx="3">
                    <c:v>2.905668349429011</c:v>
                  </c:pt>
                  <c:pt idx="6">
                    <c:v>2.1419404335787959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DIP!$T$2:$Z$2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DIP!$T$8:$Z$8</c:f>
              <c:numCache>
                <c:formatCode>General</c:formatCode>
                <c:ptCount val="7"/>
                <c:pt idx="0">
                  <c:v>42.367359999999998</c:v>
                </c:pt>
                <c:pt idx="3">
                  <c:v>44.633642449516856</c:v>
                </c:pt>
                <c:pt idx="6">
                  <c:v>47.333197271560593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A991-4BC4-9C31-ABBAB81254D3}"/>
            </c:ext>
          </c:extLst>
        </c:ser>
        <c:ser>
          <c:idx val="6"/>
          <c:order val="6"/>
          <c:tx>
            <c:v>CK</c:v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DIP!$T$2:$Z$2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DIP!$T$8:$Z$8</c:f>
              <c:numCache>
                <c:formatCode>General</c:formatCode>
                <c:ptCount val="7"/>
                <c:pt idx="0">
                  <c:v>42.367359999999998</c:v>
                </c:pt>
                <c:pt idx="3">
                  <c:v>44.633642449516856</c:v>
                </c:pt>
                <c:pt idx="6">
                  <c:v>47.333197271560593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A991-4BC4-9C31-ABBAB8125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553856"/>
        <c:axId val="109561344"/>
      </c:scatterChart>
      <c:valAx>
        <c:axId val="109553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9561344"/>
        <c:crosses val="autoZero"/>
        <c:crossBetween val="midCat"/>
      </c:valAx>
      <c:valAx>
        <c:axId val="10956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9553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DOP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DOP!$S$3</c:f>
              <c:strCache>
                <c:ptCount val="1"/>
                <c:pt idx="0">
                  <c:v>B. mucilaginosus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DOP!$K$27:$Q$27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4.3469670833492806</c:v>
                  </c:pt>
                  <c:pt idx="2">
                    <c:v>37.845355961936001</c:v>
                  </c:pt>
                  <c:pt idx="3">
                    <c:v>21.890995437414205</c:v>
                  </c:pt>
                  <c:pt idx="4">
                    <c:v>10.94615389821422</c:v>
                  </c:pt>
                  <c:pt idx="5">
                    <c:v>2.8379933249688918</c:v>
                  </c:pt>
                  <c:pt idx="6">
                    <c:v>9.471169308588486</c:v>
                  </c:pt>
                </c:numCache>
              </c:numRef>
            </c:plus>
            <c:minus>
              <c:numRef>
                <c:f>DOP!$K$27:$Q$27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4.3469670833492806</c:v>
                  </c:pt>
                  <c:pt idx="2">
                    <c:v>37.845355961936001</c:v>
                  </c:pt>
                  <c:pt idx="3">
                    <c:v>21.890995437414205</c:v>
                  </c:pt>
                  <c:pt idx="4">
                    <c:v>10.94615389821422</c:v>
                  </c:pt>
                  <c:pt idx="5">
                    <c:v>2.8379933249688918</c:v>
                  </c:pt>
                  <c:pt idx="6">
                    <c:v>9.471169308588486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DOP!$T$2:$Z$2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DOP!$T$3:$Z$3</c:f>
              <c:numCache>
                <c:formatCode>General</c:formatCode>
                <c:ptCount val="7"/>
                <c:pt idx="0">
                  <c:v>219.92047392000001</c:v>
                </c:pt>
                <c:pt idx="1">
                  <c:v>278.17052676206271</c:v>
                </c:pt>
                <c:pt idx="2">
                  <c:v>176.92259649702962</c:v>
                </c:pt>
                <c:pt idx="3">
                  <c:v>291.07893825007261</c:v>
                </c:pt>
                <c:pt idx="4">
                  <c:v>267.79247630748756</c:v>
                </c:pt>
                <c:pt idx="5">
                  <c:v>376.46962659506482</c:v>
                </c:pt>
                <c:pt idx="6">
                  <c:v>391.1702754954257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0E3-4240-9D07-983D42FF7042}"/>
            </c:ext>
          </c:extLst>
        </c:ser>
        <c:ser>
          <c:idx val="1"/>
          <c:order val="1"/>
          <c:tx>
            <c:strRef>
              <c:f>DOP!$S$4</c:f>
              <c:strCache>
                <c:ptCount val="1"/>
                <c:pt idx="0">
                  <c:v>B. megaterium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DOP!$K$28:$Q$28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10.92266045412604</c:v>
                  </c:pt>
                  <c:pt idx="2">
                    <c:v>3.9532856349077647</c:v>
                  </c:pt>
                  <c:pt idx="3">
                    <c:v>64.717822955734349</c:v>
                  </c:pt>
                  <c:pt idx="4">
                    <c:v>21.330083044349056</c:v>
                  </c:pt>
                  <c:pt idx="5">
                    <c:v>53.000717581794611</c:v>
                  </c:pt>
                  <c:pt idx="6">
                    <c:v>68.478472228427393</c:v>
                  </c:pt>
                </c:numCache>
              </c:numRef>
            </c:plus>
            <c:minus>
              <c:numRef>
                <c:f>DOP!$K$28:$Q$28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10.92266045412604</c:v>
                  </c:pt>
                  <c:pt idx="2">
                    <c:v>3.9532856349077647</c:v>
                  </c:pt>
                  <c:pt idx="3">
                    <c:v>64.717822955734349</c:v>
                  </c:pt>
                  <c:pt idx="4">
                    <c:v>21.330083044349056</c:v>
                  </c:pt>
                  <c:pt idx="5">
                    <c:v>53.000717581794611</c:v>
                  </c:pt>
                  <c:pt idx="6">
                    <c:v>68.478472228427393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DOP!$T$2:$Z$2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DOP!$T$4:$Z$4</c:f>
              <c:numCache>
                <c:formatCode>General</c:formatCode>
                <c:ptCount val="7"/>
                <c:pt idx="0">
                  <c:v>197.99829657999999</c:v>
                </c:pt>
                <c:pt idx="1">
                  <c:v>261.10576581029216</c:v>
                </c:pt>
                <c:pt idx="2">
                  <c:v>136.24594537178231</c:v>
                </c:pt>
                <c:pt idx="3">
                  <c:v>186.44349787799962</c:v>
                </c:pt>
                <c:pt idx="4">
                  <c:v>295.32378631625591</c:v>
                </c:pt>
                <c:pt idx="5">
                  <c:v>351.34963694790201</c:v>
                </c:pt>
                <c:pt idx="6">
                  <c:v>351.55110191035408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0E3-4240-9D07-983D42FF7042}"/>
            </c:ext>
          </c:extLst>
        </c:ser>
        <c:ser>
          <c:idx val="2"/>
          <c:order val="2"/>
          <c:tx>
            <c:strRef>
              <c:f>DOP!$S$5</c:f>
              <c:strCache>
                <c:ptCount val="1"/>
                <c:pt idx="0">
                  <c:v>B. subtilis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DOP!$K$29:$Q$29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5.3185807999272026</c:v>
                  </c:pt>
                  <c:pt idx="2">
                    <c:v>5.5046498850496199</c:v>
                  </c:pt>
                  <c:pt idx="3">
                    <c:v>15.241833610148017</c:v>
                  </c:pt>
                  <c:pt idx="4">
                    <c:v>14.180214279578554</c:v>
                  </c:pt>
                  <c:pt idx="5">
                    <c:v>10.240932645097089</c:v>
                  </c:pt>
                  <c:pt idx="6">
                    <c:v>1.8642721034419119</c:v>
                  </c:pt>
                </c:numCache>
              </c:numRef>
            </c:plus>
            <c:minus>
              <c:numRef>
                <c:f>DOP!$K$29:$Q$29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5.3185807999272026</c:v>
                  </c:pt>
                  <c:pt idx="2">
                    <c:v>5.5046498850496199</c:v>
                  </c:pt>
                  <c:pt idx="3">
                    <c:v>15.241833610148017</c:v>
                  </c:pt>
                  <c:pt idx="4">
                    <c:v>14.180214279578554</c:v>
                  </c:pt>
                  <c:pt idx="5">
                    <c:v>10.240932645097089</c:v>
                  </c:pt>
                  <c:pt idx="6">
                    <c:v>1.8642721034419119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DOP!$T$2:$Z$2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DOP!$T$5:$Z$5</c:f>
              <c:numCache>
                <c:formatCode>General</c:formatCode>
                <c:ptCount val="7"/>
                <c:pt idx="0">
                  <c:v>243.26292697</c:v>
                </c:pt>
                <c:pt idx="1">
                  <c:v>313.92919163299763</c:v>
                </c:pt>
                <c:pt idx="2">
                  <c:v>213.81251522135048</c:v>
                </c:pt>
                <c:pt idx="3">
                  <c:v>256.64414525938173</c:v>
                </c:pt>
                <c:pt idx="4">
                  <c:v>322.061733732064</c:v>
                </c:pt>
                <c:pt idx="5">
                  <c:v>451.28407722631272</c:v>
                </c:pt>
                <c:pt idx="6">
                  <c:v>503.91448692960279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0E3-4240-9D07-983D42FF7042}"/>
            </c:ext>
          </c:extLst>
        </c:ser>
        <c:ser>
          <c:idx val="3"/>
          <c:order val="3"/>
          <c:tx>
            <c:strRef>
              <c:f>DOP!$S$6</c:f>
              <c:strCache>
                <c:ptCount val="1"/>
                <c:pt idx="0">
                  <c:v>B. licheniformis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DOP!$K$30:$Q$30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10.386204926727785</c:v>
                  </c:pt>
                  <c:pt idx="2">
                    <c:v>2.9622638144882765</c:v>
                  </c:pt>
                  <c:pt idx="3">
                    <c:v>20.069589143784583</c:v>
                  </c:pt>
                  <c:pt idx="4">
                    <c:v>46.327944559176103</c:v>
                  </c:pt>
                  <c:pt idx="5">
                    <c:v>60.357861438391716</c:v>
                  </c:pt>
                  <c:pt idx="6">
                    <c:v>40.092281646772847</c:v>
                  </c:pt>
                </c:numCache>
              </c:numRef>
            </c:plus>
            <c:minus>
              <c:numRef>
                <c:f>DOP!$K$30:$Q$30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10.386204926727785</c:v>
                  </c:pt>
                  <c:pt idx="2">
                    <c:v>2.9622638144882765</c:v>
                  </c:pt>
                  <c:pt idx="3">
                    <c:v>20.069589143784583</c:v>
                  </c:pt>
                  <c:pt idx="4">
                    <c:v>46.327944559176103</c:v>
                  </c:pt>
                  <c:pt idx="5">
                    <c:v>60.357861438391716</c:v>
                  </c:pt>
                  <c:pt idx="6">
                    <c:v>40.092281646772847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DOP!$T$2:$Z$2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DOP!$T$6:$Z$6</c:f>
              <c:numCache>
                <c:formatCode>General</c:formatCode>
                <c:ptCount val="7"/>
                <c:pt idx="0">
                  <c:v>256.36097522</c:v>
                </c:pt>
                <c:pt idx="1">
                  <c:v>214.34132316346569</c:v>
                </c:pt>
                <c:pt idx="2">
                  <c:v>148.75209085562503</c:v>
                </c:pt>
                <c:pt idx="3">
                  <c:v>266.60390344435075</c:v>
                </c:pt>
                <c:pt idx="4">
                  <c:v>212.1562308775766</c:v>
                </c:pt>
                <c:pt idx="5">
                  <c:v>261.64205088402827</c:v>
                </c:pt>
                <c:pt idx="6">
                  <c:v>441.77909656969342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0E3-4240-9D07-983D42FF7042}"/>
            </c:ext>
          </c:extLst>
        </c:ser>
        <c:ser>
          <c:idx val="4"/>
          <c:order val="4"/>
          <c:tx>
            <c:strRef>
              <c:f>DOP!$S$7</c:f>
              <c:strCache>
                <c:ptCount val="1"/>
                <c:pt idx="0">
                  <c:v>P. fluorescens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DOP!$K$31:$Q$31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13.956302154230741</c:v>
                  </c:pt>
                  <c:pt idx="2">
                    <c:v>33.434156236815156</c:v>
                  </c:pt>
                  <c:pt idx="3">
                    <c:v>0.48585180793867266</c:v>
                  </c:pt>
                  <c:pt idx="4">
                    <c:v>10.474982042679143</c:v>
                  </c:pt>
                  <c:pt idx="5">
                    <c:v>31.293573339328269</c:v>
                  </c:pt>
                  <c:pt idx="6">
                    <c:v>69.553867831738174</c:v>
                  </c:pt>
                </c:numCache>
              </c:numRef>
            </c:plus>
            <c:minus>
              <c:numRef>
                <c:f>DOP!$K$31:$Q$31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13.956302154230741</c:v>
                  </c:pt>
                  <c:pt idx="2">
                    <c:v>33.434156236815156</c:v>
                  </c:pt>
                  <c:pt idx="3">
                    <c:v>0.48585180793867266</c:v>
                  </c:pt>
                  <c:pt idx="4">
                    <c:v>10.474982042679143</c:v>
                  </c:pt>
                  <c:pt idx="5">
                    <c:v>31.293573339328269</c:v>
                  </c:pt>
                  <c:pt idx="6">
                    <c:v>69.553867831738174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DOP!$T$2:$Z$2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DOP!$T$7:$Z$7</c:f>
              <c:numCache>
                <c:formatCode>General</c:formatCode>
                <c:ptCount val="7"/>
                <c:pt idx="0">
                  <c:v>269.97576921000001</c:v>
                </c:pt>
                <c:pt idx="1">
                  <c:v>209.07783732564786</c:v>
                </c:pt>
                <c:pt idx="2">
                  <c:v>172.16146387474771</c:v>
                </c:pt>
                <c:pt idx="3">
                  <c:v>174.73387987458187</c:v>
                </c:pt>
                <c:pt idx="4">
                  <c:v>263.11231900570414</c:v>
                </c:pt>
                <c:pt idx="5">
                  <c:v>281.65992637367356</c:v>
                </c:pt>
                <c:pt idx="6">
                  <c:v>427.9028265551886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0E3-4240-9D07-983D42FF7042}"/>
            </c:ext>
          </c:extLst>
        </c:ser>
        <c:ser>
          <c:idx val="5"/>
          <c:order val="5"/>
          <c:tx>
            <c:strRef>
              <c:f>DOP!$S$8</c:f>
              <c:strCache>
                <c:ptCount val="1"/>
                <c:pt idx="0">
                  <c:v>CK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DOP!$K$32:$Q$32</c:f>
                <c:numCache>
                  <c:formatCode>General</c:formatCode>
                  <c:ptCount val="7"/>
                  <c:pt idx="0">
                    <c:v>0</c:v>
                  </c:pt>
                  <c:pt idx="3">
                    <c:v>1.0346356453032115</c:v>
                  </c:pt>
                  <c:pt idx="6">
                    <c:v>1.5462294185179672</c:v>
                  </c:pt>
                </c:numCache>
              </c:numRef>
            </c:plus>
            <c:minus>
              <c:numRef>
                <c:f>DOP!$K$32:$Q$32</c:f>
                <c:numCache>
                  <c:formatCode>General</c:formatCode>
                  <c:ptCount val="7"/>
                  <c:pt idx="0">
                    <c:v>0</c:v>
                  </c:pt>
                  <c:pt idx="3">
                    <c:v>1.0346356453032115</c:v>
                  </c:pt>
                  <c:pt idx="6">
                    <c:v>1.5462294185179672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DOP!$T$2:$Z$2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DOP!$T$8:$Z$8</c:f>
              <c:numCache>
                <c:formatCode>General</c:formatCode>
                <c:ptCount val="7"/>
                <c:pt idx="0">
                  <c:v>224.93551465000002</c:v>
                </c:pt>
                <c:pt idx="3">
                  <c:v>214.32125356672535</c:v>
                </c:pt>
                <c:pt idx="6">
                  <c:v>214.95919531302798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60E3-4240-9D07-983D42FF7042}"/>
            </c:ext>
          </c:extLst>
        </c:ser>
        <c:ser>
          <c:idx val="6"/>
          <c:order val="6"/>
          <c:tx>
            <c:strRef>
              <c:f>DOP!$S$8</c:f>
              <c:strCache>
                <c:ptCount val="1"/>
                <c:pt idx="0">
                  <c:v>CK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DOP!$T$2:$Z$2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DOP!$T$8:$Z$8</c:f>
              <c:numCache>
                <c:formatCode>General</c:formatCode>
                <c:ptCount val="7"/>
                <c:pt idx="0">
                  <c:v>224.93551465000002</c:v>
                </c:pt>
                <c:pt idx="3">
                  <c:v>214.32125356672535</c:v>
                </c:pt>
                <c:pt idx="6">
                  <c:v>214.95919531302798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60E3-4240-9D07-983D42FF7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553856"/>
        <c:axId val="109561344"/>
      </c:scatterChart>
      <c:valAx>
        <c:axId val="109553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9561344"/>
        <c:crosses val="autoZero"/>
        <c:crossBetween val="midCat"/>
      </c:valAx>
      <c:valAx>
        <c:axId val="10956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9553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dissolved P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'Dissolved P'!$A$2</c:f>
              <c:strCache>
                <c:ptCount val="1"/>
                <c:pt idx="0">
                  <c:v>B. mucilaginosus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'Dissolved P'!$B$1:$H$1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'Dissolved P'!$B$2:$H$2</c:f>
              <c:numCache>
                <c:formatCode>General</c:formatCode>
                <c:ptCount val="7"/>
                <c:pt idx="0">
                  <c:v>288.28151288999999</c:v>
                </c:pt>
                <c:pt idx="1">
                  <c:v>404.52723972502565</c:v>
                </c:pt>
                <c:pt idx="2">
                  <c:v>360.52791544278978</c:v>
                </c:pt>
                <c:pt idx="3">
                  <c:v>469.30529782799471</c:v>
                </c:pt>
                <c:pt idx="4">
                  <c:v>515.56838498683055</c:v>
                </c:pt>
                <c:pt idx="5">
                  <c:v>542.20741000877956</c:v>
                </c:pt>
                <c:pt idx="6">
                  <c:v>503.65248311609378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E9E-4C4B-87A5-FC163985C54B}"/>
            </c:ext>
          </c:extLst>
        </c:ser>
        <c:ser>
          <c:idx val="1"/>
          <c:order val="1"/>
          <c:tx>
            <c:strRef>
              <c:f>'Dissolved P'!$A$3</c:f>
              <c:strCache>
                <c:ptCount val="1"/>
                <c:pt idx="0">
                  <c:v>B. megaterium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'Dissolved P'!$B$1:$H$1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'Dissolved P'!$B$3:$H$3</c:f>
              <c:numCache>
                <c:formatCode>General</c:formatCode>
                <c:ptCount val="7"/>
                <c:pt idx="0">
                  <c:v>251.94699788999998</c:v>
                </c:pt>
                <c:pt idx="1">
                  <c:v>308.81259075617959</c:v>
                </c:pt>
                <c:pt idx="2">
                  <c:v>192.98228036032319</c:v>
                </c:pt>
                <c:pt idx="3">
                  <c:v>244.77994268319441</c:v>
                </c:pt>
                <c:pt idx="4">
                  <c:v>393.69062598770847</c:v>
                </c:pt>
                <c:pt idx="5">
                  <c:v>501.74177198330557</c:v>
                </c:pt>
                <c:pt idx="6">
                  <c:v>542.55208901384731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E9E-4C4B-87A5-FC163985C54B}"/>
            </c:ext>
          </c:extLst>
        </c:ser>
        <c:ser>
          <c:idx val="2"/>
          <c:order val="2"/>
          <c:tx>
            <c:strRef>
              <c:f>'Dissolved P'!$A$4</c:f>
              <c:strCache>
                <c:ptCount val="1"/>
                <c:pt idx="0">
                  <c:v>B. subtilis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'Dissolved P'!$B$1:$H$1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'Dissolved P'!$B$4:$H$4</c:f>
              <c:numCache>
                <c:formatCode>General</c:formatCode>
                <c:ptCount val="7"/>
                <c:pt idx="0">
                  <c:v>306.8755893</c:v>
                </c:pt>
                <c:pt idx="1">
                  <c:v>339.82118297498897</c:v>
                </c:pt>
                <c:pt idx="2">
                  <c:v>236.93287427406247</c:v>
                </c:pt>
                <c:pt idx="3">
                  <c:v>278.75333424747697</c:v>
                </c:pt>
                <c:pt idx="4">
                  <c:v>355.04731343283578</c:v>
                </c:pt>
                <c:pt idx="5">
                  <c:v>492.22550043898156</c:v>
                </c:pt>
                <c:pt idx="6">
                  <c:v>542.09540690214089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E9E-4C4B-87A5-FC163985C54B}"/>
            </c:ext>
          </c:extLst>
        </c:ser>
        <c:ser>
          <c:idx val="3"/>
          <c:order val="3"/>
          <c:tx>
            <c:strRef>
              <c:f>'Dissolved P'!$A$5</c:f>
              <c:strCache>
                <c:ptCount val="1"/>
                <c:pt idx="0">
                  <c:v>B. licheniformis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'Dissolved P'!$B$1:$H$1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'Dissolved P'!$B$5:$H$5</c:f>
              <c:numCache>
                <c:formatCode>General</c:formatCode>
                <c:ptCount val="7"/>
                <c:pt idx="0">
                  <c:v>316.13272845</c:v>
                </c:pt>
                <c:pt idx="1">
                  <c:v>238.98529863244116</c:v>
                </c:pt>
                <c:pt idx="2">
                  <c:v>183.369155408719</c:v>
                </c:pt>
                <c:pt idx="3">
                  <c:v>324.21490182097415</c:v>
                </c:pt>
                <c:pt idx="4">
                  <c:v>256.63049897570966</c:v>
                </c:pt>
                <c:pt idx="5">
                  <c:v>329.46501316944688</c:v>
                </c:pt>
                <c:pt idx="6">
                  <c:v>514.83092338083338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E9E-4C4B-87A5-FC163985C54B}"/>
            </c:ext>
          </c:extLst>
        </c:ser>
        <c:ser>
          <c:idx val="4"/>
          <c:order val="4"/>
          <c:tx>
            <c:strRef>
              <c:f>'Dissolved P'!$A$6</c:f>
              <c:strCache>
                <c:ptCount val="1"/>
                <c:pt idx="0">
                  <c:v>P. fluorescens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'Dissolved P'!$B$1:$H$1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'Dissolved P'!$B$6:$H$6</c:f>
              <c:numCache>
                <c:formatCode>General</c:formatCode>
                <c:ptCount val="7"/>
                <c:pt idx="0">
                  <c:v>318.82706793</c:v>
                </c:pt>
                <c:pt idx="1">
                  <c:v>247.84374641655694</c:v>
                </c:pt>
                <c:pt idx="2">
                  <c:v>210.8708460367034</c:v>
                </c:pt>
                <c:pt idx="3">
                  <c:v>218.38003450120524</c:v>
                </c:pt>
                <c:pt idx="4">
                  <c:v>359.86371597892884</c:v>
                </c:pt>
                <c:pt idx="5">
                  <c:v>393.64512510974544</c:v>
                </c:pt>
                <c:pt idx="6">
                  <c:v>561.26119272336268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EE9E-4C4B-87A5-FC163985C54B}"/>
            </c:ext>
          </c:extLst>
        </c:ser>
        <c:ser>
          <c:idx val="5"/>
          <c:order val="5"/>
          <c:tx>
            <c:strRef>
              <c:f>'Dissolved P'!$A$7</c:f>
              <c:strCache>
                <c:ptCount val="1"/>
                <c:pt idx="0">
                  <c:v>CK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'Dissolved P'!$B$1:$H$1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15</c:v>
                </c:pt>
                <c:pt idx="6">
                  <c:v>21</c:v>
                </c:pt>
              </c:numCache>
            </c:numRef>
          </c:xVal>
          <c:yVal>
            <c:numRef>
              <c:f>'Dissolved P'!$B$7:$H$7</c:f>
              <c:numCache>
                <c:formatCode>General</c:formatCode>
                <c:ptCount val="7"/>
                <c:pt idx="0">
                  <c:v>267.30287465000004</c:v>
                </c:pt>
                <c:pt idx="3">
                  <c:v>258.95489601624217</c:v>
                </c:pt>
                <c:pt idx="6">
                  <c:v>262.29239258458858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EE9E-4C4B-87A5-FC163985C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783280"/>
        <c:axId val="190786192"/>
      </c:scatterChart>
      <c:valAx>
        <c:axId val="19078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90786192"/>
        <c:crosses val="autoZero"/>
        <c:crossBetween val="midCat"/>
      </c:valAx>
      <c:valAx>
        <c:axId val="190786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90783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60433462375483E-2"/>
          <c:y val="0.12766276902438553"/>
          <c:w val="0.90463572210368515"/>
          <c:h val="0.7213850926469355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[1]Sheet1!$AD$41</c:f>
              <c:strCache>
                <c:ptCount val="1"/>
                <c:pt idx="0">
                  <c:v>添加月壤未接菌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noFill/>
              </a:ln>
              <a:effectLst/>
            </c:spPr>
          </c:marker>
          <c:xVal>
            <c:numRef>
              <c:f>([1]Sheet1!$AC$42,[1]Sheet1!$AC$45,[1]Sheet1!$AC$48)</c:f>
              <c:numCache>
                <c:formatCode>General</c:formatCode>
                <c:ptCount val="3"/>
                <c:pt idx="0">
                  <c:v>0</c:v>
                </c:pt>
                <c:pt idx="1">
                  <c:v>168</c:v>
                </c:pt>
                <c:pt idx="2">
                  <c:v>504</c:v>
                </c:pt>
              </c:numCache>
            </c:numRef>
          </c:xVal>
          <c:yVal>
            <c:numRef>
              <c:f>([1]Sheet1!$AD$42,[1]Sheet1!$AD$45,[1]Sheet1!$AD$48)</c:f>
              <c:numCache>
                <c:formatCode>General</c:formatCode>
                <c:ptCount val="3"/>
                <c:pt idx="0">
                  <c:v>2.1959999999999997</c:v>
                </c:pt>
                <c:pt idx="1">
                  <c:v>2.1359999999999997</c:v>
                </c:pt>
                <c:pt idx="2">
                  <c:v>2.1359999999999997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2C3-4D2C-B5A3-54A7A60EE3C8}"/>
            </c:ext>
          </c:extLst>
        </c:ser>
        <c:ser>
          <c:idx val="1"/>
          <c:order val="1"/>
          <c:tx>
            <c:strRef>
              <c:f>[1]Sheet1!$AE$41</c:f>
              <c:strCache>
                <c:ptCount val="1"/>
                <c:pt idx="0">
                  <c:v>未添加月壤未接菌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noFill/>
              </a:ln>
              <a:effectLst/>
            </c:spPr>
          </c:marker>
          <c:xVal>
            <c:numRef>
              <c:f>([1]Sheet1!$AC$42,[1]Sheet1!$AC$45,[1]Sheet1!$AC$48)</c:f>
              <c:numCache>
                <c:formatCode>General</c:formatCode>
                <c:ptCount val="3"/>
                <c:pt idx="0">
                  <c:v>0</c:v>
                </c:pt>
                <c:pt idx="1">
                  <c:v>168</c:v>
                </c:pt>
                <c:pt idx="2">
                  <c:v>504</c:v>
                </c:pt>
              </c:numCache>
            </c:numRef>
          </c:xVal>
          <c:yVal>
            <c:numRef>
              <c:f>([1]Sheet1!$AE$42,[1]Sheet1!$AE$45,[1]Sheet1!$AE$48)</c:f>
              <c:numCache>
                <c:formatCode>General</c:formatCode>
                <c:ptCount val="3"/>
                <c:pt idx="0">
                  <c:v>1.93</c:v>
                </c:pt>
                <c:pt idx="1">
                  <c:v>1.89</c:v>
                </c:pt>
                <c:pt idx="2">
                  <c:v>1.76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2C3-4D2C-B5A3-54A7A60EE3C8}"/>
            </c:ext>
          </c:extLst>
        </c:ser>
        <c:ser>
          <c:idx val="2"/>
          <c:order val="2"/>
          <c:tx>
            <c:strRef>
              <c:f>[1]Sheet1!$AF$41</c:f>
              <c:strCache>
                <c:ptCount val="1"/>
                <c:pt idx="0">
                  <c:v>JZ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xVal>
            <c:numRef>
              <c:f>[1]Sheet1!$AC$42:$AC$48</c:f>
              <c:numCache>
                <c:formatCode>General</c:formatCode>
                <c:ptCount val="7"/>
                <c:pt idx="0">
                  <c:v>0</c:v>
                </c:pt>
                <c:pt idx="1">
                  <c:v>48</c:v>
                </c:pt>
                <c:pt idx="2">
                  <c:v>96</c:v>
                </c:pt>
                <c:pt idx="3">
                  <c:v>168</c:v>
                </c:pt>
                <c:pt idx="4">
                  <c:v>240</c:v>
                </c:pt>
                <c:pt idx="5">
                  <c:v>360</c:v>
                </c:pt>
                <c:pt idx="6">
                  <c:v>504</c:v>
                </c:pt>
              </c:numCache>
            </c:numRef>
          </c:xVal>
          <c:yVal>
            <c:numRef>
              <c:f>[1]Sheet1!$AF$42:$AF$48</c:f>
              <c:numCache>
                <c:formatCode>General</c:formatCode>
                <c:ptCount val="7"/>
                <c:pt idx="0">
                  <c:v>2.6159999999999997</c:v>
                </c:pt>
                <c:pt idx="1">
                  <c:v>2.3159999999999994</c:v>
                </c:pt>
                <c:pt idx="2">
                  <c:v>1.8359999999999996</c:v>
                </c:pt>
                <c:pt idx="3">
                  <c:v>2.7959999999999998</c:v>
                </c:pt>
                <c:pt idx="4">
                  <c:v>4.2359999999999998</c:v>
                </c:pt>
                <c:pt idx="5">
                  <c:v>4.2959999999999994</c:v>
                </c:pt>
                <c:pt idx="6">
                  <c:v>4.3559999999999999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2C3-4D2C-B5A3-54A7A60EE3C8}"/>
            </c:ext>
          </c:extLst>
        </c:ser>
        <c:ser>
          <c:idx val="3"/>
          <c:order val="3"/>
          <c:tx>
            <c:strRef>
              <c:f>[1]Sheet1!$AG$41</c:f>
              <c:strCache>
                <c:ptCount val="1"/>
                <c:pt idx="0">
                  <c:v>JD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xVal>
            <c:numRef>
              <c:f>[1]Sheet1!$AC$42:$AC$48</c:f>
              <c:numCache>
                <c:formatCode>General</c:formatCode>
                <c:ptCount val="7"/>
                <c:pt idx="0">
                  <c:v>0</c:v>
                </c:pt>
                <c:pt idx="1">
                  <c:v>48</c:v>
                </c:pt>
                <c:pt idx="2">
                  <c:v>96</c:v>
                </c:pt>
                <c:pt idx="3">
                  <c:v>168</c:v>
                </c:pt>
                <c:pt idx="4">
                  <c:v>240</c:v>
                </c:pt>
                <c:pt idx="5">
                  <c:v>360</c:v>
                </c:pt>
                <c:pt idx="6">
                  <c:v>504</c:v>
                </c:pt>
              </c:numCache>
            </c:numRef>
          </c:xVal>
          <c:yVal>
            <c:numRef>
              <c:f>[1]Sheet1!$AG$42:$AG$48</c:f>
              <c:numCache>
                <c:formatCode>General</c:formatCode>
                <c:ptCount val="7"/>
                <c:pt idx="0">
                  <c:v>2.8259999999999996</c:v>
                </c:pt>
                <c:pt idx="1">
                  <c:v>2.7359999999999998</c:v>
                </c:pt>
                <c:pt idx="2">
                  <c:v>2.6359999999999997</c:v>
                </c:pt>
                <c:pt idx="3">
                  <c:v>3.0959999999999996</c:v>
                </c:pt>
                <c:pt idx="4">
                  <c:v>4.2359999999999998</c:v>
                </c:pt>
                <c:pt idx="5">
                  <c:v>3.9659999999999997</c:v>
                </c:pt>
                <c:pt idx="6">
                  <c:v>4.7159999999999993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2C3-4D2C-B5A3-54A7A60EE3C8}"/>
            </c:ext>
          </c:extLst>
        </c:ser>
        <c:ser>
          <c:idx val="4"/>
          <c:order val="4"/>
          <c:tx>
            <c:strRef>
              <c:f>[1]Sheet1!$AH$41</c:f>
              <c:strCache>
                <c:ptCount val="1"/>
                <c:pt idx="0">
                  <c:v>KC</c:v>
                </c:pt>
              </c:strCache>
            </c:strRef>
          </c:tx>
          <c:spPr>
            <a:ln w="19050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[1]Sheet1!$AC$42:$AC$48</c:f>
              <c:numCache>
                <c:formatCode>General</c:formatCode>
                <c:ptCount val="7"/>
                <c:pt idx="0">
                  <c:v>0</c:v>
                </c:pt>
                <c:pt idx="1">
                  <c:v>48</c:v>
                </c:pt>
                <c:pt idx="2">
                  <c:v>96</c:v>
                </c:pt>
                <c:pt idx="3">
                  <c:v>168</c:v>
                </c:pt>
                <c:pt idx="4">
                  <c:v>240</c:v>
                </c:pt>
                <c:pt idx="5">
                  <c:v>360</c:v>
                </c:pt>
                <c:pt idx="6">
                  <c:v>504</c:v>
                </c:pt>
              </c:numCache>
            </c:numRef>
          </c:xVal>
          <c:yVal>
            <c:numRef>
              <c:f>[1]Sheet1!$AH$42:$AH$48</c:f>
              <c:numCache>
                <c:formatCode>General</c:formatCode>
                <c:ptCount val="7"/>
                <c:pt idx="0">
                  <c:v>2.3159999999999998</c:v>
                </c:pt>
                <c:pt idx="1">
                  <c:v>2.516</c:v>
                </c:pt>
                <c:pt idx="2">
                  <c:v>2.1559999999999997</c:v>
                </c:pt>
                <c:pt idx="3">
                  <c:v>2.7159999999999997</c:v>
                </c:pt>
                <c:pt idx="4">
                  <c:v>3.7959999999999994</c:v>
                </c:pt>
                <c:pt idx="5">
                  <c:v>4.0359999999999996</c:v>
                </c:pt>
                <c:pt idx="6">
                  <c:v>4.6759999999999993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2C3-4D2C-B5A3-54A7A60EE3C8}"/>
            </c:ext>
          </c:extLst>
        </c:ser>
        <c:ser>
          <c:idx val="5"/>
          <c:order val="5"/>
          <c:tx>
            <c:strRef>
              <c:f>[1]Sheet1!$AI$41</c:f>
              <c:strCache>
                <c:ptCount val="1"/>
                <c:pt idx="0">
                  <c:v>DY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xVal>
            <c:numRef>
              <c:f>[1]Sheet1!$AC$42:$AC$48</c:f>
              <c:numCache>
                <c:formatCode>General</c:formatCode>
                <c:ptCount val="7"/>
                <c:pt idx="0">
                  <c:v>0</c:v>
                </c:pt>
                <c:pt idx="1">
                  <c:v>48</c:v>
                </c:pt>
                <c:pt idx="2">
                  <c:v>96</c:v>
                </c:pt>
                <c:pt idx="3">
                  <c:v>168</c:v>
                </c:pt>
                <c:pt idx="4">
                  <c:v>240</c:v>
                </c:pt>
                <c:pt idx="5">
                  <c:v>360</c:v>
                </c:pt>
                <c:pt idx="6">
                  <c:v>504</c:v>
                </c:pt>
              </c:numCache>
            </c:numRef>
          </c:xVal>
          <c:yVal>
            <c:numRef>
              <c:f>[1]Sheet1!$AI$42:$AI$48</c:f>
              <c:numCache>
                <c:formatCode>General</c:formatCode>
                <c:ptCount val="7"/>
                <c:pt idx="0">
                  <c:v>2.0159999999999996</c:v>
                </c:pt>
                <c:pt idx="1">
                  <c:v>2.2259999999999995</c:v>
                </c:pt>
                <c:pt idx="2">
                  <c:v>1.6759999999999995</c:v>
                </c:pt>
                <c:pt idx="3">
                  <c:v>2.5559999999999996</c:v>
                </c:pt>
                <c:pt idx="4">
                  <c:v>3.9559999999999995</c:v>
                </c:pt>
                <c:pt idx="5">
                  <c:v>4.3559999999999999</c:v>
                </c:pt>
                <c:pt idx="6">
                  <c:v>4.5960000000000001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B2C3-4D2C-B5A3-54A7A60EE3C8}"/>
            </c:ext>
          </c:extLst>
        </c:ser>
        <c:ser>
          <c:idx val="6"/>
          <c:order val="6"/>
          <c:tx>
            <c:strRef>
              <c:f>[1]Sheet1!$AJ$41</c:f>
              <c:strCache>
                <c:ptCount val="1"/>
                <c:pt idx="0">
                  <c:v>YG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3300"/>
              </a:solidFill>
              <a:ln w="9525">
                <a:noFill/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rgbClr val="FF3300"/>
                </a:solidFill>
                <a:ln w="95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FF33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C3-4D2C-B5A3-54A7A60EE3C8}"/>
              </c:ext>
            </c:extLst>
          </c:dPt>
          <c:xVal>
            <c:numRef>
              <c:f>[1]Sheet1!$AC$42:$AC$48</c:f>
              <c:numCache>
                <c:formatCode>General</c:formatCode>
                <c:ptCount val="7"/>
                <c:pt idx="0">
                  <c:v>0</c:v>
                </c:pt>
                <c:pt idx="1">
                  <c:v>48</c:v>
                </c:pt>
                <c:pt idx="2">
                  <c:v>96</c:v>
                </c:pt>
                <c:pt idx="3">
                  <c:v>168</c:v>
                </c:pt>
                <c:pt idx="4">
                  <c:v>240</c:v>
                </c:pt>
                <c:pt idx="5">
                  <c:v>360</c:v>
                </c:pt>
                <c:pt idx="6">
                  <c:v>504</c:v>
                </c:pt>
              </c:numCache>
            </c:numRef>
          </c:xVal>
          <c:yVal>
            <c:numRef>
              <c:f>[1]Sheet1!$AJ$42:$AJ$48</c:f>
              <c:numCache>
                <c:formatCode>General</c:formatCode>
                <c:ptCount val="7"/>
                <c:pt idx="0">
                  <c:v>2.5559999999999996</c:v>
                </c:pt>
                <c:pt idx="1">
                  <c:v>2.5859999999999999</c:v>
                </c:pt>
                <c:pt idx="2">
                  <c:v>2.4959999999999996</c:v>
                </c:pt>
                <c:pt idx="3">
                  <c:v>3.1159999999999997</c:v>
                </c:pt>
                <c:pt idx="4">
                  <c:v>4.3559999999999999</c:v>
                </c:pt>
                <c:pt idx="5">
                  <c:v>4.806</c:v>
                </c:pt>
                <c:pt idx="6">
                  <c:v>5.105999999999999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B2C3-4D2C-B5A3-54A7A60EE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978799"/>
        <c:axId val="751995855"/>
      </c:scatterChart>
      <c:valAx>
        <c:axId val="7519787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51995855"/>
        <c:crosses val="autoZero"/>
        <c:crossBetween val="midCat"/>
      </c:valAx>
      <c:valAx>
        <c:axId val="751995855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519787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3.0625405306878579E-2"/>
                  <c:y val="0.2754209839256812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('pH&amp;GIR correlation'!$D$2:$I$2,'pH&amp;GIR correlation'!$K$2:$O$2,'pH&amp;GIR correlation'!$Q$2)</c:f>
              <c:numCache>
                <c:formatCode>General</c:formatCode>
                <c:ptCount val="12"/>
                <c:pt idx="0">
                  <c:v>5.5600000000000005</c:v>
                </c:pt>
                <c:pt idx="1">
                  <c:v>5.74</c:v>
                </c:pt>
                <c:pt idx="2">
                  <c:v>5.62</c:v>
                </c:pt>
                <c:pt idx="3">
                  <c:v>5.37</c:v>
                </c:pt>
                <c:pt idx="4">
                  <c:v>5.44</c:v>
                </c:pt>
                <c:pt idx="5">
                  <c:v>6.96</c:v>
                </c:pt>
                <c:pt idx="6">
                  <c:v>5.44</c:v>
                </c:pt>
                <c:pt idx="7">
                  <c:v>5.23</c:v>
                </c:pt>
                <c:pt idx="8">
                  <c:v>5.32</c:v>
                </c:pt>
                <c:pt idx="9">
                  <c:v>5.25</c:v>
                </c:pt>
                <c:pt idx="10">
                  <c:v>5.52</c:v>
                </c:pt>
                <c:pt idx="11">
                  <c:v>5.49</c:v>
                </c:pt>
              </c:numCache>
            </c:numRef>
          </c:xVal>
          <c:yVal>
            <c:numRef>
              <c:f>('pH&amp;GIR correlation'!$D$3:$I$3,'pH&amp;GIR correlation'!$K$3:$O$3,'pH&amp;GIR correlation'!$Q$3)</c:f>
              <c:numCache>
                <c:formatCode>General</c:formatCode>
                <c:ptCount val="12"/>
                <c:pt idx="0">
                  <c:v>-112.70270270270274</c:v>
                </c:pt>
                <c:pt idx="1">
                  <c:v>-22.162162162162161</c:v>
                </c:pt>
                <c:pt idx="2">
                  <c:v>-36.15686274509801</c:v>
                </c:pt>
                <c:pt idx="3">
                  <c:v>-24.715510522213563</c:v>
                </c:pt>
                <c:pt idx="4">
                  <c:v>-38.049143708116162</c:v>
                </c:pt>
                <c:pt idx="5">
                  <c:v>23.076923076923009</c:v>
                </c:pt>
                <c:pt idx="6">
                  <c:v>-196.75675675675677</c:v>
                </c:pt>
                <c:pt idx="7">
                  <c:v>-20.360360360360346</c:v>
                </c:pt>
                <c:pt idx="8">
                  <c:v>-8.0784313725490193</c:v>
                </c:pt>
                <c:pt idx="9">
                  <c:v>4.2088854247856631</c:v>
                </c:pt>
                <c:pt idx="10">
                  <c:v>2.1518987341772089</c:v>
                </c:pt>
                <c:pt idx="11">
                  <c:v>-172.43243243243245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BCA-48C2-BFB9-ACB394A06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2440224"/>
        <c:axId val="428162432"/>
      </c:scatterChart>
      <c:valAx>
        <c:axId val="332440224"/>
        <c:scaling>
          <c:orientation val="minMax"/>
          <c:max val="7"/>
          <c:min val="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28162432"/>
        <c:crosses val="autoZero"/>
        <c:crossBetween val="midCat"/>
      </c:valAx>
      <c:valAx>
        <c:axId val="42816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324402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334550</xdr:colOff>
      <xdr:row>12</xdr:row>
      <xdr:rowOff>139065</xdr:rowOff>
    </xdr:from>
    <xdr:to>
      <xdr:col>30</xdr:col>
      <xdr:colOff>133350</xdr:colOff>
      <xdr:row>35</xdr:row>
      <xdr:rowOff>152400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C28DF07B-2641-443A-AB35-28CC9C6E5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115359</xdr:rowOff>
    </xdr:from>
    <xdr:to>
      <xdr:col>5</xdr:col>
      <xdr:colOff>306917</xdr:colOff>
      <xdr:row>43</xdr:row>
      <xdr:rowOff>10584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E7F130DF-03B6-3161-E20B-4821474D14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370416</xdr:colOff>
      <xdr:row>24</xdr:row>
      <xdr:rowOff>62442</xdr:rowOff>
    </xdr:from>
    <xdr:to>
      <xdr:col>11</xdr:col>
      <xdr:colOff>423333</xdr:colOff>
      <xdr:row>42</xdr:row>
      <xdr:rowOff>148167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90FDC110-4F00-751B-721E-4C738C615F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455083</xdr:colOff>
      <xdr:row>23</xdr:row>
      <xdr:rowOff>157690</xdr:rowOff>
    </xdr:from>
    <xdr:to>
      <xdr:col>17</xdr:col>
      <xdr:colOff>433916</xdr:colOff>
      <xdr:row>43</xdr:row>
      <xdr:rowOff>137582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A50AC264-9D29-4DEC-3597-6B98599B59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444500</xdr:colOff>
      <xdr:row>24</xdr:row>
      <xdr:rowOff>73024</xdr:rowOff>
    </xdr:from>
    <xdr:to>
      <xdr:col>23</xdr:col>
      <xdr:colOff>433917</xdr:colOff>
      <xdr:row>44</xdr:row>
      <xdr:rowOff>31749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EEA117C8-0A1F-A39F-EB71-FD846088FF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465666</xdr:colOff>
      <xdr:row>24</xdr:row>
      <xdr:rowOff>94192</xdr:rowOff>
    </xdr:from>
    <xdr:to>
      <xdr:col>30</xdr:col>
      <xdr:colOff>31750</xdr:colOff>
      <xdr:row>44</xdr:row>
      <xdr:rowOff>0</xdr:rowOff>
    </xdr:to>
    <xdr:graphicFrame macro="">
      <xdr:nvGraphicFramePr>
        <xdr:cNvPr id="6" name="图表 5">
          <a:extLst>
            <a:ext uri="{FF2B5EF4-FFF2-40B4-BE49-F238E27FC236}">
              <a16:creationId xmlns:a16="http://schemas.microsoft.com/office/drawing/2014/main" id="{224DAC76-D28A-A275-B3C7-413243F459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113796</xdr:colOff>
      <xdr:row>31</xdr:row>
      <xdr:rowOff>156882</xdr:rowOff>
    </xdr:from>
    <xdr:to>
      <xdr:col>5</xdr:col>
      <xdr:colOff>67236</xdr:colOff>
      <xdr:row>50</xdr:row>
      <xdr:rowOff>22411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B7F9A292-32A4-4C90-8E82-C74DEF9AC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38348</xdr:colOff>
      <xdr:row>31</xdr:row>
      <xdr:rowOff>161208</xdr:rowOff>
    </xdr:from>
    <xdr:to>
      <xdr:col>10</xdr:col>
      <xdr:colOff>100853</xdr:colOff>
      <xdr:row>50</xdr:row>
      <xdr:rowOff>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F73E8627-FA27-47A6-AFB3-5618FD0D4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74104</xdr:colOff>
      <xdr:row>31</xdr:row>
      <xdr:rowOff>86032</xdr:rowOff>
    </xdr:from>
    <xdr:to>
      <xdr:col>15</xdr:col>
      <xdr:colOff>235323</xdr:colOff>
      <xdr:row>50</xdr:row>
      <xdr:rowOff>0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A9ECD38F-0C84-4C32-ACD1-B95B847E5F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246531</xdr:colOff>
      <xdr:row>30</xdr:row>
      <xdr:rowOff>170980</xdr:rowOff>
    </xdr:from>
    <xdr:to>
      <xdr:col>20</xdr:col>
      <xdr:colOff>302559</xdr:colOff>
      <xdr:row>50</xdr:row>
      <xdr:rowOff>67235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B101A2C2-DE71-44FD-9A60-8B4D4B6368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330753</xdr:colOff>
      <xdr:row>31</xdr:row>
      <xdr:rowOff>100491</xdr:rowOff>
    </xdr:from>
    <xdr:to>
      <xdr:col>25</xdr:col>
      <xdr:colOff>526676</xdr:colOff>
      <xdr:row>50</xdr:row>
      <xdr:rowOff>123265</xdr:rowOff>
    </xdr:to>
    <xdr:graphicFrame macro="">
      <xdr:nvGraphicFramePr>
        <xdr:cNvPr id="6" name="图表 5">
          <a:extLst>
            <a:ext uri="{FF2B5EF4-FFF2-40B4-BE49-F238E27FC236}">
              <a16:creationId xmlns:a16="http://schemas.microsoft.com/office/drawing/2014/main" id="{1E0D0C2C-6E19-4BB7-81C5-8DDAE69DE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198120</xdr:colOff>
      <xdr:row>0</xdr:row>
      <xdr:rowOff>68580</xdr:rowOff>
    </xdr:from>
    <xdr:to>
      <xdr:col>18</xdr:col>
      <xdr:colOff>381000</xdr:colOff>
      <xdr:row>16</xdr:row>
      <xdr:rowOff>7620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F38A5776-F34A-12E6-C895-ADA34F3432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548639</xdr:colOff>
      <xdr:row>7</xdr:row>
      <xdr:rowOff>148589</xdr:rowOff>
    </xdr:from>
    <xdr:to>
      <xdr:col>28</xdr:col>
      <xdr:colOff>152400</xdr:colOff>
      <xdr:row>34</xdr:row>
      <xdr:rowOff>57150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3A92BB28-91EE-4519-9FA3-351FF7283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192405</xdr:colOff>
      <xdr:row>8</xdr:row>
      <xdr:rowOff>139065</xdr:rowOff>
    </xdr:from>
    <xdr:to>
      <xdr:col>31</xdr:col>
      <xdr:colOff>371475</xdr:colOff>
      <xdr:row>33</xdr:row>
      <xdr:rowOff>161925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A9986329-4090-4F1F-8E53-1E1969D0E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8008</xdr:colOff>
      <xdr:row>21</xdr:row>
      <xdr:rowOff>124239</xdr:rowOff>
    </xdr:from>
    <xdr:to>
      <xdr:col>13</xdr:col>
      <xdr:colOff>570121</xdr:colOff>
      <xdr:row>37</xdr:row>
      <xdr:rowOff>26504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3CAA34BE-3A3B-4BCC-BDC8-7B135E77B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512445</xdr:colOff>
      <xdr:row>8</xdr:row>
      <xdr:rowOff>19050</xdr:rowOff>
    </xdr:from>
    <xdr:to>
      <xdr:col>29</xdr:col>
      <xdr:colOff>276225</xdr:colOff>
      <xdr:row>35</xdr:row>
      <xdr:rowOff>152400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CCFFDEC0-4085-4519-B56A-C243C650D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474344</xdr:colOff>
      <xdr:row>10</xdr:row>
      <xdr:rowOff>123824</xdr:rowOff>
    </xdr:from>
    <xdr:to>
      <xdr:col>27</xdr:col>
      <xdr:colOff>533399</xdr:colOff>
      <xdr:row>33</xdr:row>
      <xdr:rowOff>57149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D0827E22-15F2-4785-B7BD-DDC5D5EF28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145144</xdr:colOff>
      <xdr:row>25</xdr:row>
      <xdr:rowOff>97971</xdr:rowOff>
    </xdr:from>
    <xdr:to>
      <xdr:col>15</xdr:col>
      <xdr:colOff>94344</xdr:colOff>
      <xdr:row>41</xdr:row>
      <xdr:rowOff>-1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9498ED3B-5E71-4178-95E2-A64382BC5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278906</xdr:colOff>
      <xdr:row>43</xdr:row>
      <xdr:rowOff>59943</xdr:rowOff>
    </xdr:from>
    <xdr:to>
      <xdr:col>15</xdr:col>
      <xdr:colOff>23465</xdr:colOff>
      <xdr:row>65</xdr:row>
      <xdr:rowOff>171261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D6DDDD04-5AD0-41EE-93C1-686675772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130629</xdr:colOff>
      <xdr:row>24</xdr:row>
      <xdr:rowOff>27215</xdr:rowOff>
    </xdr:from>
    <xdr:to>
      <xdr:col>4</xdr:col>
      <xdr:colOff>446315</xdr:colOff>
      <xdr:row>41</xdr:row>
      <xdr:rowOff>119742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71461CF3-A871-B4E3-2F9B-7A4A52C0D1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468086</xdr:colOff>
      <xdr:row>23</xdr:row>
      <xdr:rowOff>146958</xdr:rowOff>
    </xdr:from>
    <xdr:to>
      <xdr:col>9</xdr:col>
      <xdr:colOff>576943</xdr:colOff>
      <xdr:row>41</xdr:row>
      <xdr:rowOff>152400</xdr:rowOff>
    </xdr:to>
    <xdr:graphicFrame macro="">
      <xdr:nvGraphicFramePr>
        <xdr:cNvPr id="8" name="图表 7">
          <a:extLst>
            <a:ext uri="{FF2B5EF4-FFF2-40B4-BE49-F238E27FC236}">
              <a16:creationId xmlns:a16="http://schemas.microsoft.com/office/drawing/2014/main" id="{86CF7F5C-3C61-6117-DDDA-3432AC56F5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598714</xdr:colOff>
      <xdr:row>24</xdr:row>
      <xdr:rowOff>157844</xdr:rowOff>
    </xdr:from>
    <xdr:to>
      <xdr:col>15</xdr:col>
      <xdr:colOff>217714</xdr:colOff>
      <xdr:row>42</xdr:row>
      <xdr:rowOff>152400</xdr:rowOff>
    </xdr:to>
    <xdr:graphicFrame macro="">
      <xdr:nvGraphicFramePr>
        <xdr:cNvPr id="9" name="图表 8">
          <a:extLst>
            <a:ext uri="{FF2B5EF4-FFF2-40B4-BE49-F238E27FC236}">
              <a16:creationId xmlns:a16="http://schemas.microsoft.com/office/drawing/2014/main" id="{524DF77A-B328-9BB7-0E3E-385489D493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141514</xdr:colOff>
      <xdr:row>24</xdr:row>
      <xdr:rowOff>114301</xdr:rowOff>
    </xdr:from>
    <xdr:to>
      <xdr:col>21</xdr:col>
      <xdr:colOff>0</xdr:colOff>
      <xdr:row>41</xdr:row>
      <xdr:rowOff>163286</xdr:rowOff>
    </xdr:to>
    <xdr:graphicFrame macro="">
      <xdr:nvGraphicFramePr>
        <xdr:cNvPr id="10" name="图表 9">
          <a:extLst>
            <a:ext uri="{FF2B5EF4-FFF2-40B4-BE49-F238E27FC236}">
              <a16:creationId xmlns:a16="http://schemas.microsoft.com/office/drawing/2014/main" id="{C2207122-93A6-9FF1-8B65-088D00116B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21772</xdr:colOff>
      <xdr:row>24</xdr:row>
      <xdr:rowOff>146956</xdr:rowOff>
    </xdr:from>
    <xdr:to>
      <xdr:col>26</xdr:col>
      <xdr:colOff>435429</xdr:colOff>
      <xdr:row>42</xdr:row>
      <xdr:rowOff>43543</xdr:rowOff>
    </xdr:to>
    <xdr:graphicFrame macro="">
      <xdr:nvGraphicFramePr>
        <xdr:cNvPr id="11" name="图表 10">
          <a:extLst>
            <a:ext uri="{FF2B5EF4-FFF2-40B4-BE49-F238E27FC236}">
              <a16:creationId xmlns:a16="http://schemas.microsoft.com/office/drawing/2014/main" id="{E89504F0-CA0E-6F13-0258-3572FB301D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28549\Desktop\&#26376;&#22756;\A&#26679;&#21697;&#37325;&#37327;&#21450;&#21547;&#27700;&#29575;&#21407;&#22987;&#25968;&#25454;.xlsx" TargetMode="External"/><Relationship Id="rId1" Type="http://schemas.openxmlformats.org/officeDocument/2006/relationships/externalLinkPath" Target="/Users/28549/Desktop/&#26376;&#22756;/A&#26679;&#21697;&#37325;&#37327;&#21450;&#21547;&#27700;&#29575;&#21407;&#22987;&#25968;&#2545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41">
          <cell r="AD41" t="str">
            <v>添加月壤未接菌</v>
          </cell>
          <cell r="AE41" t="str">
            <v>未添加月壤未接菌</v>
          </cell>
          <cell r="AF41" t="str">
            <v>JZ</v>
          </cell>
          <cell r="AG41" t="str">
            <v>JD</v>
          </cell>
          <cell r="AH41" t="str">
            <v>KC</v>
          </cell>
          <cell r="AI41" t="str">
            <v>DY</v>
          </cell>
          <cell r="AJ41" t="str">
            <v>YG</v>
          </cell>
        </row>
        <row r="42">
          <cell r="AC42">
            <v>0</v>
          </cell>
          <cell r="AD42">
            <v>2.1959999999999997</v>
          </cell>
          <cell r="AE42">
            <v>1.93</v>
          </cell>
          <cell r="AF42">
            <v>2.6159999999999997</v>
          </cell>
          <cell r="AG42">
            <v>2.8259999999999996</v>
          </cell>
          <cell r="AH42">
            <v>2.3159999999999998</v>
          </cell>
          <cell r="AI42">
            <v>2.0159999999999996</v>
          </cell>
          <cell r="AJ42">
            <v>2.5559999999999996</v>
          </cell>
        </row>
        <row r="43">
          <cell r="AC43">
            <v>48</v>
          </cell>
          <cell r="AF43">
            <v>2.3159999999999994</v>
          </cell>
          <cell r="AG43">
            <v>2.7359999999999998</v>
          </cell>
          <cell r="AH43">
            <v>2.516</v>
          </cell>
          <cell r="AI43">
            <v>2.2259999999999995</v>
          </cell>
          <cell r="AJ43">
            <v>2.5859999999999999</v>
          </cell>
        </row>
        <row r="44">
          <cell r="AC44">
            <v>96</v>
          </cell>
          <cell r="AF44">
            <v>1.8359999999999996</v>
          </cell>
          <cell r="AG44">
            <v>2.6359999999999997</v>
          </cell>
          <cell r="AH44">
            <v>2.1559999999999997</v>
          </cell>
          <cell r="AI44">
            <v>1.6759999999999995</v>
          </cell>
          <cell r="AJ44">
            <v>2.4959999999999996</v>
          </cell>
        </row>
        <row r="45">
          <cell r="AC45">
            <v>168</v>
          </cell>
          <cell r="AD45">
            <v>2.1359999999999997</v>
          </cell>
          <cell r="AE45">
            <v>1.89</v>
          </cell>
          <cell r="AF45">
            <v>2.7959999999999998</v>
          </cell>
          <cell r="AG45">
            <v>3.0959999999999996</v>
          </cell>
          <cell r="AH45">
            <v>2.7159999999999997</v>
          </cell>
          <cell r="AI45">
            <v>2.5559999999999996</v>
          </cell>
          <cell r="AJ45">
            <v>3.1159999999999997</v>
          </cell>
        </row>
        <row r="46">
          <cell r="AC46">
            <v>240</v>
          </cell>
          <cell r="AF46">
            <v>4.2359999999999998</v>
          </cell>
          <cell r="AG46">
            <v>4.2359999999999998</v>
          </cell>
          <cell r="AH46">
            <v>3.7959999999999994</v>
          </cell>
          <cell r="AI46">
            <v>3.9559999999999995</v>
          </cell>
          <cell r="AJ46">
            <v>4.3559999999999999</v>
          </cell>
        </row>
        <row r="47">
          <cell r="AC47">
            <v>360</v>
          </cell>
          <cell r="AF47">
            <v>4.2959999999999994</v>
          </cell>
          <cell r="AG47">
            <v>3.9659999999999997</v>
          </cell>
          <cell r="AH47">
            <v>4.0359999999999996</v>
          </cell>
          <cell r="AI47">
            <v>4.3559999999999999</v>
          </cell>
          <cell r="AJ47">
            <v>4.806</v>
          </cell>
        </row>
        <row r="48">
          <cell r="AC48">
            <v>504</v>
          </cell>
          <cell r="AD48">
            <v>2.1359999999999997</v>
          </cell>
          <cell r="AE48">
            <v>1.76</v>
          </cell>
          <cell r="AF48">
            <v>4.3559999999999999</v>
          </cell>
          <cell r="AG48">
            <v>4.7159999999999993</v>
          </cell>
          <cell r="AH48">
            <v>4.6759999999999993</v>
          </cell>
          <cell r="AI48">
            <v>4.5960000000000001</v>
          </cell>
          <cell r="AJ48">
            <v>5.105999999999999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0F77B-7478-432F-A982-6E8CE474D2F9}">
  <dimension ref="A1:B12"/>
  <sheetViews>
    <sheetView workbookViewId="0">
      <selection activeCell="K11" sqref="K11"/>
    </sheetView>
  </sheetViews>
  <sheetFormatPr defaultRowHeight="13.8" x14ac:dyDescent="0.25"/>
  <sheetData>
    <row r="1" spans="1:2" x14ac:dyDescent="0.25">
      <c r="A1" t="s">
        <v>174</v>
      </c>
    </row>
    <row r="2" spans="1:2" x14ac:dyDescent="0.25">
      <c r="A2" t="s">
        <v>109</v>
      </c>
      <c r="B2" t="s">
        <v>176</v>
      </c>
    </row>
    <row r="3" spans="1:2" x14ac:dyDescent="0.25">
      <c r="A3" t="s">
        <v>110</v>
      </c>
      <c r="B3" t="s">
        <v>175</v>
      </c>
    </row>
    <row r="4" spans="1:2" x14ac:dyDescent="0.25">
      <c r="A4" t="s">
        <v>187</v>
      </c>
      <c r="B4" t="s">
        <v>188</v>
      </c>
    </row>
    <row r="5" spans="1:2" x14ac:dyDescent="0.25">
      <c r="A5" t="s">
        <v>185</v>
      </c>
      <c r="B5" t="s">
        <v>186</v>
      </c>
    </row>
    <row r="6" spans="1:2" x14ac:dyDescent="0.25">
      <c r="A6" t="s">
        <v>118</v>
      </c>
      <c r="B6" t="s">
        <v>183</v>
      </c>
    </row>
    <row r="7" spans="1:2" x14ac:dyDescent="0.25">
      <c r="A7" t="s">
        <v>106</v>
      </c>
      <c r="B7" t="s">
        <v>177</v>
      </c>
    </row>
    <row r="8" spans="1:2" x14ac:dyDescent="0.25">
      <c r="A8" t="s">
        <v>107</v>
      </c>
      <c r="B8" t="s">
        <v>178</v>
      </c>
    </row>
    <row r="9" spans="1:2" x14ac:dyDescent="0.25">
      <c r="A9" t="s">
        <v>119</v>
      </c>
      <c r="B9" t="s">
        <v>184</v>
      </c>
    </row>
    <row r="10" spans="1:2" x14ac:dyDescent="0.25">
      <c r="A10" t="s">
        <v>180</v>
      </c>
      <c r="B10" t="s">
        <v>181</v>
      </c>
    </row>
    <row r="11" spans="1:2" x14ac:dyDescent="0.25">
      <c r="A11" t="s">
        <v>108</v>
      </c>
      <c r="B11" t="s">
        <v>179</v>
      </c>
    </row>
    <row r="12" spans="1:2" x14ac:dyDescent="0.25">
      <c r="A12" t="s">
        <v>145</v>
      </c>
      <c r="B12" t="s">
        <v>182</v>
      </c>
    </row>
  </sheetData>
  <sortState xmlns:xlrd2="http://schemas.microsoft.com/office/spreadsheetml/2017/richdata2" ref="A2:B12">
    <sortCondition ref="A2:A12"/>
  </sortState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7A4B9-4E28-4C8B-A14F-CF7FA27E8EE6}">
  <dimension ref="A1:AE30"/>
  <sheetViews>
    <sheetView topLeftCell="C7" zoomScale="72" zoomScaleNormal="72" workbookViewId="0">
      <selection activeCell="Q30" sqref="Q30"/>
    </sheetView>
  </sheetViews>
  <sheetFormatPr defaultRowHeight="13.8" x14ac:dyDescent="0.25"/>
  <sheetData>
    <row r="1" spans="1:31" x14ac:dyDescent="0.25">
      <c r="A1" s="1" t="s">
        <v>139</v>
      </c>
      <c r="B1">
        <v>0</v>
      </c>
      <c r="C1">
        <v>2</v>
      </c>
      <c r="D1">
        <v>4</v>
      </c>
      <c r="E1">
        <v>7</v>
      </c>
      <c r="F1">
        <v>10</v>
      </c>
      <c r="G1">
        <v>15</v>
      </c>
      <c r="H1">
        <v>21</v>
      </c>
      <c r="O1" s="2" t="s">
        <v>67</v>
      </c>
      <c r="P1" s="2" t="s">
        <v>54</v>
      </c>
      <c r="Q1" s="2" t="s">
        <v>55</v>
      </c>
      <c r="R1" s="2" t="s">
        <v>56</v>
      </c>
      <c r="S1" s="2" t="s">
        <v>57</v>
      </c>
      <c r="T1" s="2" t="s">
        <v>58</v>
      </c>
      <c r="U1" s="2" t="s">
        <v>59</v>
      </c>
      <c r="V1" s="2" t="s">
        <v>60</v>
      </c>
      <c r="X1" s="2" t="s">
        <v>69</v>
      </c>
      <c r="Y1" s="2" t="s">
        <v>54</v>
      </c>
      <c r="Z1" s="2" t="s">
        <v>55</v>
      </c>
      <c r="AA1" s="2" t="s">
        <v>56</v>
      </c>
      <c r="AB1" s="2" t="s">
        <v>57</v>
      </c>
      <c r="AC1" s="2" t="s">
        <v>58</v>
      </c>
      <c r="AD1" s="2" t="s">
        <v>59</v>
      </c>
      <c r="AE1" s="2" t="s">
        <v>60</v>
      </c>
    </row>
    <row r="2" spans="1:31" x14ac:dyDescent="0.25">
      <c r="A2" s="2" t="s">
        <v>67</v>
      </c>
      <c r="B2" s="15">
        <v>36.931234107717053</v>
      </c>
      <c r="C2" s="15">
        <v>17.566679695997376</v>
      </c>
      <c r="D2">
        <v>11.240398250367093</v>
      </c>
      <c r="E2" s="15">
        <v>60.076926850648185</v>
      </c>
      <c r="F2" s="2">
        <v>131.90225562275637</v>
      </c>
      <c r="G2" s="15">
        <v>150.09383625080864</v>
      </c>
      <c r="H2" s="15">
        <v>121.60015919883941</v>
      </c>
      <c r="I2">
        <f>H2/H16*100</f>
        <v>26.596563445696862</v>
      </c>
      <c r="O2" s="2" t="s">
        <v>3</v>
      </c>
      <c r="P2">
        <v>321.43389082571701</v>
      </c>
      <c r="Q2">
        <v>282.30932658613648</v>
      </c>
      <c r="R2">
        <v>392.64264884495083</v>
      </c>
      <c r="S2">
        <v>547.92535667950676</v>
      </c>
      <c r="T2">
        <v>723.35155759020563</v>
      </c>
      <c r="U2">
        <v>235.17443592495059</v>
      </c>
      <c r="V2">
        <v>431.26161876897686</v>
      </c>
      <c r="X2" s="2" t="s">
        <v>3</v>
      </c>
      <c r="Y2">
        <v>394.43750382036046</v>
      </c>
      <c r="Z2">
        <v>194.52459294809532</v>
      </c>
      <c r="AA2">
        <v>332.5195382122867</v>
      </c>
      <c r="AB2">
        <v>438.75769018120377</v>
      </c>
      <c r="AC2">
        <v>659.05437282177138</v>
      </c>
      <c r="AD2">
        <v>928.03016185150398</v>
      </c>
      <c r="AE2">
        <v>902.86699529603879</v>
      </c>
    </row>
    <row r="3" spans="1:31" x14ac:dyDescent="0.25">
      <c r="A3" s="2" t="s">
        <v>69</v>
      </c>
      <c r="B3" s="15">
        <v>50.464910142360523</v>
      </c>
      <c r="C3" s="15">
        <v>18.300717586219324</v>
      </c>
      <c r="D3" s="2">
        <v>15.544275457849178</v>
      </c>
      <c r="E3" s="15">
        <v>25.995659269012261</v>
      </c>
      <c r="F3" s="15">
        <v>193.8556838462693</v>
      </c>
      <c r="G3" s="15">
        <v>459.42347026245096</v>
      </c>
      <c r="H3" s="15">
        <v>370.96391578816156</v>
      </c>
      <c r="I3">
        <f>H3/H17*100</f>
        <v>38.650593739299659</v>
      </c>
      <c r="J3">
        <f>G3/D3</f>
        <v>29.555798307116479</v>
      </c>
      <c r="O3" s="2" t="s">
        <v>2</v>
      </c>
      <c r="X3" s="2" t="s">
        <v>2</v>
      </c>
      <c r="Z3">
        <v>188.71614435257172</v>
      </c>
      <c r="AB3">
        <v>554.58468010041258</v>
      </c>
      <c r="AC3">
        <v>608.39411515930567</v>
      </c>
      <c r="AD3">
        <v>842.36515580471666</v>
      </c>
      <c r="AE3">
        <v>1062.4909650626651</v>
      </c>
    </row>
    <row r="4" spans="1:31" x14ac:dyDescent="0.25">
      <c r="A4" s="2" t="s">
        <v>70</v>
      </c>
      <c r="B4" s="15">
        <v>26.445669895143702</v>
      </c>
      <c r="C4" s="2">
        <v>2.0340373757528405</v>
      </c>
      <c r="D4">
        <v>17.293109546913087</v>
      </c>
      <c r="E4" s="15">
        <v>11.981676309818335</v>
      </c>
      <c r="F4" s="15">
        <v>18.769917855704016</v>
      </c>
      <c r="G4" s="15">
        <v>19.207171172692124</v>
      </c>
      <c r="H4" s="15">
        <v>31.607323111301508</v>
      </c>
      <c r="I4">
        <f>H4/H18*100</f>
        <v>31.582224689563994</v>
      </c>
      <c r="J4">
        <f>G4/E4</f>
        <v>1.6030454066725945</v>
      </c>
      <c r="O4" s="2" t="s">
        <v>1</v>
      </c>
      <c r="Q4">
        <v>320.46281207098252</v>
      </c>
      <c r="R4">
        <v>417.59001395616286</v>
      </c>
      <c r="S4">
        <v>414.47232512982191</v>
      </c>
      <c r="T4">
        <v>1264.157916639108</v>
      </c>
      <c r="U4">
        <v>551.43564354256091</v>
      </c>
      <c r="V4">
        <v>483.14342793650991</v>
      </c>
      <c r="X4" s="2" t="s">
        <v>1</v>
      </c>
      <c r="Z4">
        <v>249.00751592094429</v>
      </c>
      <c r="AA4">
        <v>419.33904364302066</v>
      </c>
      <c r="AB4">
        <v>529.30592980366146</v>
      </c>
      <c r="AC4">
        <v>716.41515546265668</v>
      </c>
      <c r="AD4">
        <v>974.75258192996853</v>
      </c>
      <c r="AE4">
        <v>961.14296416340562</v>
      </c>
    </row>
    <row r="5" spans="1:31" x14ac:dyDescent="0.25">
      <c r="A5" s="2" t="s">
        <v>71</v>
      </c>
      <c r="B5" s="15">
        <v>37.131285703490995</v>
      </c>
      <c r="C5" s="15">
        <v>6.5166722062181517</v>
      </c>
      <c r="D5">
        <v>9.3814717716575799</v>
      </c>
      <c r="E5" s="15">
        <v>10.338837477112889</v>
      </c>
      <c r="F5" s="15">
        <v>28.648401510562138</v>
      </c>
      <c r="G5" s="15">
        <v>74.964392204587838</v>
      </c>
      <c r="H5" s="15">
        <v>20.098315142742383</v>
      </c>
      <c r="I5">
        <f>H5/H19*100</f>
        <v>15.615390819163835</v>
      </c>
      <c r="J5">
        <f>G5/E5</f>
        <v>7.2507564192334684</v>
      </c>
      <c r="O5" s="2" t="s">
        <v>0</v>
      </c>
      <c r="Q5">
        <v>369.20827597951842</v>
      </c>
      <c r="X5" s="2" t="s">
        <v>0</v>
      </c>
      <c r="Z5">
        <v>221.89820092031692</v>
      </c>
      <c r="AA5">
        <v>416.7509668206423</v>
      </c>
      <c r="AB5">
        <v>414.85587411009118</v>
      </c>
      <c r="AC5">
        <v>589.44964947544804</v>
      </c>
      <c r="AD5">
        <v>1253.1485877681464</v>
      </c>
      <c r="AE5">
        <v>912.65268114131868</v>
      </c>
    </row>
    <row r="6" spans="1:31" x14ac:dyDescent="0.25">
      <c r="A6" s="2" t="s">
        <v>72</v>
      </c>
      <c r="B6" s="15">
        <v>26.496557812703422</v>
      </c>
      <c r="C6" s="15">
        <v>31.993983222329177</v>
      </c>
      <c r="D6">
        <v>34.008349696395861</v>
      </c>
      <c r="E6" s="15">
        <v>85.33723016508317</v>
      </c>
      <c r="F6" s="15">
        <v>121.26933800049191</v>
      </c>
      <c r="G6" s="15">
        <v>227.86610817862166</v>
      </c>
      <c r="H6" s="15">
        <v>401.03819538542274</v>
      </c>
      <c r="I6">
        <f>H6/H20*100</f>
        <v>43.92615612057142</v>
      </c>
      <c r="J6">
        <f>G6/D6</f>
        <v>6.7002989034416585</v>
      </c>
      <c r="O6" s="1" t="s">
        <v>120</v>
      </c>
      <c r="P6" s="2">
        <f t="shared" ref="P6:AE6" si="0">AVERAGE(P2:P5)</f>
        <v>321.43389082571701</v>
      </c>
      <c r="Q6" s="2">
        <f t="shared" si="0"/>
        <v>323.99347154554584</v>
      </c>
      <c r="R6" s="2">
        <f t="shared" si="0"/>
        <v>405.11633140055687</v>
      </c>
      <c r="S6" s="2">
        <f t="shared" si="0"/>
        <v>481.19884090466434</v>
      </c>
      <c r="T6" s="2">
        <f t="shared" si="0"/>
        <v>993.75473711465679</v>
      </c>
      <c r="U6" s="2">
        <f t="shared" si="0"/>
        <v>393.30503973375573</v>
      </c>
      <c r="V6" s="2">
        <f t="shared" si="0"/>
        <v>457.20252335274336</v>
      </c>
      <c r="W6" s="2" t="e">
        <f t="shared" si="0"/>
        <v>#DIV/0!</v>
      </c>
      <c r="X6" s="2" t="e">
        <f t="shared" si="0"/>
        <v>#DIV/0!</v>
      </c>
      <c r="Y6" s="2">
        <f t="shared" si="0"/>
        <v>394.43750382036046</v>
      </c>
      <c r="Z6" s="2">
        <f t="shared" si="0"/>
        <v>213.53661353548205</v>
      </c>
      <c r="AA6" s="2">
        <f t="shared" si="0"/>
        <v>389.53651622531657</v>
      </c>
      <c r="AB6" s="2">
        <f t="shared" si="0"/>
        <v>484.37604354884223</v>
      </c>
      <c r="AC6" s="2">
        <f t="shared" si="0"/>
        <v>643.32832322979539</v>
      </c>
      <c r="AD6" s="2">
        <f t="shared" si="0"/>
        <v>999.57412183858378</v>
      </c>
      <c r="AE6" s="2">
        <f t="shared" si="0"/>
        <v>959.78840141585704</v>
      </c>
    </row>
    <row r="7" spans="1:31" x14ac:dyDescent="0.25">
      <c r="O7" s="1" t="s">
        <v>122</v>
      </c>
      <c r="P7">
        <f>STDEVP(P2:P5)</f>
        <v>0</v>
      </c>
      <c r="Q7">
        <f t="shared" ref="Q7:AE7" si="1">STDEVP(Q2:Q5)</f>
        <v>35.564083180106977</v>
      </c>
      <c r="R7">
        <f t="shared" si="1"/>
        <v>12.473682555606018</v>
      </c>
      <c r="S7">
        <f t="shared" si="1"/>
        <v>66.726515774842454</v>
      </c>
      <c r="T7">
        <f t="shared" si="1"/>
        <v>270.40317952445105</v>
      </c>
      <c r="U7">
        <f t="shared" si="1"/>
        <v>158.13060380880515</v>
      </c>
      <c r="V7">
        <f t="shared" si="1"/>
        <v>25.940904583766525</v>
      </c>
      <c r="W7" t="e">
        <f t="shared" si="1"/>
        <v>#DIV/0!</v>
      </c>
      <c r="X7" t="e">
        <f t="shared" si="1"/>
        <v>#DIV/0!</v>
      </c>
      <c r="Y7">
        <f t="shared" si="1"/>
        <v>0</v>
      </c>
      <c r="Z7">
        <f t="shared" si="1"/>
        <v>24.008403096146775</v>
      </c>
      <c r="AA7">
        <f t="shared" si="1"/>
        <v>40.330934130130231</v>
      </c>
      <c r="AB7">
        <f t="shared" si="1"/>
        <v>58.8685727873304</v>
      </c>
      <c r="AC7">
        <f t="shared" si="1"/>
        <v>49.275511313032986</v>
      </c>
      <c r="AD7">
        <f t="shared" si="1"/>
        <v>153.90688404597861</v>
      </c>
      <c r="AE7">
        <f t="shared" si="1"/>
        <v>63.268226662995119</v>
      </c>
    </row>
    <row r="8" spans="1:31" x14ac:dyDescent="0.25">
      <c r="A8" s="1" t="s">
        <v>140</v>
      </c>
      <c r="B8">
        <v>0</v>
      </c>
      <c r="C8">
        <v>2</v>
      </c>
      <c r="D8">
        <v>4</v>
      </c>
      <c r="E8">
        <v>7</v>
      </c>
      <c r="F8">
        <v>10</v>
      </c>
      <c r="G8">
        <v>15</v>
      </c>
      <c r="H8">
        <v>21</v>
      </c>
    </row>
    <row r="9" spans="1:31" x14ac:dyDescent="0.25">
      <c r="A9" s="2" t="s">
        <v>67</v>
      </c>
      <c r="B9" s="15">
        <v>284.50265671799997</v>
      </c>
      <c r="C9" s="15">
        <v>306.42679184954847</v>
      </c>
      <c r="D9">
        <v>418.49689327687588</v>
      </c>
      <c r="E9" s="15">
        <v>421.12191405401614</v>
      </c>
      <c r="F9" s="15">
        <v>643.36641307850664</v>
      </c>
      <c r="G9" s="15">
        <v>243.21120348294716</v>
      </c>
      <c r="H9" s="15">
        <v>335.60236415390398</v>
      </c>
      <c r="I9">
        <f>H9/H2</f>
        <v>2.759884249864593</v>
      </c>
      <c r="O9" s="2" t="s">
        <v>70</v>
      </c>
      <c r="P9" s="2" t="s">
        <v>54</v>
      </c>
      <c r="Q9" s="2" t="s">
        <v>55</v>
      </c>
      <c r="R9" s="2" t="s">
        <v>56</v>
      </c>
      <c r="S9" s="2" t="s">
        <v>57</v>
      </c>
      <c r="T9" s="2" t="s">
        <v>58</v>
      </c>
      <c r="U9" s="2" t="s">
        <v>59</v>
      </c>
      <c r="V9" s="2" t="s">
        <v>60</v>
      </c>
      <c r="X9" s="2" t="s">
        <v>71</v>
      </c>
      <c r="Y9" s="2" t="s">
        <v>54</v>
      </c>
      <c r="Z9" s="2" t="s">
        <v>55</v>
      </c>
      <c r="AA9" s="2" t="s">
        <v>56</v>
      </c>
      <c r="AB9" s="2" t="s">
        <v>57</v>
      </c>
      <c r="AC9" s="2" t="s">
        <v>58</v>
      </c>
      <c r="AD9" s="2" t="s">
        <v>59</v>
      </c>
      <c r="AE9" s="2" t="s">
        <v>60</v>
      </c>
    </row>
    <row r="10" spans="1:31" x14ac:dyDescent="0.25">
      <c r="A10" s="2" t="s">
        <v>69</v>
      </c>
      <c r="B10" s="15">
        <v>343.97259367799995</v>
      </c>
      <c r="C10" s="15">
        <v>195.23589594926275</v>
      </c>
      <c r="D10">
        <v>384.09042057567223</v>
      </c>
      <c r="E10" s="15">
        <v>458.38038427982997</v>
      </c>
      <c r="F10" s="15">
        <v>449.47263938352609</v>
      </c>
      <c r="G10" s="15">
        <v>433.06847333154394</v>
      </c>
      <c r="H10" s="15">
        <v>588.82448562769548</v>
      </c>
      <c r="I10">
        <f>H10/H3</f>
        <v>1.5872823759061863</v>
      </c>
      <c r="O10" s="2" t="s">
        <v>3</v>
      </c>
      <c r="P10">
        <v>280.19040827514362</v>
      </c>
      <c r="Q10">
        <v>123.40364606156005</v>
      </c>
      <c r="R10">
        <v>229.26982353870673</v>
      </c>
      <c r="S10">
        <v>264.54068557332613</v>
      </c>
      <c r="T10">
        <v>157.76498270125481</v>
      </c>
      <c r="U10">
        <v>71.07284430207865</v>
      </c>
      <c r="V10">
        <v>55.314975627912986</v>
      </c>
      <c r="X10" s="2" t="s">
        <v>3</v>
      </c>
      <c r="Y10">
        <v>298.45943660549091</v>
      </c>
      <c r="Z10">
        <v>195.41572034803298</v>
      </c>
      <c r="AA10">
        <v>286.10940314400386</v>
      </c>
      <c r="AB10">
        <v>195.07199892098379</v>
      </c>
      <c r="AC10">
        <v>134.94281151560435</v>
      </c>
      <c r="AD10">
        <v>213.05973446711803</v>
      </c>
      <c r="AE10">
        <v>34.570033748607713</v>
      </c>
    </row>
    <row r="11" spans="1:31" x14ac:dyDescent="0.25">
      <c r="A11" s="2" t="s">
        <v>70</v>
      </c>
      <c r="B11" s="15">
        <v>253.74473837999994</v>
      </c>
      <c r="C11" s="15">
        <v>98.057538254757517</v>
      </c>
      <c r="D11">
        <v>213.40897431461272</v>
      </c>
      <c r="E11" s="15">
        <v>221.91426151488272</v>
      </c>
      <c r="F11" s="15">
        <v>106.60208617683749</v>
      </c>
      <c r="G11" s="15">
        <v>58.746768037895869</v>
      </c>
      <c r="H11" s="15">
        <v>68.472146976648972</v>
      </c>
      <c r="I11">
        <f>H11/H4</f>
        <v>2.1663380582889693</v>
      </c>
      <c r="O11" s="2" t="s">
        <v>2</v>
      </c>
      <c r="Q11">
        <v>97.882574661641215</v>
      </c>
      <c r="R11">
        <v>222.50844149342237</v>
      </c>
      <c r="S11">
        <v>201.56556623821226</v>
      </c>
      <c r="T11">
        <v>116.13854938251966</v>
      </c>
      <c r="U11">
        <v>82.491890257277234</v>
      </c>
      <c r="V11">
        <v>128.0296151333489</v>
      </c>
      <c r="X11" s="2" t="s">
        <v>2</v>
      </c>
      <c r="Z11">
        <v>268.64841050643241</v>
      </c>
      <c r="AA11">
        <v>356.54592707744519</v>
      </c>
      <c r="AB11">
        <v>133.09688443948644</v>
      </c>
      <c r="AC11">
        <v>236.07448685764922</v>
      </c>
      <c r="AD11">
        <v>388.38905032640776</v>
      </c>
      <c r="AE11">
        <v>184.92367021148061</v>
      </c>
    </row>
    <row r="12" spans="1:31" x14ac:dyDescent="0.25">
      <c r="A12" s="2" t="s">
        <v>71</v>
      </c>
      <c r="B12" s="15">
        <v>261.32815090199989</v>
      </c>
      <c r="C12" s="15">
        <v>231.14215068205806</v>
      </c>
      <c r="D12">
        <v>322.82829148881029</v>
      </c>
      <c r="E12" s="15">
        <v>153.74560420312221</v>
      </c>
      <c r="F12" s="15">
        <v>203.72153946680783</v>
      </c>
      <c r="G12" s="15">
        <v>298.73515374624299</v>
      </c>
      <c r="H12" s="15">
        <v>108.61005581955797</v>
      </c>
      <c r="I12">
        <f>H12/H5</f>
        <v>5.4039383425021921</v>
      </c>
      <c r="O12" s="2" t="s">
        <v>1</v>
      </c>
      <c r="Q12">
        <v>76.806970955487799</v>
      </c>
      <c r="R12">
        <v>240.32798655244838</v>
      </c>
      <c r="S12">
        <v>235.58156166256481</v>
      </c>
      <c r="T12">
        <v>102.21248001385004</v>
      </c>
      <c r="U12">
        <v>80.297083072408086</v>
      </c>
      <c r="V12">
        <v>116.89381950258957</v>
      </c>
      <c r="X12" s="2" t="s">
        <v>1</v>
      </c>
      <c r="Z12">
        <v>240.15023698691107</v>
      </c>
      <c r="AA12">
        <v>353.97395955995455</v>
      </c>
      <c r="AC12">
        <v>236.93398547228796</v>
      </c>
      <c r="AD12">
        <v>377.05628790799381</v>
      </c>
      <c r="AE12">
        <v>86.745420328608603</v>
      </c>
    </row>
    <row r="13" spans="1:31" x14ac:dyDescent="0.25">
      <c r="A13" s="2" t="s">
        <v>72</v>
      </c>
      <c r="B13" s="15">
        <v>255.51181718999999</v>
      </c>
      <c r="C13" s="15">
        <v>237.13741207949613</v>
      </c>
      <c r="D13">
        <v>431.27068381495474</v>
      </c>
      <c r="E13" s="2">
        <v>573.06990630940015</v>
      </c>
      <c r="F13" s="15">
        <v>432.71321265917044</v>
      </c>
      <c r="G13">
        <v>549.03644892504462</v>
      </c>
      <c r="H13" s="15">
        <v>511.94448009527849</v>
      </c>
      <c r="I13">
        <f>H13/H6</f>
        <v>1.2765479348002449</v>
      </c>
      <c r="O13" s="2" t="s">
        <v>0</v>
      </c>
      <c r="X13" s="2" t="s">
        <v>0</v>
      </c>
      <c r="Z13">
        <v>246.42092371172848</v>
      </c>
    </row>
    <row r="14" spans="1:31" x14ac:dyDescent="0.25">
      <c r="O14" s="1" t="s">
        <v>120</v>
      </c>
      <c r="P14" s="2">
        <f>AVERAGE(P10:P13)</f>
        <v>280.19040827514362</v>
      </c>
      <c r="Q14" s="2">
        <f t="shared" ref="Q14:AE14" si="2">AVERAGE(Q10:Q13)</f>
        <v>99.364397226229698</v>
      </c>
      <c r="R14" s="2">
        <f t="shared" si="2"/>
        <v>230.70208386152581</v>
      </c>
      <c r="S14" s="2">
        <f t="shared" si="2"/>
        <v>233.89593782470106</v>
      </c>
      <c r="T14" s="2">
        <f t="shared" si="2"/>
        <v>125.3720040325415</v>
      </c>
      <c r="U14" s="2">
        <f t="shared" si="2"/>
        <v>77.95393921058799</v>
      </c>
      <c r="V14" s="2">
        <f t="shared" si="2"/>
        <v>100.07947008795048</v>
      </c>
      <c r="W14" s="2" t="e">
        <f t="shared" si="2"/>
        <v>#DIV/0!</v>
      </c>
      <c r="X14" s="2" t="e">
        <f t="shared" si="2"/>
        <v>#DIV/0!</v>
      </c>
      <c r="Y14" s="2">
        <f t="shared" si="2"/>
        <v>298.45943660549091</v>
      </c>
      <c r="Z14" s="2">
        <f t="shared" si="2"/>
        <v>237.65882288827623</v>
      </c>
      <c r="AA14" s="2">
        <f t="shared" si="2"/>
        <v>332.20976326046787</v>
      </c>
      <c r="AB14" s="2">
        <f t="shared" si="2"/>
        <v>164.0844416802351</v>
      </c>
      <c r="AC14" s="2">
        <f t="shared" si="2"/>
        <v>202.65042794851385</v>
      </c>
      <c r="AD14" s="2">
        <f t="shared" si="2"/>
        <v>326.16835756717319</v>
      </c>
      <c r="AE14" s="2">
        <f t="shared" si="2"/>
        <v>102.07970809623231</v>
      </c>
    </row>
    <row r="15" spans="1:31" x14ac:dyDescent="0.25">
      <c r="A15" s="1"/>
      <c r="B15">
        <v>0</v>
      </c>
      <c r="C15">
        <v>2</v>
      </c>
      <c r="D15">
        <v>4</v>
      </c>
      <c r="E15">
        <v>7</v>
      </c>
      <c r="F15">
        <v>10</v>
      </c>
      <c r="G15">
        <v>15</v>
      </c>
      <c r="H15">
        <v>21</v>
      </c>
      <c r="O15" s="1" t="s">
        <v>122</v>
      </c>
      <c r="P15">
        <f>STDEVP(P10:P13)</f>
        <v>0</v>
      </c>
      <c r="Q15">
        <f t="shared" ref="Q15:AE15" si="3">STDEVP(Q10:Q13)</f>
        <v>19.051848227401369</v>
      </c>
      <c r="R15">
        <f t="shared" si="3"/>
        <v>7.3449562627200615</v>
      </c>
      <c r="S15">
        <f t="shared" si="3"/>
        <v>25.737099158089993</v>
      </c>
      <c r="T15">
        <f t="shared" si="3"/>
        <v>23.600319945416583</v>
      </c>
      <c r="U15">
        <f t="shared" si="3"/>
        <v>4.9474838722744163</v>
      </c>
      <c r="V15">
        <f t="shared" si="3"/>
        <v>31.978080610313398</v>
      </c>
      <c r="W15" t="e">
        <f t="shared" si="3"/>
        <v>#DIV/0!</v>
      </c>
      <c r="X15" t="e">
        <f t="shared" si="3"/>
        <v>#DIV/0!</v>
      </c>
      <c r="Y15">
        <f t="shared" si="3"/>
        <v>0</v>
      </c>
      <c r="Z15">
        <f t="shared" si="3"/>
        <v>26.588605679971845</v>
      </c>
      <c r="AA15">
        <f t="shared" si="3"/>
        <v>32.614783523002828</v>
      </c>
      <c r="AB15">
        <f t="shared" si="3"/>
        <v>30.987557240748782</v>
      </c>
      <c r="AC15">
        <f t="shared" si="3"/>
        <v>47.877800539405463</v>
      </c>
      <c r="AD15">
        <f t="shared" si="3"/>
        <v>80.113579126557724</v>
      </c>
      <c r="AE15">
        <f t="shared" si="3"/>
        <v>62.33195694776829</v>
      </c>
    </row>
    <row r="16" spans="1:31" x14ac:dyDescent="0.25">
      <c r="A16" s="2" t="s">
        <v>67</v>
      </c>
      <c r="B16" s="15">
        <v>321.43389082571701</v>
      </c>
      <c r="C16" s="15">
        <v>323.99347154554584</v>
      </c>
      <c r="D16">
        <v>429.73729152724297</v>
      </c>
      <c r="E16" s="15">
        <v>481.19884090466434</v>
      </c>
      <c r="F16" s="2">
        <v>775.26866870126298</v>
      </c>
      <c r="G16" s="15">
        <v>393.30503973375579</v>
      </c>
      <c r="H16" s="15">
        <v>457.20252335274336</v>
      </c>
      <c r="I16">
        <f>D16/C16</f>
        <v>1.3263763910959916</v>
      </c>
      <c r="J16">
        <v>1.5511915269196823</v>
      </c>
      <c r="K16">
        <f>I16/J16</f>
        <v>0.85506938896828355</v>
      </c>
    </row>
    <row r="17" spans="1:24" x14ac:dyDescent="0.25">
      <c r="A17" s="2" t="s">
        <v>69</v>
      </c>
      <c r="B17" s="15">
        <v>394.43750382036046</v>
      </c>
      <c r="C17" s="15">
        <v>213.53661353548208</v>
      </c>
      <c r="D17" s="2">
        <v>399.63469603352138</v>
      </c>
      <c r="E17" s="15">
        <v>484.37604354884223</v>
      </c>
      <c r="F17" s="15">
        <v>643.32832322979539</v>
      </c>
      <c r="G17" s="15">
        <v>892.49194359399485</v>
      </c>
      <c r="H17" s="15">
        <v>959.78840141585704</v>
      </c>
      <c r="I17">
        <f>D17/C17</f>
        <v>1.871504326198919</v>
      </c>
      <c r="J17">
        <v>1.1925524077422811</v>
      </c>
      <c r="K17">
        <f>I17/J17</f>
        <v>1.5693266929392373</v>
      </c>
      <c r="O17" s="2" t="s">
        <v>72</v>
      </c>
      <c r="P17" s="2" t="s">
        <v>54</v>
      </c>
      <c r="Q17" s="2" t="s">
        <v>55</v>
      </c>
      <c r="R17" s="2" t="s">
        <v>56</v>
      </c>
      <c r="S17" s="2" t="s">
        <v>57</v>
      </c>
      <c r="T17" s="2" t="s">
        <v>58</v>
      </c>
      <c r="U17" s="2" t="s">
        <v>59</v>
      </c>
      <c r="V17" s="2" t="s">
        <v>60</v>
      </c>
      <c r="X17" s="1"/>
    </row>
    <row r="18" spans="1:24" x14ac:dyDescent="0.25">
      <c r="A18" s="2" t="s">
        <v>70</v>
      </c>
      <c r="B18" s="15">
        <v>280.19040827514362</v>
      </c>
      <c r="C18" s="2">
        <v>100.09157563051036</v>
      </c>
      <c r="D18">
        <v>230.70208386152581</v>
      </c>
      <c r="E18" s="15">
        <v>233.89593782470106</v>
      </c>
      <c r="F18" s="15">
        <v>125.3720040325415</v>
      </c>
      <c r="G18" s="15">
        <v>77.95393921058799</v>
      </c>
      <c r="H18" s="15">
        <v>100.07947008795048</v>
      </c>
      <c r="I18">
        <f>D18/C18</f>
        <v>2.3049101026560539</v>
      </c>
      <c r="J18">
        <v>3.9973714473468052</v>
      </c>
      <c r="K18">
        <f>I18/J18</f>
        <v>0.57660643575815385</v>
      </c>
      <c r="O18" s="2" t="s">
        <v>3</v>
      </c>
      <c r="P18">
        <v>282.00837500270342</v>
      </c>
      <c r="Q18">
        <v>264.63359476683877</v>
      </c>
      <c r="R18">
        <v>455.66813553795271</v>
      </c>
      <c r="S18">
        <v>728.12251313415425</v>
      </c>
      <c r="T18">
        <v>596.14659262237035</v>
      </c>
      <c r="U18">
        <v>738.61895175643156</v>
      </c>
      <c r="V18">
        <v>658.27214095509794</v>
      </c>
      <c r="X18" s="2"/>
    </row>
    <row r="19" spans="1:24" x14ac:dyDescent="0.25">
      <c r="A19" s="2" t="s">
        <v>71</v>
      </c>
      <c r="B19" s="15">
        <v>298.45943660549091</v>
      </c>
      <c r="C19" s="15">
        <v>237.65882288827621</v>
      </c>
      <c r="D19">
        <v>332.20976326046787</v>
      </c>
      <c r="E19" s="15">
        <v>164.0844416802351</v>
      </c>
      <c r="F19" s="15">
        <v>232.36994097736996</v>
      </c>
      <c r="G19" s="15">
        <v>373.69954595083084</v>
      </c>
      <c r="H19" s="15">
        <v>128.70837096230036</v>
      </c>
      <c r="I19">
        <f>D19/C19</f>
        <v>1.3978431737694847</v>
      </c>
      <c r="J19">
        <v>1.6201052288494666</v>
      </c>
      <c r="K19">
        <f>I19/J19</f>
        <v>0.8628101118852487</v>
      </c>
      <c r="O19" s="2" t="s">
        <v>2</v>
      </c>
      <c r="Q19">
        <v>203.46659524366262</v>
      </c>
      <c r="R19">
        <v>503.84447082966011</v>
      </c>
      <c r="S19">
        <v>705.07194070259868</v>
      </c>
      <c r="T19">
        <v>457.69607716243974</v>
      </c>
      <c r="U19">
        <v>1104.7637058974126</v>
      </c>
      <c r="V19">
        <v>1030.5040010413786</v>
      </c>
      <c r="X19" s="2"/>
    </row>
    <row r="20" spans="1:24" x14ac:dyDescent="0.25">
      <c r="A20" s="2" t="s">
        <v>72</v>
      </c>
      <c r="B20" s="15">
        <v>282.00837500270342</v>
      </c>
      <c r="C20" s="15">
        <v>269.13139530182531</v>
      </c>
      <c r="D20">
        <v>465.27903351135058</v>
      </c>
      <c r="E20" s="15">
        <v>658.40713647448331</v>
      </c>
      <c r="F20" s="15">
        <v>553.98255065966237</v>
      </c>
      <c r="G20" s="15">
        <v>776.90255710366625</v>
      </c>
      <c r="H20" s="15">
        <v>912.98267548070123</v>
      </c>
      <c r="I20">
        <f>D20/C20</f>
        <v>1.7288173792936707</v>
      </c>
      <c r="J20">
        <v>2.015689017687619</v>
      </c>
      <c r="K20">
        <f>I20/J20</f>
        <v>0.85768060654363987</v>
      </c>
      <c r="O20" s="2" t="s">
        <v>1</v>
      </c>
      <c r="Q20">
        <v>227.58771855182394</v>
      </c>
      <c r="R20">
        <v>510.55008637989573</v>
      </c>
      <c r="T20">
        <v>538.61076635922359</v>
      </c>
      <c r="U20">
        <v>713.83093330834913</v>
      </c>
      <c r="V20">
        <v>874.76890661557832</v>
      </c>
      <c r="X20" s="2"/>
    </row>
    <row r="21" spans="1:24" x14ac:dyDescent="0.25">
      <c r="O21" s="2" t="s">
        <v>0</v>
      </c>
      <c r="Q21">
        <v>348.56764957233327</v>
      </c>
      <c r="R21">
        <v>391.05344129789381</v>
      </c>
      <c r="S21">
        <v>542.02695558669711</v>
      </c>
      <c r="T21">
        <v>623.47676649461562</v>
      </c>
      <c r="U21">
        <v>805.16201785486487</v>
      </c>
      <c r="V21">
        <v>849.78787518799936</v>
      </c>
      <c r="X21" s="2"/>
    </row>
    <row r="22" spans="1:24" x14ac:dyDescent="0.25">
      <c r="A22" s="2" t="s">
        <v>92</v>
      </c>
      <c r="O22" s="1" t="s">
        <v>120</v>
      </c>
      <c r="P22" s="2">
        <f>AVERAGE(P18:P21)</f>
        <v>282.00837500270342</v>
      </c>
      <c r="Q22" s="2">
        <f t="shared" ref="Q22:V22" si="4">AVERAGE(Q18:Q21)</f>
        <v>261.06388953366468</v>
      </c>
      <c r="R22" s="2">
        <f t="shared" si="4"/>
        <v>465.27903351135058</v>
      </c>
      <c r="S22" s="2">
        <f t="shared" si="4"/>
        <v>658.40713647448331</v>
      </c>
      <c r="T22" s="2">
        <f t="shared" si="4"/>
        <v>553.98255065966237</v>
      </c>
      <c r="U22" s="2">
        <f t="shared" si="4"/>
        <v>840.5939022042644</v>
      </c>
      <c r="V22" s="2">
        <f t="shared" si="4"/>
        <v>853.33323095001356</v>
      </c>
      <c r="X22" s="2"/>
    </row>
    <row r="23" spans="1:24" x14ac:dyDescent="0.25">
      <c r="A23" s="1"/>
      <c r="B23" s="16" t="s">
        <v>68</v>
      </c>
      <c r="C23" s="17" t="s">
        <v>69</v>
      </c>
      <c r="D23" s="17" t="s">
        <v>70</v>
      </c>
      <c r="E23" s="17" t="s">
        <v>71</v>
      </c>
      <c r="F23" s="18" t="s">
        <v>72</v>
      </c>
    </row>
    <row r="24" spans="1:24" x14ac:dyDescent="0.25">
      <c r="A24">
        <v>0</v>
      </c>
      <c r="B24" s="15">
        <v>321.43389082571701</v>
      </c>
      <c r="C24" s="15">
        <v>394.43750382036046</v>
      </c>
      <c r="D24" s="15">
        <v>280.19040827514362</v>
      </c>
      <c r="E24" s="15">
        <v>298.45943660549091</v>
      </c>
      <c r="F24" s="15">
        <v>282.00837500270342</v>
      </c>
    </row>
    <row r="25" spans="1:24" x14ac:dyDescent="0.25">
      <c r="A25">
        <v>2</v>
      </c>
      <c r="B25" s="15">
        <v>323.99347154554584</v>
      </c>
      <c r="C25" s="15">
        <v>213.53661353548208</v>
      </c>
      <c r="D25" s="2">
        <v>100.09157563051036</v>
      </c>
      <c r="E25" s="15">
        <v>237.65882288827621</v>
      </c>
      <c r="F25" s="15">
        <v>269.13139530182531</v>
      </c>
    </row>
    <row r="26" spans="1:24" x14ac:dyDescent="0.25">
      <c r="A26">
        <v>4</v>
      </c>
      <c r="B26">
        <v>429.73729152724297</v>
      </c>
      <c r="C26" s="2">
        <v>399.63469603352138</v>
      </c>
      <c r="D26">
        <v>230.70208386152581</v>
      </c>
      <c r="E26">
        <v>332.20976326046787</v>
      </c>
      <c r="F26">
        <v>465.27903351135058</v>
      </c>
      <c r="O26" s="1"/>
    </row>
    <row r="27" spans="1:24" x14ac:dyDescent="0.25">
      <c r="A27">
        <v>7</v>
      </c>
      <c r="B27" s="15">
        <v>481.19884090466434</v>
      </c>
      <c r="C27" s="15">
        <v>484.37604354884223</v>
      </c>
      <c r="D27" s="15">
        <v>233.89593782470106</v>
      </c>
      <c r="E27" s="15">
        <v>164.0844416802351</v>
      </c>
      <c r="F27" s="15">
        <v>658.40713647448331</v>
      </c>
      <c r="O27" s="1"/>
    </row>
    <row r="28" spans="1:24" x14ac:dyDescent="0.25">
      <c r="A28">
        <v>10</v>
      </c>
      <c r="B28" s="2">
        <v>775.26866870126298</v>
      </c>
      <c r="C28" s="15">
        <v>643.32832322979539</v>
      </c>
      <c r="D28" s="15">
        <v>125.3720040325415</v>
      </c>
      <c r="E28" s="15">
        <v>232.36994097736996</v>
      </c>
      <c r="F28" s="15">
        <v>553.98255065966237</v>
      </c>
    </row>
    <row r="29" spans="1:24" x14ac:dyDescent="0.25">
      <c r="A29">
        <v>15</v>
      </c>
      <c r="B29" s="15">
        <v>393.30503973375579</v>
      </c>
      <c r="C29" s="15">
        <v>892.49194359399485</v>
      </c>
      <c r="D29" s="15">
        <v>77.95393921058799</v>
      </c>
      <c r="E29" s="15">
        <v>373.69954595083084</v>
      </c>
      <c r="F29" s="15">
        <v>776.90255710366625</v>
      </c>
    </row>
    <row r="30" spans="1:24" x14ac:dyDescent="0.25">
      <c r="A30">
        <v>21</v>
      </c>
      <c r="B30" s="15">
        <v>457.20252335274336</v>
      </c>
      <c r="C30" s="15">
        <v>959.78840141585704</v>
      </c>
      <c r="D30" s="15">
        <v>100.07947008795048</v>
      </c>
      <c r="E30" s="15">
        <v>128.70837096230036</v>
      </c>
      <c r="F30" s="15">
        <v>912.98267548070123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F3377-0ECB-4BDA-AA44-F203833D6271}">
  <dimension ref="A1:Z44"/>
  <sheetViews>
    <sheetView zoomScale="80" zoomScaleNormal="80" workbookViewId="0"/>
  </sheetViews>
  <sheetFormatPr defaultRowHeight="13.8" x14ac:dyDescent="0.25"/>
  <sheetData>
    <row r="1" spans="1:26" x14ac:dyDescent="0.25">
      <c r="A1" s="1" t="s">
        <v>138</v>
      </c>
    </row>
    <row r="2" spans="1:26" x14ac:dyDescent="0.25">
      <c r="A2" s="2" t="s">
        <v>67</v>
      </c>
      <c r="B2" s="2" t="s">
        <v>54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2" t="s">
        <v>60</v>
      </c>
      <c r="J2" s="2" t="s">
        <v>69</v>
      </c>
      <c r="K2" s="2" t="s">
        <v>54</v>
      </c>
      <c r="L2" s="2" t="s">
        <v>55</v>
      </c>
      <c r="M2" s="2" t="s">
        <v>56</v>
      </c>
      <c r="N2" s="2" t="s">
        <v>57</v>
      </c>
      <c r="O2" s="2" t="s">
        <v>58</v>
      </c>
      <c r="P2" s="2" t="s">
        <v>59</v>
      </c>
      <c r="Q2" s="2" t="s">
        <v>60</v>
      </c>
      <c r="S2" s="1" t="s">
        <v>120</v>
      </c>
      <c r="T2">
        <v>0</v>
      </c>
      <c r="U2">
        <v>2</v>
      </c>
      <c r="V2">
        <v>4</v>
      </c>
      <c r="W2">
        <v>7</v>
      </c>
      <c r="X2">
        <v>10</v>
      </c>
      <c r="Y2">
        <v>15</v>
      </c>
      <c r="Z2">
        <v>21</v>
      </c>
    </row>
    <row r="3" spans="1:26" x14ac:dyDescent="0.25">
      <c r="A3" s="2" t="s">
        <v>3</v>
      </c>
      <c r="B3">
        <v>68.361038969999996</v>
      </c>
      <c r="C3">
        <v>137.35415764790761</v>
      </c>
      <c r="D3">
        <v>178.90846065699003</v>
      </c>
      <c r="E3">
        <v>170.47397524350652</v>
      </c>
      <c r="F3">
        <v>259.04090673910235</v>
      </c>
      <c r="G3">
        <v>126.48580852597152</v>
      </c>
      <c r="H3">
        <v>114.02275678337961</v>
      </c>
      <c r="J3" s="2" t="s">
        <v>3</v>
      </c>
      <c r="K3">
        <v>53.948701310000004</v>
      </c>
      <c r="L3">
        <v>46.794588744588751</v>
      </c>
      <c r="M3">
        <v>61.476021772345291</v>
      </c>
      <c r="N3">
        <v>57.601105925324674</v>
      </c>
      <c r="O3">
        <v>94.725953951623353</v>
      </c>
      <c r="P3">
        <v>124.55446532512889</v>
      </c>
      <c r="Q3">
        <v>148.19982985582524</v>
      </c>
      <c r="S3" s="2" t="s">
        <v>67</v>
      </c>
      <c r="T3">
        <v>68.361038969999996</v>
      </c>
      <c r="U3" s="15">
        <v>126.35671296296294</v>
      </c>
      <c r="V3">
        <v>183.60531894576013</v>
      </c>
      <c r="W3" s="15">
        <v>178.2263595779221</v>
      </c>
      <c r="X3" s="15">
        <v>247.77590867934293</v>
      </c>
      <c r="Y3" s="15">
        <v>165.73778341371474</v>
      </c>
      <c r="Z3" s="15">
        <v>112.48220762066805</v>
      </c>
    </row>
    <row r="4" spans="1:26" x14ac:dyDescent="0.25">
      <c r="A4" s="2" t="s">
        <v>2</v>
      </c>
      <c r="J4" s="2" t="s">
        <v>2</v>
      </c>
      <c r="L4">
        <v>51.239393939393935</v>
      </c>
      <c r="N4">
        <v>62.204393262987011</v>
      </c>
      <c r="O4">
        <v>101.91402793946449</v>
      </c>
      <c r="P4">
        <v>126.26994290149121</v>
      </c>
      <c r="Q4">
        <v>154.76335407898276</v>
      </c>
      <c r="S4" s="2" t="s">
        <v>69</v>
      </c>
      <c r="T4">
        <v>53.948701310000004</v>
      </c>
      <c r="U4" s="15">
        <v>47.706824945887448</v>
      </c>
      <c r="V4">
        <v>56.736334988540875</v>
      </c>
      <c r="W4" s="15">
        <v>58.336444805194802</v>
      </c>
      <c r="X4" s="15">
        <v>98.366839671452595</v>
      </c>
      <c r="Y4" s="15">
        <v>125.21800681855979</v>
      </c>
      <c r="Z4" s="15">
        <v>153.4438328333483</v>
      </c>
    </row>
    <row r="5" spans="1:26" x14ac:dyDescent="0.25">
      <c r="A5" s="2" t="s">
        <v>1</v>
      </c>
      <c r="C5">
        <v>126.51243686868688</v>
      </c>
      <c r="D5">
        <v>184.47287051184111</v>
      </c>
      <c r="E5">
        <v>185.97874391233768</v>
      </c>
      <c r="F5">
        <v>236.51091061958354</v>
      </c>
      <c r="G5">
        <v>204.98975830145795</v>
      </c>
      <c r="H5">
        <v>110.94165845795648</v>
      </c>
      <c r="J5" s="2" t="s">
        <v>1</v>
      </c>
      <c r="L5">
        <v>48.157729076479086</v>
      </c>
      <c r="M5">
        <v>54.185294117647061</v>
      </c>
      <c r="N5">
        <v>63.094713879870135</v>
      </c>
      <c r="O5">
        <v>99.813232440822674</v>
      </c>
      <c r="P5">
        <v>130.98137369033762</v>
      </c>
      <c r="Q5">
        <v>153.14336885466111</v>
      </c>
      <c r="S5" s="2" t="s">
        <v>70</v>
      </c>
      <c r="T5">
        <v>63.612662329999999</v>
      </c>
      <c r="U5" s="15">
        <v>25.891991341991343</v>
      </c>
      <c r="V5">
        <v>23.120359052711994</v>
      </c>
      <c r="W5" s="15">
        <v>22.109188988095237</v>
      </c>
      <c r="X5" s="15">
        <v>32.985579700771787</v>
      </c>
      <c r="Y5" s="15">
        <v>40.941423212668845</v>
      </c>
      <c r="Z5" s="15">
        <v>38.180919972538135</v>
      </c>
    </row>
    <row r="6" spans="1:26" x14ac:dyDescent="0.25">
      <c r="A6" s="2" t="s">
        <v>0</v>
      </c>
      <c r="C6">
        <v>115.20354437229436</v>
      </c>
      <c r="D6">
        <v>187.43462566844923</v>
      </c>
      <c r="J6" s="2" t="s">
        <v>0</v>
      </c>
      <c r="L6">
        <v>44.635588023088019</v>
      </c>
      <c r="M6">
        <v>54.547689075630259</v>
      </c>
      <c r="N6">
        <v>50.445566152597408</v>
      </c>
      <c r="O6">
        <v>97.014144353899866</v>
      </c>
      <c r="P6">
        <v>119.06624535728146</v>
      </c>
      <c r="Q6">
        <v>157.66877854392411</v>
      </c>
      <c r="S6" s="2" t="s">
        <v>71</v>
      </c>
      <c r="T6">
        <v>59.771753230000002</v>
      </c>
      <c r="U6" s="15">
        <v>24.643975468975469</v>
      </c>
      <c r="V6">
        <v>34.617064553093968</v>
      </c>
      <c r="W6" s="15">
        <v>57.610998376623385</v>
      </c>
      <c r="X6" s="15">
        <v>44.474268098133052</v>
      </c>
      <c r="Y6" s="15">
        <v>67.822962285418626</v>
      </c>
      <c r="Z6" s="15">
        <v>73.051826811139975</v>
      </c>
    </row>
    <row r="7" spans="1:26" x14ac:dyDescent="0.25">
      <c r="A7" s="1" t="s">
        <v>120</v>
      </c>
      <c r="B7" s="2">
        <f>AVERAGE(B3:B6)</f>
        <v>68.361038969999996</v>
      </c>
      <c r="C7" s="2">
        <f t="shared" ref="C7:Q7" si="0">AVERAGE(C3:C6)</f>
        <v>126.35671296296294</v>
      </c>
      <c r="D7" s="2">
        <f t="shared" si="0"/>
        <v>183.60531894576013</v>
      </c>
      <c r="E7" s="2">
        <f t="shared" si="0"/>
        <v>178.2263595779221</v>
      </c>
      <c r="F7" s="2">
        <f t="shared" si="0"/>
        <v>247.77590867934293</v>
      </c>
      <c r="G7" s="2">
        <f t="shared" si="0"/>
        <v>165.73778341371474</v>
      </c>
      <c r="H7" s="2">
        <f t="shared" si="0"/>
        <v>112.48220762066805</v>
      </c>
      <c r="I7" s="2" t="e">
        <f t="shared" si="0"/>
        <v>#DIV/0!</v>
      </c>
      <c r="J7" s="2" t="e">
        <f t="shared" si="0"/>
        <v>#DIV/0!</v>
      </c>
      <c r="K7" s="2">
        <f t="shared" si="0"/>
        <v>53.948701310000004</v>
      </c>
      <c r="L7" s="2">
        <f t="shared" si="0"/>
        <v>47.706824945887448</v>
      </c>
      <c r="M7" s="2">
        <f t="shared" si="0"/>
        <v>56.736334988540875</v>
      </c>
      <c r="N7" s="2">
        <f t="shared" si="0"/>
        <v>58.336444805194802</v>
      </c>
      <c r="O7" s="2">
        <f t="shared" si="0"/>
        <v>98.366839671452595</v>
      </c>
      <c r="P7" s="2">
        <f t="shared" si="0"/>
        <v>125.21800681855979</v>
      </c>
      <c r="Q7" s="2">
        <f t="shared" si="0"/>
        <v>153.4438328333483</v>
      </c>
      <c r="S7" s="2" t="s">
        <v>72</v>
      </c>
      <c r="T7">
        <v>48.851298720000003</v>
      </c>
      <c r="U7" s="15">
        <v>38.765909090909091</v>
      </c>
      <c r="V7" s="2">
        <v>38.709382161955695</v>
      </c>
      <c r="W7" s="15">
        <v>43.646154626623378</v>
      </c>
      <c r="X7" s="15">
        <v>96.751396973224686</v>
      </c>
      <c r="Y7" s="15">
        <v>111.98519873607185</v>
      </c>
      <c r="Z7" s="15">
        <v>133.35836616817409</v>
      </c>
    </row>
    <row r="8" spans="1:26" x14ac:dyDescent="0.25">
      <c r="A8" s="1" t="s">
        <v>122</v>
      </c>
      <c r="B8">
        <f>STDEVP(B3:B6)</f>
        <v>0</v>
      </c>
      <c r="C8">
        <f t="shared" ref="C8:Q8" si="1">STDEVP(C3:C6)</f>
        <v>9.0436203876011945</v>
      </c>
      <c r="D8">
        <f t="shared" si="1"/>
        <v>3.53443599843171</v>
      </c>
      <c r="E8">
        <f t="shared" si="1"/>
        <v>7.7523843344155807</v>
      </c>
      <c r="F8">
        <f t="shared" si="1"/>
        <v>11.264998059759407</v>
      </c>
      <c r="G8">
        <f t="shared" si="1"/>
        <v>39.25197488774316</v>
      </c>
      <c r="H8">
        <f t="shared" si="1"/>
        <v>1.5405491627115637</v>
      </c>
      <c r="I8" t="e">
        <f t="shared" si="1"/>
        <v>#DIV/0!</v>
      </c>
      <c r="J8" t="e">
        <f t="shared" si="1"/>
        <v>#DIV/0!</v>
      </c>
      <c r="K8">
        <f t="shared" si="1"/>
        <v>0</v>
      </c>
      <c r="L8">
        <f t="shared" si="1"/>
        <v>2.3951528840449008</v>
      </c>
      <c r="M8">
        <f t="shared" si="1"/>
        <v>3.3547285665480828</v>
      </c>
      <c r="N8">
        <f t="shared" si="1"/>
        <v>5.0102105504014176</v>
      </c>
      <c r="O8">
        <f t="shared" si="1"/>
        <v>2.7276560495686057</v>
      </c>
      <c r="P8">
        <f t="shared" si="1"/>
        <v>4.2604994898266639</v>
      </c>
      <c r="Q8">
        <f t="shared" si="1"/>
        <v>3.4344267500469723</v>
      </c>
      <c r="S8" s="2" t="s">
        <v>46</v>
      </c>
      <c r="T8">
        <v>42.367359999999998</v>
      </c>
      <c r="W8">
        <v>44.633642449516856</v>
      </c>
      <c r="Z8">
        <v>47.333197271560593</v>
      </c>
    </row>
    <row r="10" spans="1:26" x14ac:dyDescent="0.25">
      <c r="A10" s="2" t="s">
        <v>70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2" t="s">
        <v>60</v>
      </c>
      <c r="J10" s="2" t="s">
        <v>71</v>
      </c>
      <c r="K10" s="2" t="s">
        <v>54</v>
      </c>
      <c r="L10" s="2" t="s">
        <v>55</v>
      </c>
      <c r="M10" s="2" t="s">
        <v>56</v>
      </c>
      <c r="N10" s="2" t="s">
        <v>57</v>
      </c>
      <c r="O10" s="2" t="s">
        <v>58</v>
      </c>
      <c r="P10" s="2" t="s">
        <v>59</v>
      </c>
      <c r="Q10" s="2" t="s">
        <v>60</v>
      </c>
    </row>
    <row r="11" spans="1:26" x14ac:dyDescent="0.25">
      <c r="A11" s="2" t="s">
        <v>3</v>
      </c>
      <c r="B11">
        <v>63.612662329999999</v>
      </c>
      <c r="C11">
        <v>25.636715367965369</v>
      </c>
      <c r="D11">
        <v>23.553036669213139</v>
      </c>
      <c r="E11">
        <v>21.553013392857146</v>
      </c>
      <c r="F11">
        <v>33.092756435131292</v>
      </c>
      <c r="G11">
        <v>41.176367869615831</v>
      </c>
      <c r="H11">
        <v>39.643592728575264</v>
      </c>
      <c r="J11" s="2" t="s">
        <v>3</v>
      </c>
      <c r="K11">
        <v>59.771753230000002</v>
      </c>
      <c r="L11">
        <v>26.020463564213564</v>
      </c>
      <c r="M11">
        <v>32.945655080213903</v>
      </c>
      <c r="N11">
        <v>56.783329951298711</v>
      </c>
      <c r="O11">
        <v>44.105659035053677</v>
      </c>
      <c r="P11">
        <v>70.44087809745551</v>
      </c>
      <c r="Q11">
        <v>73.796207575893263</v>
      </c>
    </row>
    <row r="12" spans="1:26" x14ac:dyDescent="0.25">
      <c r="A12" s="2" t="s">
        <v>2</v>
      </c>
      <c r="C12">
        <v>26.951470057720059</v>
      </c>
      <c r="D12">
        <v>23.088512223071049</v>
      </c>
      <c r="E12">
        <v>22.456523944805195</v>
      </c>
      <c r="F12">
        <v>30.090098305523224</v>
      </c>
      <c r="G12">
        <v>38.588433394312332</v>
      </c>
      <c r="H12">
        <v>35.549923882869173</v>
      </c>
      <c r="J12" s="2" t="s">
        <v>2</v>
      </c>
      <c r="L12">
        <v>24.080032467532465</v>
      </c>
      <c r="M12">
        <v>33.024723071046601</v>
      </c>
      <c r="N12">
        <v>58.438666801948052</v>
      </c>
      <c r="O12">
        <v>43.496132453757596</v>
      </c>
      <c r="P12">
        <v>71.432715228116848</v>
      </c>
      <c r="Q12">
        <v>72.857224411211618</v>
      </c>
    </row>
    <row r="13" spans="1:26" x14ac:dyDescent="0.25">
      <c r="A13" s="2" t="s">
        <v>1</v>
      </c>
      <c r="C13">
        <v>25.087788600288597</v>
      </c>
      <c r="D13">
        <v>22.719528265851793</v>
      </c>
      <c r="E13">
        <v>22.318029626623371</v>
      </c>
      <c r="F13">
        <v>35.773884361660855</v>
      </c>
      <c r="G13">
        <v>43.059468374078378</v>
      </c>
      <c r="H13">
        <v>39.349243306169967</v>
      </c>
      <c r="J13" s="2" t="s">
        <v>1</v>
      </c>
      <c r="L13">
        <v>24.450432900432897</v>
      </c>
      <c r="M13">
        <v>37.880815508021392</v>
      </c>
      <c r="O13">
        <v>45.821012805587898</v>
      </c>
      <c r="P13">
        <v>61.595293530683513</v>
      </c>
      <c r="Q13">
        <v>72.502048446315044</v>
      </c>
    </row>
    <row r="14" spans="1:26" x14ac:dyDescent="0.25">
      <c r="A14" s="2" t="s">
        <v>0</v>
      </c>
      <c r="J14" s="2" t="s">
        <v>0</v>
      </c>
      <c r="L14">
        <v>24.024972943722943</v>
      </c>
    </row>
    <row r="15" spans="1:26" x14ac:dyDescent="0.25">
      <c r="A15" s="1" t="s">
        <v>120</v>
      </c>
      <c r="B15" s="2">
        <f>AVERAGE(B11:B14)</f>
        <v>63.612662329999999</v>
      </c>
      <c r="C15" s="2">
        <f t="shared" ref="C15:Q15" si="2">AVERAGE(C11:C14)</f>
        <v>25.891991341991343</v>
      </c>
      <c r="D15" s="2">
        <f t="shared" si="2"/>
        <v>23.120359052711994</v>
      </c>
      <c r="E15" s="2">
        <f t="shared" si="2"/>
        <v>22.109188988095237</v>
      </c>
      <c r="F15" s="2">
        <f t="shared" si="2"/>
        <v>32.985579700771787</v>
      </c>
      <c r="G15" s="2">
        <f t="shared" si="2"/>
        <v>40.941423212668845</v>
      </c>
      <c r="H15" s="2">
        <f t="shared" si="2"/>
        <v>38.180919972538135</v>
      </c>
      <c r="I15" s="2" t="e">
        <f t="shared" si="2"/>
        <v>#DIV/0!</v>
      </c>
      <c r="J15" s="2" t="e">
        <f t="shared" si="2"/>
        <v>#DIV/0!</v>
      </c>
      <c r="K15" s="2">
        <f t="shared" si="2"/>
        <v>59.771753230000002</v>
      </c>
      <c r="L15" s="2">
        <f t="shared" si="2"/>
        <v>24.643975468975469</v>
      </c>
      <c r="M15" s="2">
        <f t="shared" si="2"/>
        <v>34.617064553093968</v>
      </c>
      <c r="N15" s="2">
        <f t="shared" si="2"/>
        <v>57.610998376623385</v>
      </c>
      <c r="O15" s="2">
        <f t="shared" si="2"/>
        <v>44.474268098133052</v>
      </c>
      <c r="P15" s="2">
        <f t="shared" si="2"/>
        <v>67.822962285418626</v>
      </c>
      <c r="Q15" s="2">
        <f t="shared" si="2"/>
        <v>73.051826811139975</v>
      </c>
    </row>
    <row r="16" spans="1:26" x14ac:dyDescent="0.25">
      <c r="A16" s="1" t="s">
        <v>122</v>
      </c>
      <c r="B16">
        <f>STDEVP(B11:B14)</f>
        <v>0</v>
      </c>
      <c r="C16">
        <f t="shared" ref="C16:Q16" si="3">STDEVP(C11:C14)</f>
        <v>0.78196398505286913</v>
      </c>
      <c r="D16">
        <f t="shared" si="3"/>
        <v>0.34102270700265658</v>
      </c>
      <c r="E16">
        <f t="shared" si="3"/>
        <v>0.39731904778233823</v>
      </c>
      <c r="F16">
        <f t="shared" si="3"/>
        <v>2.3216332070731465</v>
      </c>
      <c r="G16">
        <f t="shared" si="3"/>
        <v>1.8328370888586623</v>
      </c>
      <c r="H16">
        <f t="shared" si="3"/>
        <v>1.8642721034419141</v>
      </c>
      <c r="I16" t="e">
        <f t="shared" si="3"/>
        <v>#DIV/0!</v>
      </c>
      <c r="J16" t="e">
        <f t="shared" si="3"/>
        <v>#DIV/0!</v>
      </c>
      <c r="K16">
        <f t="shared" si="3"/>
        <v>0</v>
      </c>
      <c r="L16">
        <f t="shared" si="3"/>
        <v>0.81138370043337127</v>
      </c>
      <c r="M16">
        <f t="shared" si="3"/>
        <v>2.3080461662967728</v>
      </c>
      <c r="N16">
        <f t="shared" si="3"/>
        <v>0.82766842532467066</v>
      </c>
      <c r="O16">
        <f t="shared" si="3"/>
        <v>0.98426678077976437</v>
      </c>
      <c r="P16">
        <f t="shared" si="3"/>
        <v>4.4222037351278161</v>
      </c>
      <c r="Q16">
        <f t="shared" si="3"/>
        <v>0.54596369458726857</v>
      </c>
      <c r="S16">
        <v>0</v>
      </c>
    </row>
    <row r="18" spans="1:25" x14ac:dyDescent="0.25">
      <c r="A18" s="2" t="s">
        <v>72</v>
      </c>
      <c r="B18" s="2" t="s">
        <v>54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2" t="s">
        <v>60</v>
      </c>
      <c r="J18" s="2" t="s">
        <v>40</v>
      </c>
      <c r="K18" s="2" t="s">
        <v>54</v>
      </c>
      <c r="L18" s="2" t="s">
        <v>55</v>
      </c>
      <c r="M18" s="2" t="s">
        <v>56</v>
      </c>
      <c r="N18" s="2" t="s">
        <v>57</v>
      </c>
      <c r="O18" s="2" t="s">
        <v>58</v>
      </c>
      <c r="P18" s="2" t="s">
        <v>59</v>
      </c>
      <c r="Q18" s="2" t="s">
        <v>60</v>
      </c>
    </row>
    <row r="19" spans="1:25" x14ac:dyDescent="0.25">
      <c r="A19" s="2" t="s">
        <v>3</v>
      </c>
      <c r="B19">
        <v>48.851298720000003</v>
      </c>
      <c r="C19">
        <v>38.126884920634929</v>
      </c>
      <c r="D19">
        <v>40.351690221543159</v>
      </c>
      <c r="E19">
        <v>42.083147321428569</v>
      </c>
      <c r="F19">
        <v>91.837310826542506</v>
      </c>
      <c r="G19">
        <v>109.48230223404845</v>
      </c>
      <c r="H19">
        <v>126.67765514462255</v>
      </c>
      <c r="J19" s="2" t="s">
        <v>3</v>
      </c>
      <c r="K19">
        <v>52.959200000000003</v>
      </c>
      <c r="N19">
        <v>59.424138498682339</v>
      </c>
      <c r="Q19">
        <v>56.489071047477246</v>
      </c>
    </row>
    <row r="20" spans="1:25" x14ac:dyDescent="0.25">
      <c r="A20" s="2" t="s">
        <v>2</v>
      </c>
      <c r="C20">
        <v>40.846491702741709</v>
      </c>
      <c r="D20">
        <v>40.96446715049656</v>
      </c>
      <c r="E20">
        <v>44.147372159090914</v>
      </c>
      <c r="F20">
        <v>97.210218600439788</v>
      </c>
      <c r="G20">
        <v>112.88872720217309</v>
      </c>
      <c r="H20">
        <v>135.71082206501299</v>
      </c>
      <c r="J20" s="2" t="s">
        <v>2</v>
      </c>
      <c r="N20">
        <v>52.159967625109807</v>
      </c>
      <c r="Q20">
        <v>61.843922131424236</v>
      </c>
    </row>
    <row r="21" spans="1:25" x14ac:dyDescent="0.25">
      <c r="A21" s="2" t="s">
        <v>1</v>
      </c>
      <c r="C21">
        <v>43.589457070707077</v>
      </c>
      <c r="D21">
        <v>37.683145530939655</v>
      </c>
      <c r="F21">
        <v>96.037718277066361</v>
      </c>
      <c r="G21">
        <v>112.77670602583292</v>
      </c>
      <c r="H21">
        <v>134.16251007432615</v>
      </c>
      <c r="J21" s="2" t="s">
        <v>1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</row>
    <row r="22" spans="1:25" x14ac:dyDescent="0.25">
      <c r="A22" s="2" t="s">
        <v>0</v>
      </c>
      <c r="C22">
        <v>32.500802669552669</v>
      </c>
      <c r="D22">
        <v>35.838225744843399</v>
      </c>
      <c r="E22">
        <v>44.707944399350652</v>
      </c>
      <c r="F22">
        <v>101.92034018885009</v>
      </c>
      <c r="G22">
        <v>112.79305948223293</v>
      </c>
      <c r="H22">
        <v>136.88247738873469</v>
      </c>
      <c r="J22" s="2" t="s">
        <v>0</v>
      </c>
    </row>
    <row r="23" spans="1:25" x14ac:dyDescent="0.25">
      <c r="A23" s="1" t="s">
        <v>120</v>
      </c>
      <c r="B23" s="2">
        <f>AVERAGE(B19:B22)</f>
        <v>48.851298720000003</v>
      </c>
      <c r="C23" s="2">
        <f t="shared" ref="C23:Q23" si="4">AVERAGE(C19:C22)</f>
        <v>38.765909090909091</v>
      </c>
      <c r="D23" s="2">
        <f t="shared" si="4"/>
        <v>38.709382161955695</v>
      </c>
      <c r="E23" s="2">
        <f t="shared" si="4"/>
        <v>43.646154626623378</v>
      </c>
      <c r="F23" s="2">
        <f t="shared" si="4"/>
        <v>96.751396973224686</v>
      </c>
      <c r="G23" s="2">
        <f t="shared" si="4"/>
        <v>111.98519873607185</v>
      </c>
      <c r="H23" s="2">
        <f t="shared" si="4"/>
        <v>133.35836616817409</v>
      </c>
      <c r="I23" s="2" t="e">
        <f t="shared" si="4"/>
        <v>#DIV/0!</v>
      </c>
      <c r="J23" s="2" t="e">
        <f t="shared" si="4"/>
        <v>#DIV/0!</v>
      </c>
      <c r="K23" s="2">
        <f t="shared" si="4"/>
        <v>52.959200000000003</v>
      </c>
      <c r="L23" s="2" t="e">
        <f t="shared" si="4"/>
        <v>#DIV/0!</v>
      </c>
      <c r="M23" s="2" t="e">
        <f t="shared" si="4"/>
        <v>#DIV/0!</v>
      </c>
      <c r="N23" s="2">
        <f t="shared" si="4"/>
        <v>55.79205306189607</v>
      </c>
      <c r="O23" s="2" t="e">
        <f t="shared" si="4"/>
        <v>#DIV/0!</v>
      </c>
      <c r="P23" s="2" t="e">
        <f t="shared" si="4"/>
        <v>#DIV/0!</v>
      </c>
      <c r="Q23" s="2">
        <f t="shared" si="4"/>
        <v>59.166496589450745</v>
      </c>
    </row>
    <row r="24" spans="1:25" x14ac:dyDescent="0.25">
      <c r="A24" s="1" t="s">
        <v>122</v>
      </c>
      <c r="B24">
        <f>STDEVP(B19:B22)</f>
        <v>0</v>
      </c>
      <c r="C24">
        <f t="shared" ref="C24:Q24" si="5">STDEVP(C19:C22)</f>
        <v>4.1004679452225616</v>
      </c>
      <c r="D24">
        <f t="shared" si="5"/>
        <v>2.0663545716123215</v>
      </c>
      <c r="E24">
        <f t="shared" si="5"/>
        <v>1.1286582553949354</v>
      </c>
      <c r="F24">
        <f t="shared" si="5"/>
        <v>3.5911722038327603</v>
      </c>
      <c r="G24">
        <f t="shared" si="5"/>
        <v>1.4456812722579189</v>
      </c>
      <c r="H24">
        <f t="shared" si="5"/>
        <v>3.9759261764857312</v>
      </c>
      <c r="I24" t="e">
        <f t="shared" si="5"/>
        <v>#DIV/0!</v>
      </c>
      <c r="J24" t="e">
        <f t="shared" si="5"/>
        <v>#DIV/0!</v>
      </c>
      <c r="K24">
        <f t="shared" si="5"/>
        <v>0</v>
      </c>
      <c r="L24" t="e">
        <f t="shared" si="5"/>
        <v>#DIV/0!</v>
      </c>
      <c r="M24" t="e">
        <f t="shared" si="5"/>
        <v>#DIV/0!</v>
      </c>
      <c r="N24">
        <f t="shared" si="5"/>
        <v>3.6320854367862654</v>
      </c>
      <c r="O24" t="e">
        <f t="shared" si="5"/>
        <v>#DIV/0!</v>
      </c>
      <c r="P24" t="e">
        <f t="shared" si="5"/>
        <v>#DIV/0!</v>
      </c>
      <c r="Q24">
        <f t="shared" si="5"/>
        <v>2.6774255419734949</v>
      </c>
    </row>
    <row r="26" spans="1:25" x14ac:dyDescent="0.25">
      <c r="J26" s="1" t="s">
        <v>122</v>
      </c>
      <c r="K26">
        <v>0</v>
      </c>
      <c r="L26">
        <v>2</v>
      </c>
      <c r="M26">
        <v>4</v>
      </c>
      <c r="N26">
        <v>7</v>
      </c>
      <c r="O26">
        <v>10</v>
      </c>
      <c r="P26">
        <v>15</v>
      </c>
      <c r="Q26">
        <v>21</v>
      </c>
    </row>
    <row r="27" spans="1:25" x14ac:dyDescent="0.25">
      <c r="J27" s="2" t="s">
        <v>67</v>
      </c>
      <c r="K27">
        <v>0</v>
      </c>
      <c r="L27">
        <v>9.0436203876011945</v>
      </c>
      <c r="M27">
        <v>3.53443599843171</v>
      </c>
      <c r="N27">
        <v>7.7523843344155807</v>
      </c>
      <c r="O27">
        <v>11.264998059759407</v>
      </c>
      <c r="P27">
        <v>39.25197488774316</v>
      </c>
      <c r="Q27">
        <v>1.5405491627115637</v>
      </c>
    </row>
    <row r="28" spans="1:25" x14ac:dyDescent="0.25">
      <c r="J28" s="2" t="s">
        <v>69</v>
      </c>
      <c r="K28">
        <v>0</v>
      </c>
      <c r="L28">
        <v>2.3951528840449008</v>
      </c>
      <c r="M28">
        <v>3.3547285665480828</v>
      </c>
      <c r="N28">
        <v>5.0102105504014176</v>
      </c>
      <c r="O28">
        <v>2.7276560495686057</v>
      </c>
      <c r="P28">
        <v>4.2604994898266639</v>
      </c>
      <c r="Q28">
        <v>3.4344267500469723</v>
      </c>
    </row>
    <row r="29" spans="1:25" x14ac:dyDescent="0.25">
      <c r="J29" s="2" t="s">
        <v>70</v>
      </c>
      <c r="K29">
        <v>0</v>
      </c>
      <c r="L29">
        <v>0.78196398505286913</v>
      </c>
      <c r="M29">
        <v>0.34102270700265658</v>
      </c>
      <c r="N29">
        <v>0.39731904778233823</v>
      </c>
      <c r="O29">
        <v>2.3216332070731465</v>
      </c>
      <c r="P29">
        <v>1.8328370888586623</v>
      </c>
      <c r="Q29">
        <v>1.8642721034419141</v>
      </c>
    </row>
    <row r="30" spans="1:25" x14ac:dyDescent="0.25">
      <c r="J30" s="2" t="s">
        <v>71</v>
      </c>
      <c r="K30">
        <v>0</v>
      </c>
      <c r="L30">
        <v>0.81138370043337127</v>
      </c>
      <c r="M30">
        <v>2.3080461662967728</v>
      </c>
      <c r="N30">
        <v>0.82766842532467066</v>
      </c>
      <c r="O30">
        <v>0.98426678077976437</v>
      </c>
      <c r="P30">
        <v>4.4222037351278161</v>
      </c>
      <c r="Q30">
        <v>0.54596369458726857</v>
      </c>
    </row>
    <row r="31" spans="1:25" x14ac:dyDescent="0.25">
      <c r="J31" s="2" t="s">
        <v>72</v>
      </c>
      <c r="K31" s="2">
        <v>0</v>
      </c>
      <c r="L31" s="2">
        <v>4.1004679452225616</v>
      </c>
      <c r="M31" s="2">
        <v>2.0663545716123215</v>
      </c>
      <c r="N31" s="2">
        <v>1.1286582553949354</v>
      </c>
      <c r="O31" s="2">
        <v>3.5911722038327603</v>
      </c>
      <c r="P31" s="2">
        <v>1.4456812722579189</v>
      </c>
      <c r="Q31" s="2">
        <v>3.9759261764857312</v>
      </c>
    </row>
    <row r="32" spans="1:25" x14ac:dyDescent="0.25">
      <c r="K32">
        <v>0</v>
      </c>
      <c r="N32">
        <v>2.905668349429011</v>
      </c>
      <c r="Q32">
        <v>2.1419404335787959</v>
      </c>
    </row>
    <row r="35" spans="1:19" x14ac:dyDescent="0.25">
      <c r="A35" t="s">
        <v>92</v>
      </c>
    </row>
    <row r="37" spans="1:19" x14ac:dyDescent="0.25">
      <c r="A37" s="1" t="s">
        <v>120</v>
      </c>
      <c r="B37" s="2" t="s">
        <v>67</v>
      </c>
      <c r="D37" s="2" t="s">
        <v>69</v>
      </c>
      <c r="F37" s="2" t="s">
        <v>70</v>
      </c>
      <c r="H37" s="2" t="s">
        <v>71</v>
      </c>
      <c r="J37" s="2" t="s">
        <v>72</v>
      </c>
      <c r="L37" s="2" t="s">
        <v>46</v>
      </c>
      <c r="N37" s="1"/>
      <c r="O37" s="2"/>
      <c r="P37" s="2"/>
      <c r="Q37" s="2"/>
      <c r="R37" s="2"/>
      <c r="S37" s="2"/>
    </row>
    <row r="38" spans="1:19" x14ac:dyDescent="0.25">
      <c r="A38">
        <v>0</v>
      </c>
      <c r="B38">
        <v>68.361038969999996</v>
      </c>
      <c r="C38">
        <v>0</v>
      </c>
      <c r="D38">
        <v>53.948701310000004</v>
      </c>
      <c r="E38">
        <v>0</v>
      </c>
      <c r="F38">
        <v>63.612662329999999</v>
      </c>
      <c r="G38">
        <v>0</v>
      </c>
      <c r="H38">
        <v>59.771753230000002</v>
      </c>
      <c r="I38">
        <v>0</v>
      </c>
      <c r="J38">
        <v>48.851298720000003</v>
      </c>
      <c r="K38" s="2">
        <v>0</v>
      </c>
      <c r="L38">
        <v>42.367359999999998</v>
      </c>
      <c r="M38">
        <v>0</v>
      </c>
      <c r="S38" s="2"/>
    </row>
    <row r="39" spans="1:19" x14ac:dyDescent="0.25">
      <c r="A39">
        <v>2</v>
      </c>
      <c r="B39" s="15">
        <v>126.35671296296294</v>
      </c>
      <c r="C39">
        <v>9.0436203876011945</v>
      </c>
      <c r="D39" s="15">
        <v>47.706824945887448</v>
      </c>
      <c r="E39">
        <v>2.3951528840449008</v>
      </c>
      <c r="F39" s="15">
        <v>25.891991341991343</v>
      </c>
      <c r="G39">
        <v>0.78196398505286913</v>
      </c>
      <c r="H39" s="15">
        <v>24.643975468975469</v>
      </c>
      <c r="I39">
        <v>0.81138370043337127</v>
      </c>
      <c r="J39" s="15">
        <v>38.765909090909091</v>
      </c>
      <c r="K39" s="2">
        <v>4.1004679452225616</v>
      </c>
      <c r="S39" s="2"/>
    </row>
    <row r="40" spans="1:19" x14ac:dyDescent="0.25">
      <c r="A40">
        <v>4</v>
      </c>
      <c r="B40">
        <v>183.60531894576013</v>
      </c>
      <c r="C40">
        <v>3.53443599843171</v>
      </c>
      <c r="D40">
        <v>56.736334988540875</v>
      </c>
      <c r="E40">
        <v>3.3547285665480828</v>
      </c>
      <c r="F40">
        <v>23.120359052711994</v>
      </c>
      <c r="G40">
        <v>0.34102270700265658</v>
      </c>
      <c r="H40">
        <v>34.617064553093968</v>
      </c>
      <c r="I40">
        <v>2.3080461662967728</v>
      </c>
      <c r="J40" s="2">
        <v>38.709382161955695</v>
      </c>
      <c r="K40" s="2">
        <v>2.0663545716123215</v>
      </c>
      <c r="S40" s="2"/>
    </row>
    <row r="41" spans="1:19" x14ac:dyDescent="0.25">
      <c r="A41">
        <v>7</v>
      </c>
      <c r="B41" s="15">
        <v>178.2263595779221</v>
      </c>
      <c r="C41">
        <v>7.7523843344155807</v>
      </c>
      <c r="D41" s="15">
        <v>58.336444805194802</v>
      </c>
      <c r="E41">
        <v>5.0102105504014176</v>
      </c>
      <c r="F41" s="15">
        <v>22.109188988095237</v>
      </c>
      <c r="G41">
        <v>0.39731904778233823</v>
      </c>
      <c r="H41" s="15">
        <v>57.610998376623385</v>
      </c>
      <c r="I41">
        <v>0.82766842532467066</v>
      </c>
      <c r="J41" s="15">
        <v>43.646154626623378</v>
      </c>
      <c r="K41" s="2">
        <v>1.1286582553949354</v>
      </c>
      <c r="L41">
        <v>44.633642449516856</v>
      </c>
      <c r="M41">
        <v>2.905668349429011</v>
      </c>
      <c r="S41" s="2"/>
    </row>
    <row r="42" spans="1:19" x14ac:dyDescent="0.25">
      <c r="A42">
        <v>10</v>
      </c>
      <c r="B42" s="15">
        <v>247.77590867934293</v>
      </c>
      <c r="C42">
        <v>11.264998059759407</v>
      </c>
      <c r="D42" s="15">
        <v>98.366839671452595</v>
      </c>
      <c r="E42">
        <v>2.7276560495686057</v>
      </c>
      <c r="F42" s="15">
        <v>32.985579700771787</v>
      </c>
      <c r="G42">
        <v>2.3216332070731465</v>
      </c>
      <c r="H42" s="15">
        <v>44.474268098133052</v>
      </c>
      <c r="I42">
        <v>0.98426678077976437</v>
      </c>
      <c r="J42" s="15">
        <v>96.751396973224686</v>
      </c>
      <c r="K42" s="2">
        <v>3.5911722038327603</v>
      </c>
      <c r="S42" s="2"/>
    </row>
    <row r="43" spans="1:19" x14ac:dyDescent="0.25">
      <c r="A43">
        <v>15</v>
      </c>
      <c r="B43" s="15">
        <v>165.73778341371474</v>
      </c>
      <c r="C43">
        <v>39.25197488774316</v>
      </c>
      <c r="D43" s="15">
        <v>125.21800681855979</v>
      </c>
      <c r="E43">
        <v>4.2604994898266639</v>
      </c>
      <c r="F43" s="15">
        <v>40.941423212668845</v>
      </c>
      <c r="G43">
        <v>1.8328370888586623</v>
      </c>
      <c r="H43" s="15">
        <v>67.822962285418626</v>
      </c>
      <c r="I43">
        <v>4.4222037351278161</v>
      </c>
      <c r="J43" s="15">
        <v>111.98519873607185</v>
      </c>
      <c r="K43" s="2">
        <v>1.4456812722579189</v>
      </c>
      <c r="S43" s="2"/>
    </row>
    <row r="44" spans="1:19" x14ac:dyDescent="0.25">
      <c r="A44">
        <v>21</v>
      </c>
      <c r="B44" s="15">
        <v>112.48220762066805</v>
      </c>
      <c r="C44">
        <v>1.5405491627115637</v>
      </c>
      <c r="D44" s="15">
        <v>153.4438328333483</v>
      </c>
      <c r="E44">
        <v>3.4344267500469723</v>
      </c>
      <c r="F44" s="15">
        <v>38.180919972538135</v>
      </c>
      <c r="G44">
        <v>1.8642721034419141</v>
      </c>
      <c r="H44" s="15">
        <v>73.051826811139975</v>
      </c>
      <c r="I44">
        <v>0.54596369458726857</v>
      </c>
      <c r="J44" s="15">
        <v>133.35836616817409</v>
      </c>
      <c r="K44" s="2">
        <v>3.9759261764857312</v>
      </c>
      <c r="L44">
        <v>47.333197271560593</v>
      </c>
      <c r="M44">
        <v>2.1419404335787959</v>
      </c>
      <c r="S44" s="2"/>
    </row>
  </sheetData>
  <phoneticPr fontId="1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33D58-30C6-477A-A0EE-1789A612330C}">
  <dimension ref="A1:Z54"/>
  <sheetViews>
    <sheetView zoomScale="80" zoomScaleNormal="80" workbookViewId="0"/>
  </sheetViews>
  <sheetFormatPr defaultRowHeight="13.8" x14ac:dyDescent="0.25"/>
  <sheetData>
    <row r="1" spans="1:26" x14ac:dyDescent="0.25">
      <c r="A1" s="1" t="s">
        <v>137</v>
      </c>
    </row>
    <row r="2" spans="1:26" x14ac:dyDescent="0.25">
      <c r="A2" s="2" t="s">
        <v>67</v>
      </c>
      <c r="B2" s="2" t="s">
        <v>54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2" t="s">
        <v>60</v>
      </c>
      <c r="J2" s="2" t="s">
        <v>69</v>
      </c>
      <c r="K2" s="2" t="s">
        <v>54</v>
      </c>
      <c r="L2" s="2" t="s">
        <v>55</v>
      </c>
      <c r="M2" s="2" t="s">
        <v>56</v>
      </c>
      <c r="N2" s="2" t="s">
        <v>57</v>
      </c>
      <c r="O2" s="2" t="s">
        <v>58</v>
      </c>
      <c r="P2" s="2" t="s">
        <v>59</v>
      </c>
      <c r="Q2" s="2" t="s">
        <v>60</v>
      </c>
      <c r="S2" s="1" t="s">
        <v>120</v>
      </c>
      <c r="T2">
        <v>0</v>
      </c>
      <c r="U2">
        <v>2</v>
      </c>
      <c r="V2">
        <v>4</v>
      </c>
      <c r="W2">
        <v>7</v>
      </c>
      <c r="X2">
        <v>10</v>
      </c>
      <c r="Y2">
        <v>15</v>
      </c>
      <c r="Z2">
        <v>21</v>
      </c>
    </row>
    <row r="3" spans="1:26" x14ac:dyDescent="0.25">
      <c r="A3" s="2" t="s">
        <v>3</v>
      </c>
      <c r="B3">
        <v>219.92047392000001</v>
      </c>
      <c r="C3">
        <v>275.03343091432737</v>
      </c>
      <c r="D3">
        <v>229.38587710725128</v>
      </c>
      <c r="E3">
        <v>269.18794281265838</v>
      </c>
      <c r="F3">
        <v>256.84632240927334</v>
      </c>
      <c r="G3">
        <v>379.30761992003374</v>
      </c>
      <c r="H3">
        <v>381.69910618683724</v>
      </c>
      <c r="J3" s="2" t="s">
        <v>3</v>
      </c>
      <c r="K3">
        <v>197.99829657999999</v>
      </c>
      <c r="L3">
        <v>265.13702570619375</v>
      </c>
      <c r="M3">
        <v>133.40843807846647</v>
      </c>
      <c r="N3">
        <v>208.58033275392063</v>
      </c>
      <c r="O3">
        <v>260.97254385346884</v>
      </c>
      <c r="P3">
        <v>356.32765056600374</v>
      </c>
      <c r="Q3">
        <v>369.40970397952293</v>
      </c>
      <c r="S3" s="2" t="s">
        <v>67</v>
      </c>
      <c r="T3" s="2">
        <v>219.92047392000001</v>
      </c>
      <c r="U3" s="2">
        <v>278.17052676206271</v>
      </c>
      <c r="V3" s="2">
        <v>176.92259649702962</v>
      </c>
      <c r="W3" s="2">
        <v>291.07893825007261</v>
      </c>
      <c r="X3" s="2">
        <v>267.79247630748756</v>
      </c>
      <c r="Y3" s="2">
        <v>376.46962659506482</v>
      </c>
      <c r="Z3" s="2">
        <v>391.1702754954257</v>
      </c>
    </row>
    <row r="4" spans="1:26" x14ac:dyDescent="0.25">
      <c r="A4" s="2" t="s">
        <v>2</v>
      </c>
      <c r="J4" s="2" t="s">
        <v>2</v>
      </c>
      <c r="L4">
        <v>261.45535565838287</v>
      </c>
      <c r="N4">
        <v>136.58204212534119</v>
      </c>
      <c r="O4">
        <v>299.92783685421421</v>
      </c>
      <c r="P4">
        <v>425.47821776576069</v>
      </c>
      <c r="Q4">
        <v>238.87963909991916</v>
      </c>
      <c r="S4" s="2" t="s">
        <v>69</v>
      </c>
      <c r="T4" s="15">
        <v>197.99829657999999</v>
      </c>
      <c r="U4" s="2">
        <v>261.10576581029216</v>
      </c>
      <c r="V4" s="2">
        <v>136.24594537178231</v>
      </c>
      <c r="W4" s="2">
        <v>186.44349787799962</v>
      </c>
      <c r="X4" s="2">
        <v>295.32378631625591</v>
      </c>
      <c r="Y4" s="2">
        <v>351.34963694790201</v>
      </c>
      <c r="Z4" s="2">
        <v>351.55110191035408</v>
      </c>
    </row>
    <row r="5" spans="1:26" x14ac:dyDescent="0.25">
      <c r="A5" s="2" t="s">
        <v>1</v>
      </c>
      <c r="C5">
        <v>284.31762865712852</v>
      </c>
      <c r="D5">
        <v>159.86208439614236</v>
      </c>
      <c r="E5">
        <v>312.96993368748679</v>
      </c>
      <c r="F5">
        <v>278.73863020570178</v>
      </c>
      <c r="G5">
        <v>373.63163327009596</v>
      </c>
      <c r="H5">
        <v>400.64144480401421</v>
      </c>
      <c r="J5" s="2" t="s">
        <v>1</v>
      </c>
      <c r="L5">
        <v>273.93614074946794</v>
      </c>
      <c r="M5">
        <v>133.49287504839583</v>
      </c>
      <c r="N5">
        <v>118.47349531275825</v>
      </c>
      <c r="O5">
        <v>300.81023902537567</v>
      </c>
      <c r="P5">
        <v>275.82725229737088</v>
      </c>
      <c r="Q5">
        <v>423.9443003220797</v>
      </c>
      <c r="S5" s="2" t="s">
        <v>70</v>
      </c>
      <c r="T5" s="15">
        <v>243.26292697</v>
      </c>
      <c r="U5">
        <v>313.92919163299763</v>
      </c>
      <c r="V5">
        <v>213.81251522135048</v>
      </c>
      <c r="W5">
        <v>256.64414525938173</v>
      </c>
      <c r="X5">
        <v>322.061733732064</v>
      </c>
      <c r="Y5">
        <v>451.28407722631272</v>
      </c>
      <c r="Z5">
        <v>503.91448692960279</v>
      </c>
    </row>
    <row r="6" spans="1:26" x14ac:dyDescent="0.25">
      <c r="A6" s="2" t="s">
        <v>0</v>
      </c>
      <c r="C6">
        <v>275.16052071473217</v>
      </c>
      <c r="D6">
        <v>141.51982798769521</v>
      </c>
      <c r="J6" s="2" t="s">
        <v>0</v>
      </c>
      <c r="L6">
        <v>243.89454112712411</v>
      </c>
      <c r="M6">
        <v>141.83652298848457</v>
      </c>
      <c r="N6">
        <v>282.13812131997832</v>
      </c>
      <c r="O6">
        <v>319.58452553196491</v>
      </c>
      <c r="P6">
        <v>347.76542716247275</v>
      </c>
      <c r="Q6">
        <v>373.97076423989432</v>
      </c>
      <c r="S6" s="2" t="s">
        <v>71</v>
      </c>
      <c r="T6" s="15">
        <v>256.36097522</v>
      </c>
      <c r="U6">
        <v>214.34132316346569</v>
      </c>
      <c r="V6">
        <v>148.75209085562503</v>
      </c>
      <c r="W6">
        <v>266.60390344435075</v>
      </c>
      <c r="X6">
        <v>212.1562308775766</v>
      </c>
      <c r="Y6">
        <v>261.64205088402827</v>
      </c>
      <c r="Z6">
        <v>441.77909656969342</v>
      </c>
    </row>
    <row r="7" spans="1:26" x14ac:dyDescent="0.25">
      <c r="A7" s="1" t="s">
        <v>120</v>
      </c>
      <c r="B7" s="2">
        <f>AVERAGE(B3:B6)</f>
        <v>219.92047392000001</v>
      </c>
      <c r="C7" s="2">
        <f t="shared" ref="C7:Q7" si="0">AVERAGE(C3:C6)</f>
        <v>278.17052676206271</v>
      </c>
      <c r="D7" s="2">
        <f t="shared" si="0"/>
        <v>176.92259649702962</v>
      </c>
      <c r="E7" s="2">
        <f t="shared" si="0"/>
        <v>291.07893825007261</v>
      </c>
      <c r="F7" s="2">
        <f t="shared" si="0"/>
        <v>267.79247630748756</v>
      </c>
      <c r="G7" s="2">
        <f t="shared" si="0"/>
        <v>376.46962659506482</v>
      </c>
      <c r="H7" s="2">
        <f t="shared" si="0"/>
        <v>391.1702754954257</v>
      </c>
      <c r="I7" s="2" t="e">
        <f t="shared" si="0"/>
        <v>#DIV/0!</v>
      </c>
      <c r="J7" s="2" t="e">
        <f t="shared" si="0"/>
        <v>#DIV/0!</v>
      </c>
      <c r="K7" s="2">
        <f t="shared" si="0"/>
        <v>197.99829657999999</v>
      </c>
      <c r="L7" s="2">
        <f t="shared" si="0"/>
        <v>261.10576581029216</v>
      </c>
      <c r="M7" s="2">
        <f t="shared" si="0"/>
        <v>136.24594537178231</v>
      </c>
      <c r="N7" s="2">
        <f t="shared" si="0"/>
        <v>186.44349787799962</v>
      </c>
      <c r="O7" s="2">
        <f t="shared" si="0"/>
        <v>295.32378631625591</v>
      </c>
      <c r="P7" s="2">
        <f t="shared" si="0"/>
        <v>351.34963694790201</v>
      </c>
      <c r="Q7" s="2">
        <f t="shared" si="0"/>
        <v>351.55110191035408</v>
      </c>
      <c r="S7" s="2" t="s">
        <v>72</v>
      </c>
      <c r="T7" s="15">
        <v>269.97576921000001</v>
      </c>
      <c r="U7" s="2">
        <v>209.07783732564786</v>
      </c>
      <c r="V7" s="2">
        <v>172.16146387474771</v>
      </c>
      <c r="W7" s="2">
        <v>174.73387987458187</v>
      </c>
      <c r="X7" s="2">
        <v>263.11231900570414</v>
      </c>
      <c r="Y7" s="2">
        <v>281.65992637367356</v>
      </c>
      <c r="Z7" s="2">
        <v>427.9028265551886</v>
      </c>
    </row>
    <row r="8" spans="1:26" x14ac:dyDescent="0.25">
      <c r="A8" s="1" t="s">
        <v>122</v>
      </c>
      <c r="B8">
        <f>STDEVP(B3:B6)</f>
        <v>0</v>
      </c>
      <c r="C8">
        <f t="shared" ref="C8:Q8" si="1">STDEVP(C3:C6)</f>
        <v>4.3469670833492806</v>
      </c>
      <c r="D8">
        <f t="shared" si="1"/>
        <v>37.845355961936001</v>
      </c>
      <c r="E8">
        <f t="shared" si="1"/>
        <v>21.890995437414205</v>
      </c>
      <c r="F8">
        <f t="shared" si="1"/>
        <v>10.94615389821422</v>
      </c>
      <c r="G8">
        <f t="shared" si="1"/>
        <v>2.8379933249688918</v>
      </c>
      <c r="H8">
        <f t="shared" si="1"/>
        <v>9.471169308588486</v>
      </c>
      <c r="I8" t="e">
        <f t="shared" si="1"/>
        <v>#DIV/0!</v>
      </c>
      <c r="J8" t="e">
        <f t="shared" si="1"/>
        <v>#DIV/0!</v>
      </c>
      <c r="K8">
        <f t="shared" si="1"/>
        <v>0</v>
      </c>
      <c r="L8">
        <f t="shared" si="1"/>
        <v>10.92266045412604</v>
      </c>
      <c r="M8">
        <f t="shared" si="1"/>
        <v>3.9532856349077647</v>
      </c>
      <c r="N8">
        <f t="shared" si="1"/>
        <v>64.717822955734349</v>
      </c>
      <c r="O8">
        <f t="shared" si="1"/>
        <v>21.330083044349056</v>
      </c>
      <c r="P8">
        <f t="shared" si="1"/>
        <v>53.000717581794611</v>
      </c>
      <c r="Q8">
        <f t="shared" si="1"/>
        <v>68.478472228427393</v>
      </c>
      <c r="S8" s="2" t="s">
        <v>46</v>
      </c>
      <c r="T8" s="2">
        <v>224.93551465000002</v>
      </c>
      <c r="W8">
        <v>214.32125356672535</v>
      </c>
      <c r="Z8">
        <v>214.95919531302798</v>
      </c>
    </row>
    <row r="10" spans="1:26" x14ac:dyDescent="0.25">
      <c r="A10" s="2" t="s">
        <v>70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2" t="s">
        <v>60</v>
      </c>
      <c r="J10" s="2" t="s">
        <v>71</v>
      </c>
      <c r="K10" s="2" t="s">
        <v>54</v>
      </c>
      <c r="L10" s="2" t="s">
        <v>55</v>
      </c>
      <c r="M10" s="2" t="s">
        <v>56</v>
      </c>
      <c r="N10" s="2" t="s">
        <v>57</v>
      </c>
      <c r="O10" s="2" t="s">
        <v>58</v>
      </c>
      <c r="P10" s="2" t="s">
        <v>59</v>
      </c>
      <c r="Q10" s="2" t="s">
        <v>60</v>
      </c>
    </row>
    <row r="11" spans="1:26" x14ac:dyDescent="0.25">
      <c r="A11" s="2" t="s">
        <v>3</v>
      </c>
      <c r="B11">
        <v>243.26292697</v>
      </c>
      <c r="C11">
        <v>307.46152918373849</v>
      </c>
      <c r="D11">
        <v>210.48542803408813</v>
      </c>
      <c r="E11">
        <v>236.27311594018371</v>
      </c>
      <c r="F11">
        <v>305.08674488181344</v>
      </c>
      <c r="G11">
        <v>443.69640649386088</v>
      </c>
      <c r="H11">
        <v>502.45181417356565</v>
      </c>
      <c r="J11" s="2" t="s">
        <v>3</v>
      </c>
      <c r="K11">
        <v>256.36097522</v>
      </c>
      <c r="L11">
        <v>214.74354228630571</v>
      </c>
      <c r="M11">
        <v>152.93206342377388</v>
      </c>
      <c r="N11">
        <v>246.53431430056617</v>
      </c>
      <c r="O11">
        <v>275.04478784817729</v>
      </c>
      <c r="P11">
        <v>343.45551786391411</v>
      </c>
      <c r="Q11">
        <v>477.59359268749563</v>
      </c>
    </row>
    <row r="12" spans="1:26" x14ac:dyDescent="0.25">
      <c r="A12" s="2" t="s">
        <v>2</v>
      </c>
      <c r="C12">
        <v>320.48837387967944</v>
      </c>
      <c r="D12">
        <v>209.38100970347057</v>
      </c>
      <c r="E12">
        <v>260.72752004378628</v>
      </c>
      <c r="F12">
        <v>339.79612118525807</v>
      </c>
      <c r="G12">
        <v>465.7613339454594</v>
      </c>
      <c r="H12">
        <v>506.54548301927173</v>
      </c>
      <c r="J12" s="2" t="s">
        <v>2</v>
      </c>
      <c r="L12">
        <v>197.38568904775201</v>
      </c>
      <c r="M12">
        <v>146.90372898480868</v>
      </c>
      <c r="N12">
        <v>286.67349258813533</v>
      </c>
      <c r="O12">
        <v>164.80001592201057</v>
      </c>
      <c r="P12">
        <v>199.65156484212022</v>
      </c>
      <c r="Q12">
        <v>385.8050917230492</v>
      </c>
    </row>
    <row r="13" spans="1:26" x14ac:dyDescent="0.25">
      <c r="A13" s="2" t="s">
        <v>1</v>
      </c>
      <c r="C13">
        <v>313.83767183557512</v>
      </c>
      <c r="D13">
        <v>221.57110792649263</v>
      </c>
      <c r="E13">
        <v>272.93179979417516</v>
      </c>
      <c r="F13">
        <v>321.30233512912048</v>
      </c>
      <c r="G13">
        <v>444.39449123961788</v>
      </c>
      <c r="H13">
        <v>502.74616359597093</v>
      </c>
      <c r="J13" s="2" t="s">
        <v>1</v>
      </c>
      <c r="L13">
        <v>224.46599287110433</v>
      </c>
      <c r="M13">
        <v>146.42048015829255</v>
      </c>
      <c r="O13">
        <v>196.62388886254195</v>
      </c>
      <c r="P13">
        <v>241.81906994605046</v>
      </c>
      <c r="Q13">
        <v>461.93860529853544</v>
      </c>
    </row>
    <row r="14" spans="1:26" x14ac:dyDescent="0.25">
      <c r="A14" s="2" t="s">
        <v>0</v>
      </c>
      <c r="J14" s="2" t="s">
        <v>0</v>
      </c>
      <c r="L14">
        <v>220.77006844870064</v>
      </c>
    </row>
    <row r="15" spans="1:26" x14ac:dyDescent="0.25">
      <c r="A15" s="1" t="s">
        <v>120</v>
      </c>
      <c r="B15" s="2">
        <f>AVERAGE(B11:B14)</f>
        <v>243.26292697</v>
      </c>
      <c r="C15" s="2">
        <f t="shared" ref="C15:Q15" si="2">AVERAGE(C11:C14)</f>
        <v>313.92919163299763</v>
      </c>
      <c r="D15" s="2">
        <f t="shared" si="2"/>
        <v>213.81251522135048</v>
      </c>
      <c r="E15" s="2">
        <f t="shared" si="2"/>
        <v>256.64414525938173</v>
      </c>
      <c r="F15" s="2">
        <f t="shared" si="2"/>
        <v>322.061733732064</v>
      </c>
      <c r="G15" s="2">
        <f t="shared" si="2"/>
        <v>451.28407722631272</v>
      </c>
      <c r="H15" s="2">
        <f t="shared" si="2"/>
        <v>503.91448692960279</v>
      </c>
      <c r="I15" s="2" t="e">
        <f t="shared" si="2"/>
        <v>#DIV/0!</v>
      </c>
      <c r="J15" s="2" t="e">
        <f t="shared" si="2"/>
        <v>#DIV/0!</v>
      </c>
      <c r="K15" s="2">
        <f t="shared" si="2"/>
        <v>256.36097522</v>
      </c>
      <c r="L15" s="2">
        <f t="shared" si="2"/>
        <v>214.34132316346569</v>
      </c>
      <c r="M15" s="2">
        <f t="shared" si="2"/>
        <v>148.75209085562503</v>
      </c>
      <c r="N15" s="2">
        <f t="shared" si="2"/>
        <v>266.60390344435075</v>
      </c>
      <c r="O15" s="2">
        <f t="shared" si="2"/>
        <v>212.1562308775766</v>
      </c>
      <c r="P15" s="2">
        <f t="shared" si="2"/>
        <v>261.64205088402827</v>
      </c>
      <c r="Q15" s="2">
        <f t="shared" si="2"/>
        <v>441.77909656969342</v>
      </c>
    </row>
    <row r="16" spans="1:26" x14ac:dyDescent="0.25">
      <c r="A16" s="1" t="s">
        <v>122</v>
      </c>
      <c r="B16">
        <f>STDEVP(B11:B14)</f>
        <v>0</v>
      </c>
      <c r="C16">
        <f t="shared" ref="C16:Q16" si="3">STDEVP(C11:C14)</f>
        <v>5.3185807999272026</v>
      </c>
      <c r="D16">
        <f t="shared" si="3"/>
        <v>5.5046498850496199</v>
      </c>
      <c r="E16">
        <f t="shared" si="3"/>
        <v>15.241833610148017</v>
      </c>
      <c r="F16">
        <f t="shared" si="3"/>
        <v>14.180214279578554</v>
      </c>
      <c r="G16">
        <f t="shared" si="3"/>
        <v>10.240932645097089</v>
      </c>
      <c r="H16">
        <f t="shared" si="3"/>
        <v>1.8642721034419119</v>
      </c>
      <c r="I16" t="e">
        <f t="shared" si="3"/>
        <v>#DIV/0!</v>
      </c>
      <c r="J16" t="e">
        <f t="shared" si="3"/>
        <v>#DIV/0!</v>
      </c>
      <c r="K16">
        <f t="shared" si="3"/>
        <v>0</v>
      </c>
      <c r="L16">
        <f t="shared" si="3"/>
        <v>10.386204926727785</v>
      </c>
      <c r="M16">
        <f t="shared" si="3"/>
        <v>2.9622638144882765</v>
      </c>
      <c r="N16">
        <f t="shared" si="3"/>
        <v>20.069589143784583</v>
      </c>
      <c r="O16">
        <f t="shared" si="3"/>
        <v>46.327944559176103</v>
      </c>
      <c r="P16">
        <f t="shared" si="3"/>
        <v>60.357861438391716</v>
      </c>
      <c r="Q16">
        <f t="shared" si="3"/>
        <v>40.092281646772847</v>
      </c>
      <c r="S16">
        <v>0</v>
      </c>
    </row>
    <row r="18" spans="1:17" x14ac:dyDescent="0.25">
      <c r="A18" s="2" t="s">
        <v>72</v>
      </c>
      <c r="B18" s="2" t="s">
        <v>54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2" t="s">
        <v>60</v>
      </c>
      <c r="J18" s="2" t="s">
        <v>40</v>
      </c>
      <c r="K18" s="2" t="s">
        <v>54</v>
      </c>
      <c r="L18" s="2" t="s">
        <v>55</v>
      </c>
      <c r="M18" s="2" t="s">
        <v>56</v>
      </c>
      <c r="N18" s="2" t="s">
        <v>57</v>
      </c>
      <c r="O18" s="2" t="s">
        <v>58</v>
      </c>
      <c r="P18" s="2" t="s">
        <v>59</v>
      </c>
      <c r="Q18" s="2" t="s">
        <v>60</v>
      </c>
    </row>
    <row r="19" spans="1:17" x14ac:dyDescent="0.25">
      <c r="A19" s="2" t="s">
        <v>3</v>
      </c>
      <c r="B19">
        <v>269.97576921000001</v>
      </c>
      <c r="C19">
        <v>190.56901649811599</v>
      </c>
      <c r="D19">
        <v>211.36253242512851</v>
      </c>
      <c r="E19">
        <v>175.21973168252055</v>
      </c>
      <c r="F19">
        <v>250.84387266775073</v>
      </c>
      <c r="G19">
        <v>249.25971269132464</v>
      </c>
      <c r="H19">
        <v>415.16330740687334</v>
      </c>
      <c r="J19" s="2" t="s">
        <v>3</v>
      </c>
      <c r="K19">
        <v>224.93551465000002</v>
      </c>
      <c r="N19">
        <v>217.53514047410033</v>
      </c>
      <c r="Q19">
        <v>214.89896940636186</v>
      </c>
    </row>
    <row r="20" spans="1:17" x14ac:dyDescent="0.25">
      <c r="A20" s="2" t="s">
        <v>2</v>
      </c>
      <c r="C20">
        <v>229.90253169933516</v>
      </c>
      <c r="D20">
        <v>197.53173985463988</v>
      </c>
      <c r="F20">
        <v>279.75955225118435</v>
      </c>
      <c r="G20">
        <v>319.37122450985498</v>
      </c>
      <c r="H20">
        <v>268.31750220729072</v>
      </c>
      <c r="J20" s="2" t="s">
        <v>2</v>
      </c>
      <c r="N20">
        <v>211.10736665935036</v>
      </c>
      <c r="Q20">
        <v>215.0194212196941</v>
      </c>
    </row>
    <row r="21" spans="1:17" x14ac:dyDescent="0.25">
      <c r="A21" s="2" t="s">
        <v>1</v>
      </c>
      <c r="C21">
        <v>208.22608673505567</v>
      </c>
      <c r="D21">
        <v>129.72031852708372</v>
      </c>
      <c r="F21">
        <v>260.0094274648124</v>
      </c>
      <c r="G21">
        <v>252.25432558083961</v>
      </c>
      <c r="H21">
        <v>432.41351528530106</v>
      </c>
      <c r="J21" s="2" t="s">
        <v>1</v>
      </c>
    </row>
    <row r="22" spans="1:17" x14ac:dyDescent="0.25">
      <c r="A22" s="2" t="s">
        <v>0</v>
      </c>
      <c r="C22">
        <v>207.61371437008458</v>
      </c>
      <c r="D22">
        <v>150.03126469213876</v>
      </c>
      <c r="E22">
        <v>174.2480280666432</v>
      </c>
      <c r="F22">
        <v>261.83642363906915</v>
      </c>
      <c r="G22">
        <v>305.75444271267486</v>
      </c>
      <c r="H22">
        <v>436.13165697339144</v>
      </c>
      <c r="J22" s="2" t="s">
        <v>0</v>
      </c>
    </row>
    <row r="23" spans="1:17" x14ac:dyDescent="0.25">
      <c r="A23" s="1" t="s">
        <v>120</v>
      </c>
      <c r="B23" s="2">
        <f>AVERAGE(B19:B22)</f>
        <v>269.97576921000001</v>
      </c>
      <c r="C23" s="2">
        <f t="shared" ref="C23:Q23" si="4">AVERAGE(C19:C22)</f>
        <v>209.07783732564786</v>
      </c>
      <c r="D23" s="2">
        <f t="shared" si="4"/>
        <v>172.16146387474771</v>
      </c>
      <c r="E23" s="2">
        <f t="shared" si="4"/>
        <v>174.73387987458187</v>
      </c>
      <c r="F23" s="2">
        <f t="shared" si="4"/>
        <v>263.11231900570414</v>
      </c>
      <c r="G23" s="2">
        <f t="shared" si="4"/>
        <v>281.65992637367356</v>
      </c>
      <c r="H23" s="2">
        <f t="shared" si="4"/>
        <v>388.00649546821415</v>
      </c>
      <c r="I23" s="2" t="e">
        <f t="shared" si="4"/>
        <v>#DIV/0!</v>
      </c>
      <c r="J23" s="2" t="e">
        <f t="shared" si="4"/>
        <v>#DIV/0!</v>
      </c>
      <c r="K23" s="2">
        <f t="shared" si="4"/>
        <v>224.93551465000002</v>
      </c>
      <c r="L23" s="2" t="e">
        <f t="shared" si="4"/>
        <v>#DIV/0!</v>
      </c>
      <c r="M23" s="2" t="e">
        <f t="shared" si="4"/>
        <v>#DIV/0!</v>
      </c>
      <c r="N23" s="2">
        <f t="shared" si="4"/>
        <v>214.32125356672535</v>
      </c>
      <c r="O23" s="2" t="e">
        <f t="shared" si="4"/>
        <v>#DIV/0!</v>
      </c>
      <c r="P23" s="2" t="e">
        <f t="shared" si="4"/>
        <v>#DIV/0!</v>
      </c>
      <c r="Q23" s="2">
        <f t="shared" si="4"/>
        <v>214.95919531302798</v>
      </c>
    </row>
    <row r="24" spans="1:17" x14ac:dyDescent="0.25">
      <c r="A24" s="1" t="s">
        <v>122</v>
      </c>
      <c r="B24">
        <f>STDEVP(B19:B22)</f>
        <v>0</v>
      </c>
      <c r="C24">
        <f t="shared" ref="C24:Q24" si="5">STDEVP(C19:C22)</f>
        <v>13.956302154230741</v>
      </c>
      <c r="D24">
        <f t="shared" si="5"/>
        <v>33.434156236815156</v>
      </c>
      <c r="E24">
        <f t="shared" si="5"/>
        <v>0.48585180793867266</v>
      </c>
      <c r="F24">
        <f t="shared" si="5"/>
        <v>10.474982042679143</v>
      </c>
      <c r="G24">
        <f t="shared" si="5"/>
        <v>31.293573339328269</v>
      </c>
      <c r="H24">
        <f t="shared" si="5"/>
        <v>69.553867831738174</v>
      </c>
      <c r="I24" t="e">
        <f t="shared" si="5"/>
        <v>#DIV/0!</v>
      </c>
      <c r="J24" t="e">
        <f t="shared" si="5"/>
        <v>#DIV/0!</v>
      </c>
      <c r="K24">
        <f t="shared" si="5"/>
        <v>0</v>
      </c>
      <c r="L24" t="e">
        <f t="shared" si="5"/>
        <v>#DIV/0!</v>
      </c>
      <c r="M24" t="e">
        <f t="shared" si="5"/>
        <v>#DIV/0!</v>
      </c>
      <c r="N24">
        <f t="shared" si="5"/>
        <v>3.2138869073749845</v>
      </c>
      <c r="O24" t="e">
        <f t="shared" si="5"/>
        <v>#DIV/0!</v>
      </c>
      <c r="P24" t="e">
        <f t="shared" si="5"/>
        <v>#DIV/0!</v>
      </c>
      <c r="Q24">
        <f t="shared" si="5"/>
        <v>6.0225906666119045E-2</v>
      </c>
    </row>
    <row r="26" spans="1:17" x14ac:dyDescent="0.25">
      <c r="J26" s="1" t="s">
        <v>122</v>
      </c>
      <c r="K26">
        <v>0</v>
      </c>
      <c r="L26">
        <v>2</v>
      </c>
      <c r="M26">
        <v>4</v>
      </c>
      <c r="N26">
        <v>7</v>
      </c>
      <c r="O26">
        <v>10</v>
      </c>
      <c r="P26">
        <v>15</v>
      </c>
      <c r="Q26">
        <v>21</v>
      </c>
    </row>
    <row r="27" spans="1:17" x14ac:dyDescent="0.25">
      <c r="F27" s="15"/>
      <c r="J27" s="2" t="s">
        <v>67</v>
      </c>
      <c r="K27">
        <v>0</v>
      </c>
      <c r="L27">
        <v>4.3469670833492806</v>
      </c>
      <c r="M27">
        <v>37.845355961936001</v>
      </c>
      <c r="N27">
        <v>21.890995437414205</v>
      </c>
      <c r="O27">
        <v>10.94615389821422</v>
      </c>
      <c r="P27">
        <v>2.8379933249688918</v>
      </c>
      <c r="Q27">
        <v>9.471169308588486</v>
      </c>
    </row>
    <row r="28" spans="1:17" x14ac:dyDescent="0.25">
      <c r="F28" s="15"/>
      <c r="J28" s="2" t="s">
        <v>69</v>
      </c>
      <c r="K28">
        <v>0</v>
      </c>
      <c r="L28">
        <v>10.92266045412604</v>
      </c>
      <c r="M28">
        <v>3.9532856349077647</v>
      </c>
      <c r="N28">
        <v>64.717822955734349</v>
      </c>
      <c r="O28">
        <v>21.330083044349056</v>
      </c>
      <c r="P28">
        <v>53.000717581794611</v>
      </c>
      <c r="Q28">
        <v>68.478472228427393</v>
      </c>
    </row>
    <row r="29" spans="1:17" x14ac:dyDescent="0.25">
      <c r="F29" s="15"/>
      <c r="J29" s="2" t="s">
        <v>70</v>
      </c>
      <c r="K29">
        <v>0</v>
      </c>
      <c r="L29">
        <v>5.3185807999272026</v>
      </c>
      <c r="M29">
        <v>5.5046498850496199</v>
      </c>
      <c r="N29">
        <v>15.241833610148017</v>
      </c>
      <c r="O29">
        <v>14.180214279578554</v>
      </c>
      <c r="P29">
        <v>10.240932645097089</v>
      </c>
      <c r="Q29">
        <v>1.8642721034419119</v>
      </c>
    </row>
    <row r="30" spans="1:17" x14ac:dyDescent="0.25">
      <c r="F30" s="15"/>
      <c r="J30" s="2" t="s">
        <v>71</v>
      </c>
      <c r="K30">
        <v>0</v>
      </c>
      <c r="L30">
        <v>10.386204926727785</v>
      </c>
      <c r="M30">
        <v>2.9622638144882765</v>
      </c>
      <c r="N30">
        <v>20.069589143784583</v>
      </c>
      <c r="O30">
        <v>46.327944559176103</v>
      </c>
      <c r="P30">
        <v>60.357861438391716</v>
      </c>
      <c r="Q30">
        <v>40.092281646772847</v>
      </c>
    </row>
    <row r="31" spans="1:17" x14ac:dyDescent="0.25">
      <c r="F31" s="15"/>
      <c r="J31" s="2" t="s">
        <v>72</v>
      </c>
      <c r="K31" s="2">
        <v>0</v>
      </c>
      <c r="L31" s="2">
        <v>13.956302154230741</v>
      </c>
      <c r="M31" s="2">
        <v>33.434156236815156</v>
      </c>
      <c r="N31" s="2">
        <v>0.48585180793867266</v>
      </c>
      <c r="O31" s="2">
        <v>10.474982042679143</v>
      </c>
      <c r="P31" s="2">
        <v>31.293573339328269</v>
      </c>
      <c r="Q31" s="2">
        <v>69.553867831738174</v>
      </c>
    </row>
    <row r="32" spans="1:17" x14ac:dyDescent="0.25">
      <c r="F32" s="15"/>
      <c r="J32" s="2" t="s">
        <v>46</v>
      </c>
      <c r="K32">
        <v>0</v>
      </c>
      <c r="N32">
        <v>1.0346356453032115</v>
      </c>
      <c r="Q32">
        <v>1.5462294185179672</v>
      </c>
    </row>
    <row r="33" spans="1:20" x14ac:dyDescent="0.25">
      <c r="A33" t="s">
        <v>92</v>
      </c>
      <c r="F33" s="15"/>
    </row>
    <row r="35" spans="1:20" x14ac:dyDescent="0.25">
      <c r="A35" s="1" t="s">
        <v>120</v>
      </c>
      <c r="B35" s="2" t="s">
        <v>67</v>
      </c>
      <c r="D35" s="2" t="s">
        <v>69</v>
      </c>
      <c r="F35" s="2" t="s">
        <v>70</v>
      </c>
      <c r="H35" s="2" t="s">
        <v>71</v>
      </c>
      <c r="J35" s="2" t="s">
        <v>72</v>
      </c>
      <c r="L35" s="2" t="s">
        <v>46</v>
      </c>
      <c r="N35" s="1"/>
      <c r="O35" s="2"/>
      <c r="P35" s="2"/>
      <c r="Q35" s="2"/>
      <c r="R35" s="2"/>
      <c r="S35" s="2"/>
      <c r="T35" s="2"/>
    </row>
    <row r="36" spans="1:20" x14ac:dyDescent="0.25">
      <c r="A36">
        <v>0</v>
      </c>
      <c r="B36" s="2">
        <v>219.92047392000001</v>
      </c>
      <c r="C36">
        <v>0</v>
      </c>
      <c r="D36" s="15">
        <v>197.99829657999999</v>
      </c>
      <c r="E36">
        <v>0</v>
      </c>
      <c r="F36" s="15">
        <v>243.26292697</v>
      </c>
      <c r="G36">
        <v>0</v>
      </c>
      <c r="H36" s="15">
        <v>256.36097522</v>
      </c>
      <c r="I36">
        <v>0</v>
      </c>
      <c r="J36" s="15">
        <v>269.97576921000001</v>
      </c>
      <c r="K36" s="2">
        <v>0</v>
      </c>
      <c r="L36" s="2">
        <v>224.93551465000002</v>
      </c>
      <c r="M36">
        <v>0</v>
      </c>
      <c r="S36" s="2"/>
    </row>
    <row r="37" spans="1:20" x14ac:dyDescent="0.25">
      <c r="A37">
        <v>2</v>
      </c>
      <c r="B37" s="2">
        <v>278.17052676206271</v>
      </c>
      <c r="C37">
        <v>4.3469670833492806</v>
      </c>
      <c r="D37" s="2">
        <v>261.10576581029216</v>
      </c>
      <c r="E37">
        <v>10.92266045412604</v>
      </c>
      <c r="F37">
        <v>313.92919163299763</v>
      </c>
      <c r="G37">
        <v>5.3185807999272026</v>
      </c>
      <c r="H37">
        <v>214.34132316346569</v>
      </c>
      <c r="I37">
        <v>10.386204926727785</v>
      </c>
      <c r="J37" s="2">
        <v>209.07783732564786</v>
      </c>
      <c r="K37" s="2">
        <v>13.956302154230741</v>
      </c>
      <c r="S37" s="2"/>
    </row>
    <row r="38" spans="1:20" x14ac:dyDescent="0.25">
      <c r="A38">
        <v>4</v>
      </c>
      <c r="B38" s="2">
        <v>176.92259649702962</v>
      </c>
      <c r="C38">
        <v>37.845355961936001</v>
      </c>
      <c r="D38" s="2">
        <v>136.24594537178231</v>
      </c>
      <c r="E38">
        <v>3.9532856349077647</v>
      </c>
      <c r="F38">
        <v>213.81251522135048</v>
      </c>
      <c r="G38">
        <v>5.5046498850496199</v>
      </c>
      <c r="H38">
        <v>148.75209085562503</v>
      </c>
      <c r="I38">
        <v>2.9622638144882765</v>
      </c>
      <c r="J38" s="2">
        <v>172.16146387474771</v>
      </c>
      <c r="K38" s="2">
        <v>33.434156236815156</v>
      </c>
      <c r="S38" s="2"/>
    </row>
    <row r="39" spans="1:20" x14ac:dyDescent="0.25">
      <c r="A39">
        <v>7</v>
      </c>
      <c r="B39" s="2">
        <v>291.07893825007261</v>
      </c>
      <c r="C39">
        <v>21.890995437414205</v>
      </c>
      <c r="D39" s="2">
        <v>186.44349787799962</v>
      </c>
      <c r="E39">
        <v>64.717822955734349</v>
      </c>
      <c r="F39">
        <v>256.64414525938173</v>
      </c>
      <c r="G39">
        <v>15.241833610148017</v>
      </c>
      <c r="H39">
        <v>266.60390344435075</v>
      </c>
      <c r="I39">
        <v>20.069589143784583</v>
      </c>
      <c r="J39" s="2">
        <v>174.73387987458187</v>
      </c>
      <c r="K39" s="2">
        <v>0.48585180793867266</v>
      </c>
      <c r="L39">
        <v>214.32125356672535</v>
      </c>
      <c r="M39">
        <v>1.0346356453032115</v>
      </c>
      <c r="S39" s="2"/>
    </row>
    <row r="40" spans="1:20" x14ac:dyDescent="0.25">
      <c r="A40">
        <v>10</v>
      </c>
      <c r="B40" s="2">
        <v>267.79247630748756</v>
      </c>
      <c r="C40">
        <v>10.94615389821422</v>
      </c>
      <c r="D40" s="2">
        <v>295.32378631625591</v>
      </c>
      <c r="E40">
        <v>21.330083044349056</v>
      </c>
      <c r="F40">
        <v>322.061733732064</v>
      </c>
      <c r="G40">
        <v>14.180214279578554</v>
      </c>
      <c r="H40">
        <v>212.1562308775766</v>
      </c>
      <c r="I40">
        <v>46.327944559176103</v>
      </c>
      <c r="J40" s="2">
        <v>263.11231900570414</v>
      </c>
      <c r="K40" s="2">
        <v>10.474982042679143</v>
      </c>
      <c r="S40" s="2"/>
    </row>
    <row r="41" spans="1:20" x14ac:dyDescent="0.25">
      <c r="A41">
        <v>15</v>
      </c>
      <c r="B41" s="2">
        <v>376.46962659506482</v>
      </c>
      <c r="C41">
        <v>2.8379933249688918</v>
      </c>
      <c r="D41" s="2">
        <v>351.34963694790201</v>
      </c>
      <c r="E41">
        <v>53.000717581794611</v>
      </c>
      <c r="F41">
        <v>451.28407722631272</v>
      </c>
      <c r="G41">
        <v>10.240932645097089</v>
      </c>
      <c r="H41">
        <v>261.64205088402827</v>
      </c>
      <c r="I41">
        <v>60.357861438391716</v>
      </c>
      <c r="J41" s="2">
        <v>281.65992637367356</v>
      </c>
      <c r="K41" s="2">
        <v>31.293573339328269</v>
      </c>
      <c r="S41" s="2"/>
    </row>
    <row r="42" spans="1:20" x14ac:dyDescent="0.25">
      <c r="A42">
        <v>21</v>
      </c>
      <c r="B42" s="2">
        <v>391.1702754954257</v>
      </c>
      <c r="C42">
        <v>9.471169308588486</v>
      </c>
      <c r="D42" s="2">
        <v>351.55110191035408</v>
      </c>
      <c r="E42">
        <v>68.478472228427393</v>
      </c>
      <c r="F42">
        <v>503.91448692960279</v>
      </c>
      <c r="G42">
        <v>1.8642721034419119</v>
      </c>
      <c r="H42">
        <v>441.77909656969342</v>
      </c>
      <c r="I42">
        <v>40.092281646772847</v>
      </c>
      <c r="J42" s="2">
        <v>427.9028265551886</v>
      </c>
      <c r="K42" s="2">
        <v>69.553867831738174</v>
      </c>
      <c r="L42">
        <v>214.95919531302798</v>
      </c>
      <c r="M42">
        <v>1.5462294185179672</v>
      </c>
      <c r="S42" s="2"/>
    </row>
    <row r="46" spans="1:20" x14ac:dyDescent="0.25">
      <c r="C46" s="1"/>
      <c r="D46" s="2"/>
      <c r="E46" s="2"/>
      <c r="F46" s="2"/>
      <c r="G46" s="2"/>
      <c r="H46" s="2"/>
      <c r="I46" s="2"/>
    </row>
    <row r="47" spans="1:20" x14ac:dyDescent="0.25">
      <c r="H47" s="2"/>
    </row>
    <row r="48" spans="1:20" x14ac:dyDescent="0.25">
      <c r="H48" s="2"/>
    </row>
    <row r="49" spans="4:8" x14ac:dyDescent="0.25">
      <c r="H49" s="2"/>
    </row>
    <row r="50" spans="4:8" x14ac:dyDescent="0.25">
      <c r="H50" s="2"/>
    </row>
    <row r="51" spans="4:8" x14ac:dyDescent="0.25">
      <c r="H51" s="2"/>
    </row>
    <row r="52" spans="4:8" x14ac:dyDescent="0.25">
      <c r="H52" s="2"/>
    </row>
    <row r="53" spans="4:8" x14ac:dyDescent="0.25">
      <c r="H53" s="2"/>
    </row>
    <row r="54" spans="4:8" x14ac:dyDescent="0.25">
      <c r="D54" s="2"/>
      <c r="E54" s="2"/>
      <c r="H54" s="2"/>
    </row>
  </sheetData>
  <phoneticPr fontId="1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BCFDF-C548-4E11-A1A4-8262E93D9B29}">
  <dimension ref="A1:AD48"/>
  <sheetViews>
    <sheetView zoomScale="70" zoomScaleNormal="70" workbookViewId="0">
      <selection activeCell="J19" sqref="J19"/>
    </sheetView>
  </sheetViews>
  <sheetFormatPr defaultRowHeight="13.8" x14ac:dyDescent="0.25"/>
  <sheetData>
    <row r="1" spans="1:30" x14ac:dyDescent="0.25">
      <c r="A1" s="1" t="s">
        <v>134</v>
      </c>
      <c r="B1">
        <v>0</v>
      </c>
      <c r="C1">
        <v>2</v>
      </c>
      <c r="D1">
        <v>4</v>
      </c>
      <c r="E1">
        <v>7</v>
      </c>
      <c r="F1">
        <v>10</v>
      </c>
      <c r="G1">
        <v>15</v>
      </c>
      <c r="H1">
        <v>21</v>
      </c>
      <c r="N1" s="1"/>
    </row>
    <row r="2" spans="1:30" x14ac:dyDescent="0.25">
      <c r="A2" s="2" t="s">
        <v>67</v>
      </c>
      <c r="B2" s="2">
        <v>288.28151288999999</v>
      </c>
      <c r="C2" s="2">
        <v>404.52723972502565</v>
      </c>
      <c r="D2" s="2">
        <v>360.52791544278978</v>
      </c>
      <c r="E2" s="2">
        <v>469.30529782799471</v>
      </c>
      <c r="F2" s="2">
        <v>515.56838498683055</v>
      </c>
      <c r="G2" s="2">
        <v>542.20741000877956</v>
      </c>
      <c r="H2" s="2">
        <v>503.65248311609378</v>
      </c>
      <c r="I2">
        <f>H2/B2</f>
        <v>1.7470856110994297</v>
      </c>
      <c r="N2" s="2" t="s">
        <v>67</v>
      </c>
      <c r="O2" s="2" t="s">
        <v>54</v>
      </c>
      <c r="P2" s="2" t="s">
        <v>55</v>
      </c>
      <c r="Q2" s="2" t="s">
        <v>56</v>
      </c>
      <c r="R2" s="2" t="s">
        <v>57</v>
      </c>
      <c r="S2" s="2" t="s">
        <v>58</v>
      </c>
      <c r="T2" s="2" t="s">
        <v>59</v>
      </c>
      <c r="U2" s="2" t="s">
        <v>60</v>
      </c>
      <c r="W2" s="2" t="s">
        <v>69</v>
      </c>
      <c r="X2" s="2" t="s">
        <v>54</v>
      </c>
      <c r="Y2" s="2" t="s">
        <v>55</v>
      </c>
      <c r="Z2" s="2" t="s">
        <v>56</v>
      </c>
      <c r="AA2" s="2" t="s">
        <v>57</v>
      </c>
      <c r="AB2" s="2" t="s">
        <v>58</v>
      </c>
      <c r="AC2" s="2" t="s">
        <v>59</v>
      </c>
      <c r="AD2" s="2" t="s">
        <v>60</v>
      </c>
    </row>
    <row r="3" spans="1:30" x14ac:dyDescent="0.25">
      <c r="A3" s="2" t="s">
        <v>69</v>
      </c>
      <c r="B3" s="15">
        <v>251.94699788999998</v>
      </c>
      <c r="C3" s="2">
        <v>308.81259075617959</v>
      </c>
      <c r="D3" s="2">
        <v>192.98228036032319</v>
      </c>
      <c r="E3" s="2">
        <v>244.77994268319441</v>
      </c>
      <c r="F3" s="2">
        <v>393.69062598770847</v>
      </c>
      <c r="G3" s="2">
        <v>501.74177198330557</v>
      </c>
      <c r="H3" s="2">
        <v>542.55208901384731</v>
      </c>
      <c r="I3">
        <f>H3/B3</f>
        <v>2.1534374037301509</v>
      </c>
      <c r="J3">
        <f>D3/B3*100</f>
        <v>76.596380181747278</v>
      </c>
      <c r="N3" s="2" t="s">
        <v>3</v>
      </c>
      <c r="O3">
        <v>288.28151288999999</v>
      </c>
      <c r="P3">
        <v>412.38758856223501</v>
      </c>
      <c r="Q3">
        <v>408.29433776424128</v>
      </c>
      <c r="R3">
        <v>439.66191805616489</v>
      </c>
      <c r="S3">
        <v>515.8872291483757</v>
      </c>
      <c r="T3">
        <v>505.79342844600524</v>
      </c>
      <c r="U3">
        <v>495.72186297021688</v>
      </c>
      <c r="W3" s="2" t="s">
        <v>3</v>
      </c>
      <c r="X3">
        <v>251.94699788999998</v>
      </c>
      <c r="Y3">
        <v>311.93161445078249</v>
      </c>
      <c r="Z3">
        <v>194.88445985081177</v>
      </c>
      <c r="AA3">
        <v>266.18143867924528</v>
      </c>
      <c r="AB3">
        <v>355.69849780509219</v>
      </c>
      <c r="AC3">
        <v>480.88211589113263</v>
      </c>
      <c r="AD3">
        <v>517.6095338353482</v>
      </c>
    </row>
    <row r="4" spans="1:30" x14ac:dyDescent="0.25">
      <c r="A4" s="2" t="s">
        <v>70</v>
      </c>
      <c r="B4" s="15">
        <v>306.8755893</v>
      </c>
      <c r="C4">
        <v>339.82118297498897</v>
      </c>
      <c r="D4">
        <v>236.93287427406247</v>
      </c>
      <c r="E4">
        <v>278.75333424747697</v>
      </c>
      <c r="F4">
        <v>355.04731343283578</v>
      </c>
      <c r="G4">
        <v>492.22550043898156</v>
      </c>
      <c r="H4">
        <v>542.09540690214089</v>
      </c>
      <c r="I4">
        <f>H4/B4</f>
        <v>1.7664989520303331</v>
      </c>
      <c r="J4">
        <f>D4/B4*100</f>
        <v>77.208120337795293</v>
      </c>
      <c r="N4" s="2" t="s">
        <v>2</v>
      </c>
      <c r="W4" s="2" t="s">
        <v>2</v>
      </c>
      <c r="Y4">
        <v>312.69474959777682</v>
      </c>
      <c r="AA4">
        <v>198.78643538832819</v>
      </c>
      <c r="AB4">
        <v>401.84186479367872</v>
      </c>
      <c r="AC4">
        <v>551.74816066725191</v>
      </c>
      <c r="AD4">
        <v>393.64299317890192</v>
      </c>
    </row>
    <row r="5" spans="1:30" x14ac:dyDescent="0.25">
      <c r="A5" s="2" t="s">
        <v>71</v>
      </c>
      <c r="B5" s="15">
        <v>316.13272845</v>
      </c>
      <c r="C5">
        <v>238.98529863244116</v>
      </c>
      <c r="D5">
        <v>183.369155408719</v>
      </c>
      <c r="E5">
        <v>324.21490182097415</v>
      </c>
      <c r="F5">
        <v>256.63049897570966</v>
      </c>
      <c r="G5">
        <v>329.46501316944688</v>
      </c>
      <c r="H5">
        <v>514.83092338083338</v>
      </c>
      <c r="I5">
        <f>H5/B5</f>
        <v>1.6285277576448709</v>
      </c>
      <c r="J5">
        <f>D5/B5*100</f>
        <v>58.00385056864522</v>
      </c>
      <c r="N5" s="2" t="s">
        <v>1</v>
      </c>
      <c r="P5">
        <v>410.83006552581537</v>
      </c>
      <c r="Q5">
        <v>344.3349549079835</v>
      </c>
      <c r="R5">
        <v>498.94867759982446</v>
      </c>
      <c r="S5">
        <v>515.24954082528529</v>
      </c>
      <c r="T5">
        <v>578.62139157155389</v>
      </c>
      <c r="U5">
        <v>511.58310326197068</v>
      </c>
      <c r="W5" s="2" t="s">
        <v>1</v>
      </c>
      <c r="Y5">
        <v>322.09386982594702</v>
      </c>
      <c r="Z5">
        <v>187.67816916604289</v>
      </c>
      <c r="AA5">
        <v>181.56820919262839</v>
      </c>
      <c r="AB5">
        <v>400.62347146619834</v>
      </c>
      <c r="AC5">
        <v>406.80862598770852</v>
      </c>
      <c r="AD5">
        <v>577.08766917674075</v>
      </c>
    </row>
    <row r="6" spans="1:30" x14ac:dyDescent="0.25">
      <c r="A6" s="2" t="s">
        <v>72</v>
      </c>
      <c r="B6" s="15">
        <v>318.82706793</v>
      </c>
      <c r="C6" s="2">
        <v>247.84374641655694</v>
      </c>
      <c r="D6" s="2">
        <v>210.8708460367034</v>
      </c>
      <c r="E6" s="2">
        <v>218.38003450120524</v>
      </c>
      <c r="F6" s="2">
        <v>359.86371597892884</v>
      </c>
      <c r="G6" s="2">
        <v>393.64512510974544</v>
      </c>
      <c r="H6" s="2">
        <v>561.26119272336268</v>
      </c>
      <c r="I6">
        <f>H6/B6</f>
        <v>1.7603937970743131</v>
      </c>
      <c r="J6">
        <f>D6/B6*100</f>
        <v>66.139568200966266</v>
      </c>
      <c r="N6" s="2" t="s">
        <v>0</v>
      </c>
      <c r="P6">
        <v>390.36406508702652</v>
      </c>
      <c r="Q6">
        <v>328.95445365614444</v>
      </c>
      <c r="W6" s="2" t="s">
        <v>0</v>
      </c>
      <c r="Y6">
        <v>288.53012915021213</v>
      </c>
      <c r="Z6">
        <v>196.38421206411482</v>
      </c>
      <c r="AA6">
        <v>332.58368747257572</v>
      </c>
      <c r="AB6">
        <v>416.59866988586475</v>
      </c>
      <c r="AC6">
        <v>466.83167251975419</v>
      </c>
      <c r="AD6">
        <v>531.63954278381846</v>
      </c>
    </row>
    <row r="7" spans="1:30" x14ac:dyDescent="0.25">
      <c r="A7" s="2" t="s">
        <v>46</v>
      </c>
      <c r="B7" s="2">
        <v>267.30287465000004</v>
      </c>
      <c r="E7">
        <v>258.95489601624217</v>
      </c>
      <c r="H7">
        <v>262.29239258458858</v>
      </c>
      <c r="N7" s="1" t="s">
        <v>120</v>
      </c>
      <c r="O7" s="2">
        <f>AVERAGE(O3:O6)</f>
        <v>288.28151288999999</v>
      </c>
      <c r="P7" s="2">
        <f t="shared" ref="P7:AD7" si="0">AVERAGE(P3:P6)</f>
        <v>404.52723972502559</v>
      </c>
      <c r="Q7" s="2">
        <f t="shared" si="0"/>
        <v>360.52791544278972</v>
      </c>
      <c r="R7" s="2">
        <f t="shared" si="0"/>
        <v>469.30529782799465</v>
      </c>
      <c r="S7" s="2">
        <f t="shared" si="0"/>
        <v>515.56838498683055</v>
      </c>
      <c r="T7" s="2">
        <f t="shared" si="0"/>
        <v>542.20741000877956</v>
      </c>
      <c r="U7" s="2">
        <f t="shared" si="0"/>
        <v>503.65248311609378</v>
      </c>
      <c r="V7" s="2" t="e">
        <f t="shared" si="0"/>
        <v>#DIV/0!</v>
      </c>
      <c r="W7" s="2" t="e">
        <f t="shared" si="0"/>
        <v>#DIV/0!</v>
      </c>
      <c r="X7" s="2">
        <f t="shared" si="0"/>
        <v>251.94699788999998</v>
      </c>
      <c r="Y7" s="2">
        <f t="shared" si="0"/>
        <v>308.81259075617959</v>
      </c>
      <c r="Z7" s="2">
        <f t="shared" si="0"/>
        <v>192.98228036032319</v>
      </c>
      <c r="AA7" s="2">
        <f t="shared" si="0"/>
        <v>244.77994268319441</v>
      </c>
      <c r="AB7" s="2">
        <f t="shared" si="0"/>
        <v>393.69062598770847</v>
      </c>
      <c r="AC7" s="2">
        <f t="shared" si="0"/>
        <v>476.56764376646186</v>
      </c>
      <c r="AD7" s="2">
        <f t="shared" si="0"/>
        <v>504.99493474370229</v>
      </c>
    </row>
    <row r="8" spans="1:30" x14ac:dyDescent="0.25">
      <c r="N8" s="1" t="s">
        <v>122</v>
      </c>
      <c r="O8">
        <f>STDEVP(O3:O6)</f>
        <v>0</v>
      </c>
      <c r="P8">
        <f t="shared" ref="P8:AD8" si="1">STDEVP(P3:P6)</f>
        <v>10.035042148129076</v>
      </c>
      <c r="Q8">
        <f t="shared" si="1"/>
        <v>34.354653064108639</v>
      </c>
      <c r="R8">
        <f t="shared" si="1"/>
        <v>29.643379771829785</v>
      </c>
      <c r="S8">
        <f t="shared" si="1"/>
        <v>0.31884416154520068</v>
      </c>
      <c r="T8">
        <f t="shared" si="1"/>
        <v>36.413981562774325</v>
      </c>
      <c r="U8">
        <f t="shared" si="1"/>
        <v>7.930620145876901</v>
      </c>
      <c r="V8" t="e">
        <f t="shared" si="1"/>
        <v>#DIV/0!</v>
      </c>
      <c r="W8" t="e">
        <f t="shared" si="1"/>
        <v>#DIV/0!</v>
      </c>
      <c r="X8">
        <f t="shared" si="1"/>
        <v>0</v>
      </c>
      <c r="Y8">
        <f t="shared" si="1"/>
        <v>12.375076652343132</v>
      </c>
      <c r="Z8">
        <f t="shared" si="1"/>
        <v>3.8002202432923791</v>
      </c>
      <c r="AA8">
        <f t="shared" si="1"/>
        <v>59.746647592298075</v>
      </c>
      <c r="AB8">
        <f t="shared" si="1"/>
        <v>22.818234592014203</v>
      </c>
      <c r="AC8">
        <f t="shared" si="1"/>
        <v>51.555393725481458</v>
      </c>
      <c r="AD8">
        <f t="shared" si="1"/>
        <v>67.944242758562368</v>
      </c>
    </row>
    <row r="9" spans="1:30" x14ac:dyDescent="0.25">
      <c r="A9" s="1" t="s">
        <v>135</v>
      </c>
      <c r="B9">
        <v>0</v>
      </c>
      <c r="C9">
        <v>2</v>
      </c>
      <c r="D9">
        <v>4</v>
      </c>
      <c r="E9">
        <v>7</v>
      </c>
      <c r="F9">
        <v>10</v>
      </c>
      <c r="G9">
        <v>15</v>
      </c>
      <c r="H9">
        <v>21</v>
      </c>
    </row>
    <row r="10" spans="1:30" x14ac:dyDescent="0.25">
      <c r="A10" s="2" t="s">
        <v>67</v>
      </c>
      <c r="B10">
        <v>68.361038969999996</v>
      </c>
      <c r="C10" s="15">
        <v>126.35671296296294</v>
      </c>
      <c r="D10">
        <v>183.60531894576013</v>
      </c>
      <c r="E10" s="15">
        <v>178.2263595779221</v>
      </c>
      <c r="F10" s="15">
        <v>247.77590867934293</v>
      </c>
      <c r="G10" s="15">
        <v>165.73778341371474</v>
      </c>
      <c r="H10" s="15">
        <v>112.48220762066805</v>
      </c>
      <c r="J10">
        <f>H18/H10</f>
        <v>3.4776191165681754</v>
      </c>
      <c r="N10" s="2" t="s">
        <v>70</v>
      </c>
      <c r="O10" s="2" t="s">
        <v>54</v>
      </c>
      <c r="P10" s="2" t="s">
        <v>55</v>
      </c>
      <c r="Q10" s="2" t="s">
        <v>56</v>
      </c>
      <c r="R10" s="2" t="s">
        <v>57</v>
      </c>
      <c r="S10" s="2" t="s">
        <v>58</v>
      </c>
      <c r="T10" s="2" t="s">
        <v>59</v>
      </c>
      <c r="U10" s="2" t="s">
        <v>60</v>
      </c>
      <c r="W10" s="2" t="s">
        <v>71</v>
      </c>
      <c r="X10" s="2" t="s">
        <v>54</v>
      </c>
      <c r="Y10" s="2" t="s">
        <v>55</v>
      </c>
      <c r="Z10" s="2" t="s">
        <v>56</v>
      </c>
      <c r="AA10" s="2" t="s">
        <v>57</v>
      </c>
      <c r="AB10" s="2" t="s">
        <v>58</v>
      </c>
      <c r="AC10" s="2" t="s">
        <v>59</v>
      </c>
      <c r="AD10" s="2" t="s">
        <v>60</v>
      </c>
    </row>
    <row r="11" spans="1:30" x14ac:dyDescent="0.25">
      <c r="A11" s="2" t="s">
        <v>69</v>
      </c>
      <c r="B11">
        <v>53.948701310000004</v>
      </c>
      <c r="C11" s="15">
        <v>47.706824945887448</v>
      </c>
      <c r="D11">
        <v>56.736334988540875</v>
      </c>
      <c r="E11" s="15">
        <v>58.336444805194802</v>
      </c>
      <c r="F11" s="15">
        <v>98.366839671452595</v>
      </c>
      <c r="G11" s="15">
        <v>125.21800681855979</v>
      </c>
      <c r="H11" s="15">
        <v>153.4438328333483</v>
      </c>
      <c r="J11">
        <f>H19/H11</f>
        <v>2.5358350935035636</v>
      </c>
      <c r="N11" s="2" t="s">
        <v>3</v>
      </c>
      <c r="O11">
        <v>306.8755893</v>
      </c>
      <c r="P11">
        <v>333.09824455170389</v>
      </c>
      <c r="Q11">
        <v>234.03846470330126</v>
      </c>
      <c r="R11">
        <v>257.82612933304085</v>
      </c>
      <c r="S11">
        <v>338.17950131694477</v>
      </c>
      <c r="T11">
        <v>484.87277436347671</v>
      </c>
      <c r="U11">
        <v>542.09540690214089</v>
      </c>
      <c r="W11" s="2" t="s">
        <v>3</v>
      </c>
      <c r="X11">
        <v>316.13272845</v>
      </c>
      <c r="Y11">
        <v>240.76400585051928</v>
      </c>
      <c r="Z11">
        <v>185.87771850398778</v>
      </c>
      <c r="AA11">
        <v>303.31764425186486</v>
      </c>
      <c r="AB11">
        <v>319.15044688323098</v>
      </c>
      <c r="AC11">
        <v>413.89639596136965</v>
      </c>
      <c r="AD11">
        <v>551.38980026338891</v>
      </c>
    </row>
    <row r="12" spans="1:30" x14ac:dyDescent="0.25">
      <c r="A12" s="2" t="s">
        <v>70</v>
      </c>
      <c r="B12">
        <v>63.612662329999999</v>
      </c>
      <c r="C12" s="15">
        <v>25.891991341991343</v>
      </c>
      <c r="D12">
        <v>23.120359052711994</v>
      </c>
      <c r="E12" s="15">
        <v>22.109188988095237</v>
      </c>
      <c r="F12" s="15">
        <v>32.985579700771787</v>
      </c>
      <c r="G12" s="15">
        <v>40.941423212668845</v>
      </c>
      <c r="H12" s="15">
        <v>38.180919972538135</v>
      </c>
      <c r="J12">
        <f>H20/H12</f>
        <v>13.198070850363125</v>
      </c>
      <c r="N12" s="2" t="s">
        <v>2</v>
      </c>
      <c r="P12">
        <v>347.43984393739947</v>
      </c>
      <c r="Q12">
        <v>232.46952192654163</v>
      </c>
      <c r="R12">
        <v>283.1840439885915</v>
      </c>
      <c r="S12">
        <v>369.88621949078129</v>
      </c>
      <c r="T12">
        <v>504.34976733977174</v>
      </c>
      <c r="U12">
        <v>542.09540690214089</v>
      </c>
      <c r="W12" s="2" t="s">
        <v>2</v>
      </c>
      <c r="Y12">
        <v>221.46572151528449</v>
      </c>
      <c r="Z12">
        <v>179.92845205585527</v>
      </c>
      <c r="AA12">
        <v>345.11215939008338</v>
      </c>
      <c r="AB12">
        <v>208.29614837576815</v>
      </c>
      <c r="AC12">
        <v>271.08428007023707</v>
      </c>
      <c r="AD12">
        <v>458.66231613426083</v>
      </c>
    </row>
    <row r="13" spans="1:30" x14ac:dyDescent="0.25">
      <c r="A13" s="2" t="s">
        <v>71</v>
      </c>
      <c r="B13">
        <v>59.771753230000002</v>
      </c>
      <c r="C13" s="15">
        <v>24.643975468975469</v>
      </c>
      <c r="D13">
        <v>34.617064553093968</v>
      </c>
      <c r="E13" s="15">
        <v>57.610998376623385</v>
      </c>
      <c r="F13" s="15">
        <v>44.474268098133052</v>
      </c>
      <c r="G13" s="15">
        <v>67.822962285418626</v>
      </c>
      <c r="H13" s="15">
        <v>73.051826811139975</v>
      </c>
      <c r="J13">
        <f>H21/H13</f>
        <v>6.0474750030799322</v>
      </c>
      <c r="N13" s="2" t="s">
        <v>1</v>
      </c>
      <c r="P13">
        <v>338.92546043586373</v>
      </c>
      <c r="Q13">
        <v>244.29063619234444</v>
      </c>
      <c r="R13">
        <v>295.24982942079851</v>
      </c>
      <c r="S13">
        <v>357.07621949078134</v>
      </c>
      <c r="T13">
        <v>487.45395961369627</v>
      </c>
      <c r="U13">
        <v>542.09540690214089</v>
      </c>
      <c r="W13" s="2" t="s">
        <v>1</v>
      </c>
      <c r="Y13">
        <v>248.91642577153723</v>
      </c>
      <c r="Z13">
        <v>184.30129566631393</v>
      </c>
      <c r="AB13">
        <v>242.44490166812983</v>
      </c>
      <c r="AC13">
        <v>303.41436347673397</v>
      </c>
      <c r="AD13">
        <v>534.44065374485047</v>
      </c>
    </row>
    <row r="14" spans="1:30" x14ac:dyDescent="0.25">
      <c r="A14" s="2" t="s">
        <v>72</v>
      </c>
      <c r="B14">
        <v>48.851298720000003</v>
      </c>
      <c r="C14" s="15">
        <v>38.765909090909091</v>
      </c>
      <c r="D14" s="2">
        <v>38.709382161955695</v>
      </c>
      <c r="E14" s="15">
        <v>43.646154626623378</v>
      </c>
      <c r="F14" s="15">
        <v>96.751396973224686</v>
      </c>
      <c r="G14" s="15">
        <v>111.98519873607185</v>
      </c>
      <c r="H14" s="15">
        <v>133.35836616817409</v>
      </c>
      <c r="J14">
        <f>H22/H14</f>
        <v>3.2086687835960261</v>
      </c>
      <c r="N14" s="2" t="s">
        <v>0</v>
      </c>
      <c r="W14" s="2" t="s">
        <v>0</v>
      </c>
      <c r="Y14">
        <v>244.79504139242357</v>
      </c>
    </row>
    <row r="15" spans="1:30" x14ac:dyDescent="0.25">
      <c r="A15" s="2" t="s">
        <v>46</v>
      </c>
      <c r="B15">
        <v>42.367359999999998</v>
      </c>
      <c r="E15">
        <v>44.633642449516856</v>
      </c>
      <c r="H15">
        <v>47.333197271560593</v>
      </c>
      <c r="N15" s="1" t="s">
        <v>120</v>
      </c>
      <c r="O15" s="2">
        <f>AVERAGE(O11:O14)</f>
        <v>306.8755893</v>
      </c>
      <c r="P15" s="2">
        <f t="shared" ref="P15:AD15" si="2">AVERAGE(P11:P14)</f>
        <v>339.82118297498897</v>
      </c>
      <c r="Q15" s="2">
        <f t="shared" si="2"/>
        <v>236.93287427406244</v>
      </c>
      <c r="R15" s="2">
        <f t="shared" si="2"/>
        <v>278.75333424747697</v>
      </c>
      <c r="S15" s="2">
        <f t="shared" si="2"/>
        <v>355.04731343283584</v>
      </c>
      <c r="T15" s="2">
        <f t="shared" si="2"/>
        <v>492.22550043898156</v>
      </c>
      <c r="U15" s="2">
        <f t="shared" si="2"/>
        <v>542.09540690214089</v>
      </c>
      <c r="V15" s="2" t="e">
        <f t="shared" si="2"/>
        <v>#DIV/0!</v>
      </c>
      <c r="W15" s="2" t="e">
        <f t="shared" si="2"/>
        <v>#DIV/0!</v>
      </c>
      <c r="X15" s="2">
        <f t="shared" si="2"/>
        <v>316.13272845</v>
      </c>
      <c r="Y15" s="2">
        <f t="shared" si="2"/>
        <v>238.98529863244113</v>
      </c>
      <c r="Z15" s="2">
        <f t="shared" si="2"/>
        <v>183.36915540871897</v>
      </c>
      <c r="AA15" s="2">
        <f t="shared" si="2"/>
        <v>324.21490182097409</v>
      </c>
      <c r="AB15" s="2">
        <f t="shared" si="2"/>
        <v>256.63049897570971</v>
      </c>
      <c r="AC15" s="2">
        <f t="shared" si="2"/>
        <v>329.46501316944688</v>
      </c>
      <c r="AD15" s="2">
        <f t="shared" si="2"/>
        <v>514.8309233808335</v>
      </c>
    </row>
    <row r="16" spans="1:30" x14ac:dyDescent="0.25">
      <c r="N16" s="1" t="s">
        <v>122</v>
      </c>
      <c r="O16">
        <f>STDEVP(O11:O14)</f>
        <v>0</v>
      </c>
      <c r="P16">
        <f t="shared" ref="P16:AD16" si="3">STDEVP(P11:P14)</f>
        <v>5.8890920287861483</v>
      </c>
      <c r="Q16">
        <f t="shared" si="3"/>
        <v>5.242002842030077</v>
      </c>
      <c r="R16">
        <f t="shared" si="3"/>
        <v>15.596083347475705</v>
      </c>
      <c r="S16">
        <f t="shared" si="3"/>
        <v>13.023474681838941</v>
      </c>
      <c r="T16">
        <f t="shared" si="3"/>
        <v>8.6376700266983573</v>
      </c>
      <c r="U16">
        <f t="shared" si="3"/>
        <v>0</v>
      </c>
      <c r="V16" t="e">
        <f t="shared" si="3"/>
        <v>#DIV/0!</v>
      </c>
      <c r="W16" t="e">
        <f t="shared" si="3"/>
        <v>#DIV/0!</v>
      </c>
      <c r="X16">
        <f t="shared" si="3"/>
        <v>0</v>
      </c>
      <c r="Y16">
        <f t="shared" si="3"/>
        <v>10.517601662471602</v>
      </c>
      <c r="Z16">
        <f t="shared" si="3"/>
        <v>2.5166256393023119</v>
      </c>
      <c r="AA16">
        <f t="shared" si="3"/>
        <v>20.897257569109257</v>
      </c>
      <c r="AB16">
        <f t="shared" si="3"/>
        <v>46.354375936007138</v>
      </c>
      <c r="AC16">
        <f t="shared" si="3"/>
        <v>61.143559886466655</v>
      </c>
      <c r="AD16">
        <f t="shared" si="3"/>
        <v>40.315445526014088</v>
      </c>
    </row>
    <row r="17" spans="1:30" x14ac:dyDescent="0.25">
      <c r="A17" s="1" t="s">
        <v>136</v>
      </c>
      <c r="B17">
        <v>0</v>
      </c>
      <c r="C17">
        <v>2</v>
      </c>
      <c r="D17">
        <v>4</v>
      </c>
      <c r="E17">
        <v>7</v>
      </c>
      <c r="F17">
        <v>10</v>
      </c>
      <c r="G17">
        <v>15</v>
      </c>
      <c r="H17">
        <v>21</v>
      </c>
    </row>
    <row r="18" spans="1:30" x14ac:dyDescent="0.25">
      <c r="A18" s="2" t="s">
        <v>67</v>
      </c>
      <c r="B18" s="2">
        <v>219.92047392000001</v>
      </c>
      <c r="C18" s="2">
        <v>278.17052676206271</v>
      </c>
      <c r="D18" s="2">
        <v>176.92259649702962</v>
      </c>
      <c r="E18" s="2">
        <v>291.07893825007261</v>
      </c>
      <c r="F18" s="2">
        <v>267.79247630748756</v>
      </c>
      <c r="G18" s="2">
        <v>376.46962659506482</v>
      </c>
      <c r="H18" s="2">
        <v>391.1702754954257</v>
      </c>
      <c r="N18" s="2" t="s">
        <v>72</v>
      </c>
      <c r="O18" s="2" t="s">
        <v>54</v>
      </c>
      <c r="P18" s="2" t="s">
        <v>55</v>
      </c>
      <c r="Q18" s="2" t="s">
        <v>56</v>
      </c>
      <c r="R18" s="2" t="s">
        <v>57</v>
      </c>
      <c r="S18" s="2" t="s">
        <v>58</v>
      </c>
      <c r="T18" s="2" t="s">
        <v>59</v>
      </c>
      <c r="U18" s="2" t="s">
        <v>60</v>
      </c>
      <c r="W18" s="2"/>
      <c r="X18" s="2"/>
      <c r="Y18" s="2"/>
      <c r="Z18" s="2"/>
      <c r="AA18" s="2"/>
      <c r="AB18" s="2"/>
      <c r="AC18" s="2"/>
      <c r="AD18" s="2"/>
    </row>
    <row r="19" spans="1:30" x14ac:dyDescent="0.25">
      <c r="A19" s="2" t="s">
        <v>69</v>
      </c>
      <c r="B19" s="15">
        <v>197.99829657999999</v>
      </c>
      <c r="C19" s="2">
        <v>261.10576581029216</v>
      </c>
      <c r="D19" s="2">
        <v>136.24594537178231</v>
      </c>
      <c r="E19" s="2">
        <v>186.44349787799962</v>
      </c>
      <c r="F19" s="2">
        <v>295.32378631625591</v>
      </c>
      <c r="G19" s="2">
        <v>376.52376516474578</v>
      </c>
      <c r="H19" s="2">
        <v>389.10825618049898</v>
      </c>
      <c r="N19" s="2" t="s">
        <v>3</v>
      </c>
      <c r="O19">
        <v>318.82706793</v>
      </c>
      <c r="P19">
        <v>228.69590141875091</v>
      </c>
      <c r="Q19">
        <v>251.71422264667166</v>
      </c>
      <c r="R19">
        <v>217.3028790039491</v>
      </c>
      <c r="S19">
        <v>342.68118349429324</v>
      </c>
      <c r="T19">
        <v>358.7420149253731</v>
      </c>
      <c r="U19">
        <v>541.84096255149586</v>
      </c>
      <c r="W19" s="2"/>
    </row>
    <row r="20" spans="1:30" x14ac:dyDescent="0.25">
      <c r="A20" s="2" t="s">
        <v>70</v>
      </c>
      <c r="B20" s="15">
        <v>243.26292697</v>
      </c>
      <c r="C20">
        <v>313.92919163299763</v>
      </c>
      <c r="D20">
        <v>213.81251522135048</v>
      </c>
      <c r="E20">
        <v>256.64414525938173</v>
      </c>
      <c r="F20">
        <v>322.061733732064</v>
      </c>
      <c r="G20">
        <v>451.28407722631272</v>
      </c>
      <c r="H20">
        <v>503.91448692960279</v>
      </c>
      <c r="N20" s="2" t="s">
        <v>2</v>
      </c>
      <c r="P20">
        <v>270.74902340207689</v>
      </c>
      <c r="Q20">
        <v>238.49620700513645</v>
      </c>
      <c r="S20">
        <v>376.96977085162416</v>
      </c>
      <c r="T20">
        <v>432.25995171202806</v>
      </c>
      <c r="U20">
        <v>404.02832427230373</v>
      </c>
      <c r="W20" s="2"/>
    </row>
    <row r="21" spans="1:30" x14ac:dyDescent="0.25">
      <c r="A21" s="2" t="s">
        <v>71</v>
      </c>
      <c r="B21" s="15">
        <v>256.36097522</v>
      </c>
      <c r="C21">
        <v>214.34132316346569</v>
      </c>
      <c r="D21">
        <v>148.75209085562503</v>
      </c>
      <c r="E21">
        <v>266.60390344435075</v>
      </c>
      <c r="F21">
        <v>212.1562308775766</v>
      </c>
      <c r="G21">
        <v>261.64205088402827</v>
      </c>
      <c r="H21">
        <v>441.77909656969342</v>
      </c>
      <c r="N21" s="2" t="s">
        <v>1</v>
      </c>
      <c r="P21">
        <v>251.81554380576276</v>
      </c>
      <c r="Q21">
        <v>167.40346405802336</v>
      </c>
      <c r="S21">
        <v>356.04714574187875</v>
      </c>
      <c r="T21">
        <v>365.03103160667251</v>
      </c>
      <c r="U21">
        <v>566.57602535962724</v>
      </c>
      <c r="W21" s="2"/>
    </row>
    <row r="22" spans="1:30" x14ac:dyDescent="0.25">
      <c r="A22" s="2" t="s">
        <v>72</v>
      </c>
      <c r="B22" s="15">
        <v>269.97576921000001</v>
      </c>
      <c r="C22" s="2">
        <v>209.07783732564786</v>
      </c>
      <c r="D22" s="2">
        <v>172.16146387474771</v>
      </c>
      <c r="E22" s="2">
        <v>174.73387987458187</v>
      </c>
      <c r="F22" s="2">
        <v>263.11231900570414</v>
      </c>
      <c r="G22" s="2">
        <v>281.65992637367356</v>
      </c>
      <c r="H22" s="2">
        <v>427.9028265551886</v>
      </c>
      <c r="N22" s="2" t="s">
        <v>0</v>
      </c>
      <c r="P22">
        <v>240.11451703963724</v>
      </c>
      <c r="Q22">
        <v>185.86949043698218</v>
      </c>
      <c r="R22">
        <v>218.95597246599385</v>
      </c>
      <c r="S22">
        <v>363.75676382791926</v>
      </c>
      <c r="T22">
        <v>418.54750219490779</v>
      </c>
      <c r="U22">
        <v>573.01413436212613</v>
      </c>
      <c r="W22" s="2"/>
    </row>
    <row r="23" spans="1:30" x14ac:dyDescent="0.25">
      <c r="A23" s="2" t="s">
        <v>46</v>
      </c>
      <c r="B23" s="2">
        <v>224.93551465000002</v>
      </c>
      <c r="E23">
        <v>214.32125356672535</v>
      </c>
      <c r="H23">
        <v>214.95919531302798</v>
      </c>
      <c r="N23" s="1" t="s">
        <v>120</v>
      </c>
      <c r="O23" s="2">
        <f>AVERAGE(O19:O22)</f>
        <v>318.82706793</v>
      </c>
      <c r="P23" s="2">
        <f t="shared" ref="P23:V23" si="4">AVERAGE(P19:P22)</f>
        <v>247.84374641655694</v>
      </c>
      <c r="Q23" s="2">
        <f t="shared" si="4"/>
        <v>210.87084603670343</v>
      </c>
      <c r="R23" s="2">
        <f t="shared" si="4"/>
        <v>218.12942573497148</v>
      </c>
      <c r="S23" s="2">
        <f t="shared" si="4"/>
        <v>359.86371597892884</v>
      </c>
      <c r="T23" s="2">
        <f t="shared" si="4"/>
        <v>393.64512510974538</v>
      </c>
      <c r="U23" s="2">
        <f t="shared" si="4"/>
        <v>521.36486163638824</v>
      </c>
      <c r="V23" s="2" t="e">
        <f t="shared" si="4"/>
        <v>#DIV/0!</v>
      </c>
      <c r="W23" s="2"/>
      <c r="X23" s="2"/>
      <c r="Y23" s="2"/>
      <c r="Z23" s="2"/>
      <c r="AA23" s="2"/>
      <c r="AB23" s="2"/>
      <c r="AC23" s="2"/>
      <c r="AD23" s="2"/>
    </row>
    <row r="24" spans="1:30" x14ac:dyDescent="0.25">
      <c r="N24" s="1" t="s">
        <v>122</v>
      </c>
      <c r="O24">
        <f>STDEVP(O19:O22)</f>
        <v>0</v>
      </c>
      <c r="P24">
        <f t="shared" ref="P24:V24" si="5">STDEVP(P19:P22)</f>
        <v>15.546766891425818</v>
      </c>
      <c r="Q24">
        <f t="shared" si="5"/>
        <v>35.163272954334438</v>
      </c>
      <c r="R24">
        <f t="shared" si="5"/>
        <v>0.82654673102237552</v>
      </c>
      <c r="S24">
        <f t="shared" si="5"/>
        <v>12.42556402967373</v>
      </c>
      <c r="T24">
        <f t="shared" si="5"/>
        <v>32.203364209197964</v>
      </c>
      <c r="U24">
        <f t="shared" si="5"/>
        <v>68.736508508190497</v>
      </c>
      <c r="V24" t="e">
        <f t="shared" si="5"/>
        <v>#DIV/0!</v>
      </c>
    </row>
    <row r="25" spans="1:30" x14ac:dyDescent="0.25">
      <c r="A25" s="2" t="s">
        <v>92</v>
      </c>
      <c r="N25" s="1"/>
    </row>
    <row r="26" spans="1:30" x14ac:dyDescent="0.25">
      <c r="A26" s="1"/>
      <c r="B26" s="16" t="s">
        <v>68</v>
      </c>
      <c r="C26" s="17" t="s">
        <v>69</v>
      </c>
      <c r="D26" s="17" t="s">
        <v>70</v>
      </c>
      <c r="E26" s="17" t="s">
        <v>71</v>
      </c>
      <c r="F26" s="18" t="s">
        <v>72</v>
      </c>
      <c r="G26" s="2" t="s">
        <v>95</v>
      </c>
      <c r="N26" s="2"/>
      <c r="O26" s="2"/>
      <c r="P26" s="2"/>
      <c r="Q26" s="2"/>
      <c r="R26" s="2"/>
      <c r="S26" s="2"/>
      <c r="T26" s="2"/>
      <c r="U26" s="2"/>
      <c r="W26" s="2"/>
      <c r="X26" s="2"/>
      <c r="Y26" s="2"/>
      <c r="Z26" s="2"/>
      <c r="AA26" s="2"/>
      <c r="AB26" s="2"/>
      <c r="AC26" s="2"/>
      <c r="AD26" s="2"/>
    </row>
    <row r="27" spans="1:30" x14ac:dyDescent="0.25">
      <c r="A27">
        <v>0</v>
      </c>
      <c r="B27" s="2">
        <v>288.28151288999999</v>
      </c>
      <c r="C27" s="15">
        <v>251.94699788999998</v>
      </c>
      <c r="D27" s="15">
        <v>306.8755893</v>
      </c>
      <c r="E27" s="15">
        <v>316.13272845</v>
      </c>
      <c r="F27" s="15">
        <v>318.82706793</v>
      </c>
      <c r="G27" s="2">
        <v>267.30287465000004</v>
      </c>
      <c r="N27" s="2"/>
      <c r="W27" s="2"/>
    </row>
    <row r="28" spans="1:30" x14ac:dyDescent="0.25">
      <c r="A28">
        <v>2</v>
      </c>
      <c r="B28" s="2">
        <v>404.52723972502565</v>
      </c>
      <c r="C28" s="2">
        <v>308.81259075617959</v>
      </c>
      <c r="D28">
        <v>339.82118297498897</v>
      </c>
      <c r="E28">
        <v>238.98529863244116</v>
      </c>
      <c r="F28" s="2">
        <v>247.84374641655694</v>
      </c>
      <c r="N28" s="2"/>
      <c r="W28" s="2"/>
    </row>
    <row r="29" spans="1:30" x14ac:dyDescent="0.25">
      <c r="A29">
        <v>4</v>
      </c>
      <c r="B29" s="2">
        <v>360.52791544278978</v>
      </c>
      <c r="C29" s="2">
        <v>192.98228036032319</v>
      </c>
      <c r="D29">
        <v>236.93287427406247</v>
      </c>
      <c r="E29">
        <v>183.369155408719</v>
      </c>
      <c r="F29" s="2">
        <v>210.8708460367034</v>
      </c>
      <c r="N29" s="2"/>
      <c r="W29" s="2"/>
    </row>
    <row r="30" spans="1:30" x14ac:dyDescent="0.25">
      <c r="A30">
        <v>7</v>
      </c>
      <c r="B30" s="2">
        <v>469.30529782799471</v>
      </c>
      <c r="C30" s="2">
        <v>244.77994268319441</v>
      </c>
      <c r="D30">
        <v>278.75333424747697</v>
      </c>
      <c r="E30">
        <v>324.21490182097415</v>
      </c>
      <c r="F30" s="2">
        <v>218.38003450120524</v>
      </c>
      <c r="G30">
        <v>258.95489601624217</v>
      </c>
      <c r="N30" s="2"/>
      <c r="W30" s="2"/>
    </row>
    <row r="31" spans="1:30" x14ac:dyDescent="0.25">
      <c r="A31">
        <v>10</v>
      </c>
      <c r="B31" s="2">
        <v>515.56838498683055</v>
      </c>
      <c r="C31" s="2">
        <v>393.69062598770847</v>
      </c>
      <c r="D31">
        <v>355.04731343283578</v>
      </c>
      <c r="E31">
        <v>256.63049897570966</v>
      </c>
      <c r="F31" s="2">
        <v>359.86371597892884</v>
      </c>
      <c r="N31" s="1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x14ac:dyDescent="0.25">
      <c r="A32">
        <v>15</v>
      </c>
      <c r="B32" s="2">
        <v>542.20741000877956</v>
      </c>
      <c r="C32" s="2">
        <v>501.74177198330557</v>
      </c>
      <c r="D32">
        <v>492.22550043898156</v>
      </c>
      <c r="E32">
        <v>329.46501316944688</v>
      </c>
      <c r="F32" s="2">
        <v>393.64512510974544</v>
      </c>
      <c r="N32" s="1"/>
    </row>
    <row r="33" spans="1:30" x14ac:dyDescent="0.25">
      <c r="A33">
        <v>21</v>
      </c>
      <c r="B33" s="2">
        <v>503.65248311609378</v>
      </c>
      <c r="C33" s="2">
        <v>542.55208901384731</v>
      </c>
      <c r="D33">
        <v>542.09540690214089</v>
      </c>
      <c r="E33">
        <v>514.83092338083338</v>
      </c>
      <c r="F33" s="2">
        <v>561.26119272336268</v>
      </c>
      <c r="G33">
        <v>262.29239258458858</v>
      </c>
    </row>
    <row r="34" spans="1:30" x14ac:dyDescent="0.25">
      <c r="N34" s="2"/>
      <c r="O34" s="2"/>
      <c r="P34" s="2"/>
      <c r="Q34" s="2"/>
      <c r="S34" s="2"/>
      <c r="U34" s="2"/>
      <c r="W34" s="2"/>
      <c r="X34" s="2"/>
      <c r="Y34" s="2"/>
      <c r="Z34" s="2"/>
      <c r="AA34" s="2"/>
      <c r="AB34" s="2"/>
      <c r="AC34" s="2"/>
      <c r="AD34" s="2"/>
    </row>
    <row r="35" spans="1:30" x14ac:dyDescent="0.25">
      <c r="N35" s="2"/>
      <c r="W35" s="2"/>
    </row>
    <row r="36" spans="1:30" x14ac:dyDescent="0.25">
      <c r="N36" s="2"/>
      <c r="W36" s="2"/>
    </row>
    <row r="37" spans="1:30" x14ac:dyDescent="0.25">
      <c r="N37" s="2"/>
      <c r="W37" s="2"/>
    </row>
    <row r="38" spans="1:30" x14ac:dyDescent="0.25">
      <c r="N38" s="2"/>
      <c r="W38" s="2"/>
    </row>
    <row r="39" spans="1:30" x14ac:dyDescent="0.25">
      <c r="N39" s="1"/>
      <c r="O39" s="2"/>
      <c r="P39" s="2"/>
      <c r="Q39" s="2"/>
      <c r="R39" s="2"/>
      <c r="S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x14ac:dyDescent="0.25">
      <c r="N40" s="1"/>
    </row>
    <row r="42" spans="1:30" x14ac:dyDescent="0.25">
      <c r="N42" s="2"/>
      <c r="O42" s="2"/>
      <c r="P42" s="2"/>
      <c r="Q42" s="2"/>
      <c r="R42" s="2"/>
      <c r="S42" s="2"/>
      <c r="U42" s="2"/>
      <c r="W42" s="2"/>
      <c r="X42" s="2"/>
      <c r="Y42" s="2"/>
      <c r="Z42" s="2"/>
      <c r="AA42" s="2"/>
      <c r="AB42" s="2"/>
      <c r="AC42" s="2"/>
      <c r="AD42" s="2"/>
    </row>
    <row r="43" spans="1:30" x14ac:dyDescent="0.25">
      <c r="N43" s="2"/>
      <c r="W43" s="2"/>
    </row>
    <row r="44" spans="1:30" x14ac:dyDescent="0.25">
      <c r="N44" s="2"/>
      <c r="W44" s="2"/>
    </row>
    <row r="45" spans="1:30" x14ac:dyDescent="0.25">
      <c r="N45" s="2"/>
      <c r="W45" s="2"/>
    </row>
    <row r="46" spans="1:30" x14ac:dyDescent="0.25">
      <c r="N46" s="2"/>
      <c r="W46" s="2"/>
    </row>
    <row r="47" spans="1:30" x14ac:dyDescent="0.25">
      <c r="N47" s="1"/>
      <c r="O47" s="2"/>
      <c r="P47" s="2"/>
      <c r="Q47" s="2"/>
      <c r="R47" s="2"/>
      <c r="S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x14ac:dyDescent="0.25">
      <c r="N48" s="1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79232-4A9F-48D5-BFB0-AF6AE37E4AA9}">
  <dimension ref="A1:Z49"/>
  <sheetViews>
    <sheetView zoomScale="86" zoomScaleNormal="86" workbookViewId="0">
      <selection activeCell="F33" sqref="F33"/>
    </sheetView>
  </sheetViews>
  <sheetFormatPr defaultRowHeight="13.8" x14ac:dyDescent="0.25"/>
  <sheetData>
    <row r="1" spans="1:26" x14ac:dyDescent="0.25">
      <c r="A1" s="9" t="s">
        <v>30</v>
      </c>
      <c r="B1" s="6"/>
      <c r="C1" s="6"/>
      <c r="D1" s="6"/>
      <c r="E1" s="6"/>
      <c r="F1" s="6"/>
      <c r="G1" s="6"/>
      <c r="H1" s="9" t="s">
        <v>31</v>
      </c>
      <c r="I1" s="6"/>
      <c r="J1" s="6"/>
      <c r="K1" s="6"/>
      <c r="L1" s="6"/>
      <c r="M1" s="6"/>
      <c r="O1" s="9" t="s">
        <v>36</v>
      </c>
      <c r="P1" s="6"/>
      <c r="Q1" s="6"/>
      <c r="R1" s="6"/>
    </row>
    <row r="2" spans="1:26" x14ac:dyDescent="0.25">
      <c r="A2" s="6"/>
      <c r="B2" s="6" t="s">
        <v>67</v>
      </c>
      <c r="C2" s="6" t="s">
        <v>69</v>
      </c>
      <c r="D2" s="6" t="s">
        <v>70</v>
      </c>
      <c r="E2" s="6" t="s">
        <v>71</v>
      </c>
      <c r="F2" s="6" t="s">
        <v>72</v>
      </c>
      <c r="G2" s="6"/>
      <c r="H2" s="6"/>
      <c r="I2" s="6" t="s">
        <v>67</v>
      </c>
      <c r="J2" s="6" t="s">
        <v>69</v>
      </c>
      <c r="K2" s="6" t="s">
        <v>70</v>
      </c>
      <c r="L2" s="6" t="s">
        <v>71</v>
      </c>
      <c r="M2" s="6" t="s">
        <v>72</v>
      </c>
      <c r="O2" s="6"/>
      <c r="P2" s="6" t="s">
        <v>37</v>
      </c>
      <c r="Q2" s="6" t="s">
        <v>38</v>
      </c>
      <c r="R2" s="6" t="s">
        <v>39</v>
      </c>
    </row>
    <row r="3" spans="1:26" x14ac:dyDescent="0.25">
      <c r="A3" s="6" t="s">
        <v>22</v>
      </c>
      <c r="B3">
        <v>6.97</v>
      </c>
      <c r="C3">
        <v>4.42</v>
      </c>
      <c r="D3">
        <v>5.19</v>
      </c>
      <c r="E3">
        <v>5.09</v>
      </c>
      <c r="F3">
        <v>4.3099999999999996</v>
      </c>
      <c r="G3" s="6"/>
      <c r="H3" s="6" t="s">
        <v>22</v>
      </c>
      <c r="I3" s="6">
        <v>5.62</v>
      </c>
      <c r="J3" s="6">
        <v>4.6500000000000004</v>
      </c>
      <c r="K3" s="6">
        <v>8.3800000000000008</v>
      </c>
      <c r="L3" s="6">
        <v>8.84</v>
      </c>
      <c r="M3" s="10">
        <v>4.3600000000000003</v>
      </c>
      <c r="O3" s="6" t="s">
        <v>22</v>
      </c>
      <c r="P3" s="10">
        <v>6.9</v>
      </c>
      <c r="Q3" s="6">
        <v>6.77</v>
      </c>
      <c r="R3" s="10">
        <v>6.82</v>
      </c>
    </row>
    <row r="4" spans="1:26" x14ac:dyDescent="0.25">
      <c r="A4" s="6" t="s">
        <v>24</v>
      </c>
      <c r="B4">
        <v>6.96</v>
      </c>
      <c r="C4">
        <v>4.3499999999999996</v>
      </c>
      <c r="D4">
        <v>5.23</v>
      </c>
      <c r="E4">
        <v>5.04</v>
      </c>
      <c r="F4">
        <v>4.38</v>
      </c>
      <c r="G4" s="6"/>
      <c r="H4" s="6" t="s">
        <v>24</v>
      </c>
      <c r="I4" s="6"/>
      <c r="J4" s="6">
        <v>4.2300000000000004</v>
      </c>
      <c r="K4" s="6">
        <v>8.11</v>
      </c>
      <c r="L4" s="6">
        <v>8.5399999999999991</v>
      </c>
      <c r="M4" s="6">
        <v>4.17</v>
      </c>
      <c r="O4" s="6" t="s">
        <v>24</v>
      </c>
      <c r="P4" s="6">
        <v>6.92</v>
      </c>
      <c r="Q4" s="6">
        <v>6.92</v>
      </c>
      <c r="R4" s="6">
        <v>6.95</v>
      </c>
    </row>
    <row r="5" spans="1:26" x14ac:dyDescent="0.25">
      <c r="A5" s="6" t="s">
        <v>26</v>
      </c>
      <c r="B5">
        <v>6.88</v>
      </c>
      <c r="C5">
        <v>4.4800000000000004</v>
      </c>
      <c r="D5">
        <v>5.18</v>
      </c>
      <c r="E5">
        <v>5</v>
      </c>
      <c r="F5">
        <v>4.38</v>
      </c>
      <c r="G5" s="6"/>
      <c r="H5" s="6" t="s">
        <v>26</v>
      </c>
      <c r="I5" s="6">
        <v>5.32</v>
      </c>
      <c r="J5" s="6">
        <v>4.71</v>
      </c>
      <c r="K5" s="6">
        <v>8.27</v>
      </c>
      <c r="L5" s="6">
        <v>8.33</v>
      </c>
      <c r="M5" s="6">
        <v>4.22</v>
      </c>
      <c r="O5" s="6" t="s">
        <v>26</v>
      </c>
      <c r="P5" s="6">
        <v>6.95</v>
      </c>
      <c r="Q5" s="6">
        <v>6.87</v>
      </c>
      <c r="R5" s="6">
        <v>6.92</v>
      </c>
    </row>
    <row r="6" spans="1:26" x14ac:dyDescent="0.25">
      <c r="A6" s="6" t="s">
        <v>28</v>
      </c>
      <c r="B6">
        <v>6.91</v>
      </c>
      <c r="C6">
        <v>4.24</v>
      </c>
      <c r="D6">
        <v>5.25</v>
      </c>
      <c r="E6">
        <v>5.1100000000000003</v>
      </c>
      <c r="F6">
        <v>4.2699999999999996</v>
      </c>
      <c r="G6" s="6"/>
      <c r="H6" s="6" t="s">
        <v>28</v>
      </c>
      <c r="I6" s="6"/>
      <c r="J6" s="6">
        <v>4.55</v>
      </c>
      <c r="K6" s="6"/>
      <c r="L6" s="6"/>
      <c r="M6" s="6">
        <v>4.51</v>
      </c>
      <c r="O6" s="6" t="s">
        <v>28</v>
      </c>
      <c r="P6" s="6">
        <v>6.89</v>
      </c>
      <c r="Q6" s="6">
        <v>6.93</v>
      </c>
      <c r="R6" s="6">
        <v>6.9</v>
      </c>
    </row>
    <row r="7" spans="1:26" x14ac:dyDescent="0.25">
      <c r="A7" s="11" t="s">
        <v>133</v>
      </c>
      <c r="B7" s="6">
        <f>AVERAGE(B3:B6)</f>
        <v>6.93</v>
      </c>
      <c r="C7" s="6">
        <f>AVERAGE(C3:C6)</f>
        <v>4.3725000000000005</v>
      </c>
      <c r="D7" s="6">
        <f>AVERAGE(D3:D6)</f>
        <v>5.2125000000000004</v>
      </c>
      <c r="E7" s="6">
        <f>AVERAGE(E3:E6)</f>
        <v>5.0599999999999996</v>
      </c>
      <c r="F7" s="6">
        <f>AVERAGE(F3:F6)</f>
        <v>4.335</v>
      </c>
      <c r="G7" s="6"/>
      <c r="H7" s="6"/>
      <c r="I7" s="6">
        <f>AVERAGE(I3:I6)</f>
        <v>5.4700000000000006</v>
      </c>
      <c r="J7" s="6">
        <f>AVERAGE(J3:J6)</f>
        <v>4.5350000000000001</v>
      </c>
      <c r="K7" s="6">
        <f>AVERAGE(K3:K6)</f>
        <v>8.2533333333333339</v>
      </c>
      <c r="L7" s="6">
        <f>AVERAGE(L3:L6)</f>
        <v>8.57</v>
      </c>
      <c r="M7" s="6">
        <f>AVERAGE(M3:M6)</f>
        <v>4.3149999999999995</v>
      </c>
    </row>
    <row r="8" spans="1:26" x14ac:dyDescent="0.25">
      <c r="A8" s="11" t="s">
        <v>122</v>
      </c>
      <c r="B8" s="6">
        <f>STDEVP(B3:B6)</f>
        <v>3.6742346141747616E-2</v>
      </c>
      <c r="C8" s="6">
        <f>STDEVP(C3:C6)</f>
        <v>8.9267855356785678E-2</v>
      </c>
      <c r="D8" s="6">
        <f>STDEVP(D3:D6)</f>
        <v>2.861380785564906E-2</v>
      </c>
      <c r="E8" s="6">
        <f>STDEVP(E3:E6)</f>
        <v>4.3011626335213202E-2</v>
      </c>
      <c r="F8" s="6">
        <f>STDEVP(F3:F6)</f>
        <v>4.7169905660283173E-2</v>
      </c>
      <c r="G8" s="6"/>
      <c r="H8" s="6"/>
      <c r="I8" s="6">
        <f>STDEVP(I3:I6)</f>
        <v>0.14999999999999991</v>
      </c>
      <c r="J8" s="6">
        <f>STDEVP(J3:J6)</f>
        <v>0.18513508581573604</v>
      </c>
      <c r="K8" s="6">
        <f>STDEVP(K3:K6)</f>
        <v>0.11085526098877312</v>
      </c>
      <c r="L8" s="6">
        <f>STDEVP(L3:L6)</f>
        <v>0.20928449536456345</v>
      </c>
      <c r="M8" s="6">
        <f>STDEVP(M3:M6)</f>
        <v>0.1323820229487373</v>
      </c>
      <c r="P8" t="s">
        <v>67</v>
      </c>
      <c r="Q8" s="6">
        <v>0</v>
      </c>
      <c r="R8" s="6">
        <v>10</v>
      </c>
      <c r="S8">
        <v>60</v>
      </c>
      <c r="T8">
        <v>120</v>
      </c>
      <c r="U8">
        <v>168</v>
      </c>
      <c r="V8">
        <v>360</v>
      </c>
      <c r="W8">
        <v>504</v>
      </c>
    </row>
    <row r="9" spans="1:26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P9" t="s">
        <v>23</v>
      </c>
      <c r="Q9" s="6">
        <v>6.915</v>
      </c>
      <c r="R9">
        <v>6.97</v>
      </c>
      <c r="S9" s="6">
        <v>5.5600000000000005</v>
      </c>
      <c r="T9" s="6">
        <v>5.74</v>
      </c>
      <c r="U9" s="6">
        <v>5.62</v>
      </c>
      <c r="V9" s="6">
        <v>5.37</v>
      </c>
      <c r="W9" s="6">
        <v>5.44</v>
      </c>
      <c r="Y9">
        <v>5.4766666669999999</v>
      </c>
    </row>
    <row r="10" spans="1:26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P10" t="s">
        <v>25</v>
      </c>
      <c r="Q10" s="6">
        <v>6.915</v>
      </c>
      <c r="R10">
        <v>6.96</v>
      </c>
      <c r="S10" s="6"/>
      <c r="T10" s="6"/>
      <c r="U10" s="6"/>
      <c r="V10" s="6"/>
      <c r="W10" s="6"/>
    </row>
    <row r="11" spans="1:26" x14ac:dyDescent="0.25">
      <c r="A11" s="9" t="s">
        <v>32</v>
      </c>
      <c r="B11" s="6"/>
      <c r="C11" s="6"/>
      <c r="D11" s="6"/>
      <c r="E11" s="6"/>
      <c r="F11" s="6"/>
      <c r="G11" s="6"/>
      <c r="H11" s="9" t="s">
        <v>33</v>
      </c>
      <c r="I11" s="6"/>
      <c r="J11" s="6"/>
      <c r="K11" s="6"/>
      <c r="L11" s="6"/>
      <c r="M11" s="6"/>
      <c r="P11" t="s">
        <v>27</v>
      </c>
      <c r="Q11" s="6">
        <v>6.915</v>
      </c>
      <c r="R11">
        <v>6.88</v>
      </c>
      <c r="S11" s="6">
        <v>5.44</v>
      </c>
      <c r="T11" s="6">
        <v>5.23</v>
      </c>
      <c r="U11" s="6">
        <v>5.32</v>
      </c>
      <c r="V11" s="6">
        <v>5.25</v>
      </c>
      <c r="W11" s="6">
        <v>5.52</v>
      </c>
      <c r="Y11">
        <v>5.3633333329999999</v>
      </c>
    </row>
    <row r="12" spans="1:26" x14ac:dyDescent="0.25">
      <c r="A12" s="6"/>
      <c r="B12" s="6" t="s">
        <v>67</v>
      </c>
      <c r="C12" s="6" t="s">
        <v>69</v>
      </c>
      <c r="D12" s="6" t="s">
        <v>70</v>
      </c>
      <c r="E12" s="6" t="s">
        <v>71</v>
      </c>
      <c r="F12" s="6" t="s">
        <v>72</v>
      </c>
      <c r="G12" s="6"/>
      <c r="H12" s="6"/>
      <c r="I12" s="6" t="s">
        <v>67</v>
      </c>
      <c r="J12" s="6" t="s">
        <v>69</v>
      </c>
      <c r="K12" s="6" t="s">
        <v>70</v>
      </c>
      <c r="L12" s="6" t="s">
        <v>71</v>
      </c>
      <c r="M12" s="6" t="s">
        <v>72</v>
      </c>
      <c r="P12" t="s">
        <v>29</v>
      </c>
      <c r="Q12" s="6">
        <v>6.915</v>
      </c>
      <c r="R12">
        <v>6.91</v>
      </c>
      <c r="S12" s="6">
        <v>5.49</v>
      </c>
      <c r="T12" s="6"/>
      <c r="U12" s="6"/>
      <c r="V12" s="6"/>
      <c r="W12" s="6"/>
      <c r="Y12" s="6"/>
      <c r="Z12" s="6"/>
    </row>
    <row r="13" spans="1:26" x14ac:dyDescent="0.25">
      <c r="A13" s="6" t="s">
        <v>22</v>
      </c>
      <c r="B13" s="6">
        <v>5.5600000000000005</v>
      </c>
      <c r="C13" s="6">
        <v>4.45</v>
      </c>
      <c r="D13" s="6">
        <v>7.63</v>
      </c>
      <c r="E13" s="6">
        <v>7.5600000000000005</v>
      </c>
      <c r="F13" s="6">
        <v>4.22</v>
      </c>
      <c r="G13" s="6"/>
      <c r="H13" s="6" t="s">
        <v>22</v>
      </c>
      <c r="I13" s="6">
        <v>5.37</v>
      </c>
      <c r="J13" s="6">
        <v>4.46</v>
      </c>
      <c r="K13" s="10">
        <v>8.3000000000000007</v>
      </c>
      <c r="L13" s="6">
        <v>7.48</v>
      </c>
      <c r="M13" s="6">
        <v>4.21</v>
      </c>
      <c r="P13" t="s">
        <v>69</v>
      </c>
      <c r="Q13" s="6"/>
    </row>
    <row r="14" spans="1:26" x14ac:dyDescent="0.25">
      <c r="A14" s="6" t="s">
        <v>24</v>
      </c>
      <c r="B14" s="6"/>
      <c r="C14" s="6">
        <v>4.22</v>
      </c>
      <c r="D14" s="12">
        <v>7.65</v>
      </c>
      <c r="E14" s="6">
        <v>7.23</v>
      </c>
      <c r="F14" s="6">
        <v>4.17</v>
      </c>
      <c r="G14" s="6"/>
      <c r="H14" s="6" t="s">
        <v>24</v>
      </c>
      <c r="I14" s="6"/>
      <c r="J14" s="6">
        <v>4.34</v>
      </c>
      <c r="K14" s="6">
        <v>8.2200000000000006</v>
      </c>
      <c r="L14" s="6">
        <v>7.62</v>
      </c>
      <c r="M14" s="6">
        <v>4.42</v>
      </c>
      <c r="P14" t="s">
        <v>23</v>
      </c>
      <c r="Q14" s="6">
        <v>6.915</v>
      </c>
      <c r="R14">
        <v>4.42</v>
      </c>
      <c r="S14" s="6">
        <v>4.45</v>
      </c>
      <c r="T14" s="6">
        <v>4.57</v>
      </c>
      <c r="U14" s="6">
        <v>4.6500000000000004</v>
      </c>
      <c r="V14" s="6">
        <v>4.46</v>
      </c>
      <c r="W14" s="6">
        <v>4.46</v>
      </c>
      <c r="Y14">
        <f>AVERAGE(U14:W14)</f>
        <v>4.5233333333333334</v>
      </c>
    </row>
    <row r="15" spans="1:26" x14ac:dyDescent="0.25">
      <c r="A15" s="6" t="s">
        <v>26</v>
      </c>
      <c r="B15" s="6">
        <v>5.44</v>
      </c>
      <c r="C15" s="6">
        <v>4.3099999999999996</v>
      </c>
      <c r="D15" s="12">
        <v>7.76</v>
      </c>
      <c r="E15" s="6">
        <v>7.11</v>
      </c>
      <c r="F15" s="6">
        <v>4.32</v>
      </c>
      <c r="G15" s="6"/>
      <c r="H15" s="6" t="s">
        <v>26</v>
      </c>
      <c r="I15" s="6">
        <v>5.25</v>
      </c>
      <c r="J15" s="6">
        <v>4.51</v>
      </c>
      <c r="K15" s="6">
        <v>8.41</v>
      </c>
      <c r="L15" s="6">
        <v>7.23</v>
      </c>
      <c r="M15" s="6">
        <v>4.37</v>
      </c>
      <c r="P15" t="s">
        <v>25</v>
      </c>
      <c r="Q15" s="6">
        <v>6.915</v>
      </c>
      <c r="R15">
        <v>4.3499999999999996</v>
      </c>
      <c r="S15" s="6">
        <v>4.22</v>
      </c>
      <c r="T15" s="6">
        <v>4.4400000000000004</v>
      </c>
      <c r="U15" s="6">
        <v>4.2300000000000004</v>
      </c>
      <c r="V15" s="6">
        <v>4.34</v>
      </c>
      <c r="W15" s="6">
        <v>4.37</v>
      </c>
      <c r="Y15">
        <f t="shared" ref="Y15:Y32" si="0">AVERAGE(U15:W15)</f>
        <v>4.3133333333333335</v>
      </c>
    </row>
    <row r="16" spans="1:26" x14ac:dyDescent="0.25">
      <c r="A16" s="6" t="s">
        <v>28</v>
      </c>
      <c r="B16" s="6">
        <v>5.49</v>
      </c>
      <c r="C16" s="6">
        <v>4.37</v>
      </c>
      <c r="D16" s="12"/>
      <c r="E16" s="6">
        <v>7.27</v>
      </c>
      <c r="F16" s="6">
        <v>4.21</v>
      </c>
      <c r="G16" s="6"/>
      <c r="H16" s="6" t="s">
        <v>28</v>
      </c>
      <c r="I16" s="6"/>
      <c r="J16" s="6">
        <v>4.2300000000000004</v>
      </c>
      <c r="K16" s="6"/>
      <c r="L16" s="6"/>
      <c r="M16" s="6">
        <v>4.22</v>
      </c>
      <c r="P16" t="s">
        <v>27</v>
      </c>
      <c r="Q16" s="6">
        <v>6.915</v>
      </c>
      <c r="R16">
        <v>4.4800000000000004</v>
      </c>
      <c r="S16" s="6">
        <v>4.3099999999999996</v>
      </c>
      <c r="T16" s="6">
        <v>4.17</v>
      </c>
      <c r="U16" s="6">
        <v>4.71</v>
      </c>
      <c r="V16" s="6">
        <v>4.51</v>
      </c>
      <c r="W16" s="6">
        <v>4.4800000000000004</v>
      </c>
      <c r="Y16">
        <f t="shared" si="0"/>
        <v>4.5666666666666664</v>
      </c>
    </row>
    <row r="17" spans="1:25" x14ac:dyDescent="0.25">
      <c r="A17" s="11" t="s">
        <v>133</v>
      </c>
      <c r="B17" s="6">
        <f>AVERAGE(B13:B16)</f>
        <v>5.496666666666667</v>
      </c>
      <c r="C17" s="6">
        <f>AVERAGE(C13:C16)</f>
        <v>4.3375000000000004</v>
      </c>
      <c r="D17" s="6">
        <f>AVERAGE(D13:D16)</f>
        <v>7.68</v>
      </c>
      <c r="E17" s="6">
        <f>AVERAGE(E13:E16)</f>
        <v>7.2925000000000004</v>
      </c>
      <c r="F17" s="6">
        <f>AVERAGE(F13:F16)</f>
        <v>4.2300000000000004</v>
      </c>
      <c r="G17" s="6"/>
      <c r="H17" s="6"/>
      <c r="I17" s="6">
        <f>AVERAGE(I13:I16)</f>
        <v>5.3100000000000005</v>
      </c>
      <c r="J17" s="6">
        <f>AVERAGE(J13:J16)</f>
        <v>4.3849999999999998</v>
      </c>
      <c r="K17" s="6">
        <f>AVERAGE(K13:K16)</f>
        <v>8.31</v>
      </c>
      <c r="L17" s="6">
        <f>AVERAGE(L13:L16)</f>
        <v>7.4433333333333342</v>
      </c>
      <c r="M17" s="6">
        <f>AVERAGE(M13:M16)</f>
        <v>4.3049999999999997</v>
      </c>
      <c r="P17" s="6" t="s">
        <v>29</v>
      </c>
      <c r="Q17" s="6">
        <v>6.915</v>
      </c>
      <c r="R17">
        <v>4.24</v>
      </c>
      <c r="S17" s="6">
        <v>4.37</v>
      </c>
      <c r="T17" s="6">
        <v>4.07</v>
      </c>
      <c r="U17" s="6">
        <v>4.55</v>
      </c>
      <c r="V17" s="6">
        <v>4.2300000000000004</v>
      </c>
      <c r="W17" s="6">
        <v>4.2699999999999996</v>
      </c>
      <c r="Y17">
        <f t="shared" si="0"/>
        <v>4.3500000000000005</v>
      </c>
    </row>
    <row r="18" spans="1:25" x14ac:dyDescent="0.25">
      <c r="A18" s="11" t="s">
        <v>122</v>
      </c>
      <c r="B18" s="6">
        <f>STDEVP(B13:B16)</f>
        <v>4.9216076867444725E-2</v>
      </c>
      <c r="C18" s="6">
        <f>STDEVP(C13:C16)</f>
        <v>8.4075858604001366E-2</v>
      </c>
      <c r="D18" s="6">
        <f>STDEVP(D13:D16)</f>
        <v>5.7154760664940692E-2</v>
      </c>
      <c r="E18" s="6">
        <f>STDEVP(E13:E16)</f>
        <v>0.16528384676065605</v>
      </c>
      <c r="F18" s="6">
        <f>STDEVP(F13:F16)</f>
        <v>5.5226805085936456E-2</v>
      </c>
      <c r="G18" s="6"/>
      <c r="H18" s="6"/>
      <c r="I18" s="6">
        <f>STDEVP(I13:I16)</f>
        <v>6.0000000000000053E-2</v>
      </c>
      <c r="J18" s="6">
        <f>STDEVP(J13:J16)</f>
        <v>0.10874281585465753</v>
      </c>
      <c r="K18" s="6">
        <f>STDEVP(K13:K16)</f>
        <v>7.788880963698594E-2</v>
      </c>
      <c r="L18" s="6">
        <f>STDEVP(L13:L16)</f>
        <v>0.16131404843417138</v>
      </c>
      <c r="M18" s="6">
        <f>STDEVP(M13:M16)</f>
        <v>9.178779875342917E-2</v>
      </c>
      <c r="P18" t="s">
        <v>70</v>
      </c>
      <c r="Q18" s="6"/>
    </row>
    <row r="19" spans="1:2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P19" t="s">
        <v>23</v>
      </c>
      <c r="Q19" s="6">
        <v>6.915</v>
      </c>
      <c r="R19">
        <v>5.19</v>
      </c>
      <c r="S19" s="6">
        <v>7.63</v>
      </c>
      <c r="T19" s="6">
        <v>7.18</v>
      </c>
      <c r="U19" s="6">
        <v>8.3800000000000008</v>
      </c>
      <c r="V19" s="10">
        <v>8.3000000000000007</v>
      </c>
      <c r="W19" s="6">
        <v>8.26</v>
      </c>
      <c r="Y19">
        <f t="shared" si="0"/>
        <v>8.3133333333333326</v>
      </c>
    </row>
    <row r="20" spans="1:2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P20" t="s">
        <v>25</v>
      </c>
      <c r="Q20" s="6">
        <v>6.915</v>
      </c>
      <c r="R20">
        <v>5.23</v>
      </c>
      <c r="S20" s="12">
        <v>7.65</v>
      </c>
      <c r="T20" s="6">
        <v>7.25</v>
      </c>
      <c r="U20" s="6">
        <v>8.11</v>
      </c>
      <c r="V20" s="6">
        <v>8.2200000000000006</v>
      </c>
      <c r="W20" s="6">
        <v>8.2200000000000006</v>
      </c>
      <c r="Y20">
        <f t="shared" si="0"/>
        <v>8.1833333333333318</v>
      </c>
    </row>
    <row r="21" spans="1:25" x14ac:dyDescent="0.25">
      <c r="A21" s="9" t="s">
        <v>34</v>
      </c>
      <c r="B21" s="6"/>
      <c r="C21" s="6"/>
      <c r="D21" s="6"/>
      <c r="E21" s="6"/>
      <c r="F21" s="6"/>
      <c r="G21" s="6"/>
      <c r="H21" s="9" t="s">
        <v>35</v>
      </c>
      <c r="I21" s="6"/>
      <c r="J21" s="6"/>
      <c r="K21" s="6"/>
      <c r="L21" s="6"/>
      <c r="M21" s="6"/>
      <c r="P21" t="s">
        <v>27</v>
      </c>
      <c r="Q21" s="6">
        <v>6.915</v>
      </c>
      <c r="R21">
        <v>5.18</v>
      </c>
      <c r="S21" s="12">
        <v>7.76</v>
      </c>
      <c r="T21" s="6">
        <v>7.44</v>
      </c>
      <c r="U21" s="6">
        <v>8.27</v>
      </c>
      <c r="V21" s="6">
        <v>8.41</v>
      </c>
      <c r="W21" s="6">
        <v>8.42</v>
      </c>
      <c r="Y21">
        <f t="shared" si="0"/>
        <v>8.3666666666666671</v>
      </c>
    </row>
    <row r="22" spans="1:25" x14ac:dyDescent="0.25">
      <c r="A22" s="6"/>
      <c r="B22" s="6" t="s">
        <v>67</v>
      </c>
      <c r="C22" s="6" t="s">
        <v>69</v>
      </c>
      <c r="D22" s="6" t="s">
        <v>70</v>
      </c>
      <c r="E22" s="6" t="s">
        <v>71</v>
      </c>
      <c r="F22" s="6" t="s">
        <v>72</v>
      </c>
      <c r="G22" s="6"/>
      <c r="H22" s="6"/>
      <c r="I22" s="6" t="s">
        <v>67</v>
      </c>
      <c r="J22" s="6" t="s">
        <v>69</v>
      </c>
      <c r="K22" s="6" t="s">
        <v>70</v>
      </c>
      <c r="L22" s="6" t="s">
        <v>71</v>
      </c>
      <c r="M22" s="6" t="s">
        <v>72</v>
      </c>
      <c r="P22" t="s">
        <v>29</v>
      </c>
      <c r="Q22" s="6">
        <v>6.915</v>
      </c>
      <c r="R22">
        <v>5.25</v>
      </c>
    </row>
    <row r="23" spans="1:25" x14ac:dyDescent="0.25">
      <c r="A23" s="6" t="s">
        <v>22</v>
      </c>
      <c r="B23" s="6">
        <v>5.74</v>
      </c>
      <c r="C23" s="6">
        <v>4.57</v>
      </c>
      <c r="D23" s="6">
        <v>7.18</v>
      </c>
      <c r="E23" s="6">
        <v>8.36</v>
      </c>
      <c r="F23" s="6">
        <v>4.29</v>
      </c>
      <c r="G23" s="6"/>
      <c r="H23" s="6" t="s">
        <v>22</v>
      </c>
      <c r="I23" s="6">
        <v>5.44</v>
      </c>
      <c r="J23" s="6">
        <v>4.46</v>
      </c>
      <c r="K23" s="6">
        <v>8.26</v>
      </c>
      <c r="L23" s="6">
        <v>7.03</v>
      </c>
      <c r="M23" s="6">
        <v>4.37</v>
      </c>
      <c r="P23" t="s">
        <v>71</v>
      </c>
      <c r="Q23" s="6"/>
    </row>
    <row r="24" spans="1:25" x14ac:dyDescent="0.25">
      <c r="A24" s="6" t="s">
        <v>24</v>
      </c>
      <c r="B24" s="6"/>
      <c r="C24" s="6">
        <v>4.4400000000000004</v>
      </c>
      <c r="D24" s="6">
        <v>7.25</v>
      </c>
      <c r="E24" s="6">
        <v>8.11</v>
      </c>
      <c r="F24" s="6">
        <v>4.24</v>
      </c>
      <c r="G24" s="6"/>
      <c r="H24" s="6" t="s">
        <v>24</v>
      </c>
      <c r="I24" s="6"/>
      <c r="J24" s="6">
        <v>4.37</v>
      </c>
      <c r="K24" s="6">
        <v>8.2200000000000006</v>
      </c>
      <c r="L24" s="6">
        <v>7.11</v>
      </c>
      <c r="M24" s="6">
        <v>4.24</v>
      </c>
      <c r="P24" t="s">
        <v>23</v>
      </c>
      <c r="Q24" s="6">
        <v>6.915</v>
      </c>
      <c r="R24">
        <v>5.09</v>
      </c>
      <c r="S24" s="6">
        <v>7.5600000000000005</v>
      </c>
      <c r="T24" s="6">
        <v>8.36</v>
      </c>
      <c r="U24" s="6">
        <v>8.84</v>
      </c>
      <c r="V24" s="6">
        <v>7.48</v>
      </c>
      <c r="W24" s="6">
        <v>7.03</v>
      </c>
      <c r="Y24">
        <f t="shared" si="0"/>
        <v>7.7833333333333341</v>
      </c>
    </row>
    <row r="25" spans="1:25" x14ac:dyDescent="0.25">
      <c r="A25" s="6" t="s">
        <v>26</v>
      </c>
      <c r="B25" s="6">
        <v>5.23</v>
      </c>
      <c r="C25" s="6">
        <v>4.17</v>
      </c>
      <c r="D25" s="6">
        <v>7.44</v>
      </c>
      <c r="E25" s="6">
        <v>7.87</v>
      </c>
      <c r="F25" s="6">
        <v>4.43</v>
      </c>
      <c r="G25" s="6"/>
      <c r="H25" s="6" t="s">
        <v>26</v>
      </c>
      <c r="I25" s="6">
        <v>5.52</v>
      </c>
      <c r="J25" s="6">
        <v>4.4800000000000004</v>
      </c>
      <c r="K25" s="6">
        <v>8.42</v>
      </c>
      <c r="L25" s="6">
        <v>6.98</v>
      </c>
      <c r="M25" s="6">
        <v>4.3499999999999996</v>
      </c>
      <c r="P25" t="s">
        <v>25</v>
      </c>
      <c r="Q25" s="6">
        <v>6.915</v>
      </c>
      <c r="R25">
        <v>5.04</v>
      </c>
      <c r="S25" s="6">
        <v>7.23</v>
      </c>
      <c r="T25" s="6">
        <v>8.11</v>
      </c>
      <c r="U25" s="6">
        <v>8.5399999999999991</v>
      </c>
      <c r="V25" s="6">
        <v>7.62</v>
      </c>
      <c r="W25" s="6">
        <v>7.11</v>
      </c>
      <c r="Y25">
        <f t="shared" si="0"/>
        <v>7.7566666666666668</v>
      </c>
    </row>
    <row r="26" spans="1:25" x14ac:dyDescent="0.25">
      <c r="A26" s="6" t="s">
        <v>28</v>
      </c>
      <c r="B26" s="6"/>
      <c r="C26" s="6">
        <v>4.07</v>
      </c>
      <c r="D26" s="6"/>
      <c r="E26" s="6">
        <v>8.0299999999999994</v>
      </c>
      <c r="F26" s="6">
        <v>4.32</v>
      </c>
      <c r="G26" s="6"/>
      <c r="H26" s="6" t="s">
        <v>28</v>
      </c>
      <c r="I26" s="6"/>
      <c r="J26" s="6">
        <v>4.2699999999999996</v>
      </c>
      <c r="K26" s="6"/>
      <c r="L26" s="6"/>
      <c r="M26" s="6">
        <v>4.42</v>
      </c>
      <c r="P26" t="s">
        <v>27</v>
      </c>
      <c r="Q26" s="6">
        <v>6.915</v>
      </c>
      <c r="R26">
        <v>5</v>
      </c>
      <c r="S26" s="6">
        <v>7.11</v>
      </c>
      <c r="T26" s="6">
        <v>7.87</v>
      </c>
      <c r="U26" s="6">
        <v>8.33</v>
      </c>
      <c r="V26" s="6">
        <v>7.23</v>
      </c>
      <c r="W26" s="6">
        <v>6.98</v>
      </c>
      <c r="Y26">
        <f t="shared" si="0"/>
        <v>7.5133333333333328</v>
      </c>
    </row>
    <row r="27" spans="1:25" x14ac:dyDescent="0.25">
      <c r="A27" s="11" t="s">
        <v>133</v>
      </c>
      <c r="B27" s="6">
        <f>AVERAGE(B23:B26)</f>
        <v>5.4850000000000003</v>
      </c>
      <c r="C27" s="6">
        <f>AVERAGE(C23:C26)</f>
        <v>4.3125</v>
      </c>
      <c r="D27" s="6">
        <f>AVERAGE(D23:D26)</f>
        <v>7.29</v>
      </c>
      <c r="E27" s="6">
        <f>AVERAGE(E23:E26)</f>
        <v>8.0924999999999994</v>
      </c>
      <c r="F27" s="6">
        <f>AVERAGE(F23:F26)</f>
        <v>4.32</v>
      </c>
      <c r="G27" s="6"/>
      <c r="H27" s="6"/>
      <c r="I27" s="6">
        <f>AVERAGE(I23:I26)</f>
        <v>5.48</v>
      </c>
      <c r="J27" s="6">
        <f>AVERAGE(J23:J26)</f>
        <v>4.3949999999999996</v>
      </c>
      <c r="K27" s="6">
        <f>AVERAGE(K23:K26)</f>
        <v>8.2999999999999989</v>
      </c>
      <c r="L27" s="6">
        <f>AVERAGE(L23:L26)</f>
        <v>7.04</v>
      </c>
      <c r="M27" s="6">
        <f>AVERAGE(M23:M26)</f>
        <v>4.3449999999999998</v>
      </c>
      <c r="P27" t="s">
        <v>29</v>
      </c>
      <c r="Q27" s="6">
        <v>6.915</v>
      </c>
      <c r="R27">
        <v>5.1100000000000003</v>
      </c>
      <c r="S27" s="6">
        <v>7.27</v>
      </c>
      <c r="T27" s="6">
        <v>8.0299999999999994</v>
      </c>
    </row>
    <row r="28" spans="1:25" x14ac:dyDescent="0.25">
      <c r="A28" s="11" t="s">
        <v>122</v>
      </c>
      <c r="B28" s="6">
        <f>STDEVP(B23:B26)</f>
        <v>0.25499999999999989</v>
      </c>
      <c r="C28" s="6">
        <f>STDEVP(C23:C26)</f>
        <v>0.20104414938017975</v>
      </c>
      <c r="D28" s="6">
        <f>STDEVP(D23:D26)</f>
        <v>0.10984838035522748</v>
      </c>
      <c r="E28" s="6">
        <f>STDEVP(E23:E26)</f>
        <v>0.17697104282904572</v>
      </c>
      <c r="F28" s="6">
        <f>STDEVP(F23:F26)</f>
        <v>6.9641941385920419E-2</v>
      </c>
      <c r="G28" s="6"/>
      <c r="H28" s="6"/>
      <c r="I28" s="6">
        <f>STDEVP(I23:I26)</f>
        <v>3.9999999999999591E-2</v>
      </c>
      <c r="J28" s="6">
        <f>STDEVP(J23:J26)</f>
        <v>8.3216584885466446E-2</v>
      </c>
      <c r="K28" s="6">
        <f>STDEVP(K23:K26)</f>
        <v>8.6409875978771269E-2</v>
      </c>
      <c r="L28" s="6">
        <f>STDEVP(L23:L26)</f>
        <v>5.3541261347363339E-2</v>
      </c>
      <c r="M28" s="6">
        <f>STDEVP(M23:M26)</f>
        <v>6.5764732189829422E-2</v>
      </c>
      <c r="P28" t="s">
        <v>72</v>
      </c>
      <c r="Q28" s="6"/>
    </row>
    <row r="29" spans="1:25" x14ac:dyDescent="0.25">
      <c r="P29" t="s">
        <v>23</v>
      </c>
      <c r="Q29" s="6">
        <v>6.915</v>
      </c>
      <c r="R29">
        <v>4.3099999999999996</v>
      </c>
      <c r="S29" s="6">
        <v>4.22</v>
      </c>
      <c r="T29" s="6">
        <v>4.29</v>
      </c>
      <c r="U29" s="10">
        <v>4.3600000000000003</v>
      </c>
      <c r="V29" s="6">
        <v>4.21</v>
      </c>
      <c r="W29" s="6">
        <v>4.37</v>
      </c>
      <c r="Y29">
        <f t="shared" si="0"/>
        <v>4.3133333333333335</v>
      </c>
    </row>
    <row r="30" spans="1:25" x14ac:dyDescent="0.25">
      <c r="A30" s="11" t="s">
        <v>133</v>
      </c>
      <c r="B30" s="11" t="s">
        <v>67</v>
      </c>
      <c r="C30" s="11" t="s">
        <v>69</v>
      </c>
      <c r="D30" s="11" t="s">
        <v>70</v>
      </c>
      <c r="E30" s="11" t="s">
        <v>71</v>
      </c>
      <c r="F30" s="11" t="s">
        <v>72</v>
      </c>
      <c r="G30" s="11" t="s">
        <v>87</v>
      </c>
      <c r="P30" t="s">
        <v>25</v>
      </c>
      <c r="Q30" s="6">
        <v>6.915</v>
      </c>
      <c r="R30">
        <v>4.38</v>
      </c>
      <c r="S30" s="6">
        <v>4.17</v>
      </c>
      <c r="T30" s="6">
        <v>4.24</v>
      </c>
      <c r="U30" s="6">
        <v>4.17</v>
      </c>
      <c r="V30" s="6">
        <v>4.42</v>
      </c>
      <c r="W30" s="6">
        <v>4.24</v>
      </c>
      <c r="Y30">
        <f t="shared" si="0"/>
        <v>4.2766666666666664</v>
      </c>
    </row>
    <row r="31" spans="1:25" x14ac:dyDescent="0.25">
      <c r="A31" s="6">
        <v>0</v>
      </c>
      <c r="B31" s="6">
        <v>6.915</v>
      </c>
      <c r="C31" s="6">
        <v>6.915</v>
      </c>
      <c r="D31" s="6">
        <v>6.915</v>
      </c>
      <c r="E31" s="6">
        <v>6.915</v>
      </c>
      <c r="F31" s="6">
        <v>6.915</v>
      </c>
      <c r="G31" s="6">
        <v>6.915</v>
      </c>
      <c r="P31" t="s">
        <v>27</v>
      </c>
      <c r="Q31" s="6">
        <v>6.915</v>
      </c>
      <c r="R31">
        <v>4.38</v>
      </c>
      <c r="S31" s="6">
        <v>4.32</v>
      </c>
      <c r="T31" s="6">
        <v>4.43</v>
      </c>
      <c r="U31" s="6">
        <v>4.22</v>
      </c>
      <c r="V31" s="6">
        <v>4.37</v>
      </c>
      <c r="W31" s="6">
        <v>4.3499999999999996</v>
      </c>
      <c r="Y31">
        <f t="shared" si="0"/>
        <v>4.3133333333333335</v>
      </c>
    </row>
    <row r="32" spans="1:25" x14ac:dyDescent="0.25">
      <c r="A32" s="6">
        <v>10</v>
      </c>
      <c r="B32" s="6">
        <v>6.93</v>
      </c>
      <c r="C32" s="6">
        <v>4.3725000000000005</v>
      </c>
      <c r="D32" s="6">
        <v>5.2125000000000004</v>
      </c>
      <c r="E32" s="6">
        <v>5.0599999999999996</v>
      </c>
      <c r="F32" s="6">
        <v>4.335</v>
      </c>
      <c r="G32" s="6"/>
      <c r="P32" t="s">
        <v>29</v>
      </c>
      <c r="Q32" s="6">
        <v>6.915</v>
      </c>
      <c r="R32">
        <v>4.2699999999999996</v>
      </c>
      <c r="S32" s="6">
        <v>4.21</v>
      </c>
      <c r="T32" s="6">
        <v>4.32</v>
      </c>
      <c r="U32" s="6">
        <v>4.51</v>
      </c>
      <c r="V32" s="6">
        <v>4.22</v>
      </c>
      <c r="W32" s="6">
        <v>4.42</v>
      </c>
      <c r="Y32">
        <f t="shared" si="0"/>
        <v>4.3833333333333337</v>
      </c>
    </row>
    <row r="33" spans="1:7" x14ac:dyDescent="0.25">
      <c r="A33" s="6">
        <v>60</v>
      </c>
      <c r="B33" s="6">
        <v>5.496666666666667</v>
      </c>
      <c r="C33" s="6">
        <v>4.3375000000000004</v>
      </c>
      <c r="D33" s="6">
        <v>7.68</v>
      </c>
      <c r="E33" s="6">
        <v>7.2925000000000004</v>
      </c>
      <c r="F33" s="6">
        <v>4.2300000000000004</v>
      </c>
      <c r="G33" s="6"/>
    </row>
    <row r="34" spans="1:7" x14ac:dyDescent="0.25">
      <c r="A34" s="6">
        <v>120</v>
      </c>
      <c r="B34" s="6">
        <v>5.4850000000000003</v>
      </c>
      <c r="C34" s="6">
        <v>4.3125</v>
      </c>
      <c r="D34" s="6">
        <v>7.29</v>
      </c>
      <c r="E34" s="6">
        <v>8.0924999999999994</v>
      </c>
      <c r="F34" s="6">
        <v>4.32</v>
      </c>
      <c r="G34" s="6"/>
    </row>
    <row r="35" spans="1:7" x14ac:dyDescent="0.25">
      <c r="A35" s="6">
        <v>168</v>
      </c>
      <c r="B35">
        <v>5.4700000000000006</v>
      </c>
      <c r="C35">
        <v>4.5350000000000001</v>
      </c>
      <c r="D35">
        <v>8.2533333333333339</v>
      </c>
      <c r="E35">
        <v>8.57</v>
      </c>
      <c r="F35">
        <v>4.3149999999999995</v>
      </c>
      <c r="G35" s="6">
        <v>6.8724999999999996</v>
      </c>
    </row>
    <row r="36" spans="1:7" x14ac:dyDescent="0.25">
      <c r="A36" s="6">
        <v>360</v>
      </c>
      <c r="B36">
        <v>5.3100000000000005</v>
      </c>
      <c r="C36">
        <v>4.3849999999999998</v>
      </c>
      <c r="D36">
        <v>8.31</v>
      </c>
      <c r="E36">
        <v>7.4433333333333342</v>
      </c>
      <c r="F36">
        <v>4.3049999999999997</v>
      </c>
    </row>
    <row r="37" spans="1:7" x14ac:dyDescent="0.25">
      <c r="A37" s="6">
        <v>504</v>
      </c>
      <c r="B37">
        <v>5.48</v>
      </c>
      <c r="C37">
        <v>4.3949999999999996</v>
      </c>
      <c r="D37">
        <v>8.2999999999999989</v>
      </c>
      <c r="E37">
        <v>7.04</v>
      </c>
      <c r="F37">
        <v>4.3449999999999998</v>
      </c>
      <c r="G37" s="6">
        <v>6.8974999999999991</v>
      </c>
    </row>
    <row r="40" spans="1:7" x14ac:dyDescent="0.25">
      <c r="A40" s="6"/>
      <c r="B40" s="11" t="s">
        <v>67</v>
      </c>
      <c r="C40" s="11" t="s">
        <v>69</v>
      </c>
      <c r="D40" s="11" t="s">
        <v>70</v>
      </c>
      <c r="E40" s="11" t="s">
        <v>71</v>
      </c>
      <c r="F40" s="11" t="s">
        <v>72</v>
      </c>
    </row>
    <row r="41" spans="1:7" x14ac:dyDescent="0.25">
      <c r="A41" s="11"/>
      <c r="B41" s="6"/>
      <c r="C41" s="6"/>
      <c r="D41" s="6"/>
      <c r="E41" s="6"/>
      <c r="F41" s="6"/>
    </row>
    <row r="42" spans="1:7" x14ac:dyDescent="0.25">
      <c r="A42" s="11" t="s">
        <v>95</v>
      </c>
      <c r="B42">
        <v>5.04</v>
      </c>
      <c r="C42">
        <v>4.68</v>
      </c>
      <c r="D42">
        <v>5.85</v>
      </c>
      <c r="E42">
        <v>6.48</v>
      </c>
      <c r="F42">
        <v>4.22</v>
      </c>
    </row>
    <row r="43" spans="1:7" x14ac:dyDescent="0.25">
      <c r="C43">
        <v>4.33</v>
      </c>
      <c r="D43">
        <v>5.67</v>
      </c>
      <c r="E43">
        <v>6.56</v>
      </c>
      <c r="F43">
        <v>4.2699999999999996</v>
      </c>
    </row>
    <row r="44" spans="1:7" x14ac:dyDescent="0.25">
      <c r="B44">
        <v>5.24</v>
      </c>
      <c r="C44">
        <v>4.5199999999999996</v>
      </c>
      <c r="D44">
        <v>5.54</v>
      </c>
      <c r="E44">
        <v>6.75</v>
      </c>
      <c r="F44">
        <v>4.07</v>
      </c>
    </row>
    <row r="45" spans="1:7" x14ac:dyDescent="0.25">
      <c r="C45">
        <v>4.51</v>
      </c>
      <c r="F45">
        <v>4.28</v>
      </c>
    </row>
    <row r="46" spans="1:7" x14ac:dyDescent="0.25">
      <c r="A46" t="s">
        <v>151</v>
      </c>
      <c r="B46">
        <v>5.62</v>
      </c>
      <c r="C46">
        <v>4.6500000000000004</v>
      </c>
      <c r="D46">
        <v>8.3800000000000008</v>
      </c>
      <c r="E46">
        <v>8.84</v>
      </c>
      <c r="F46">
        <v>4.3600000000000003</v>
      </c>
    </row>
    <row r="47" spans="1:7" x14ac:dyDescent="0.25">
      <c r="C47">
        <v>4.2300000000000004</v>
      </c>
      <c r="D47">
        <v>8.11</v>
      </c>
      <c r="E47">
        <v>8.5399999999999991</v>
      </c>
      <c r="F47">
        <v>4.17</v>
      </c>
    </row>
    <row r="48" spans="1:7" x14ac:dyDescent="0.25">
      <c r="B48">
        <v>5.32</v>
      </c>
      <c r="C48">
        <v>4.71</v>
      </c>
      <c r="D48">
        <v>8.27</v>
      </c>
      <c r="E48">
        <v>8.33</v>
      </c>
      <c r="F48">
        <v>4.22</v>
      </c>
    </row>
    <row r="49" spans="3:6" x14ac:dyDescent="0.25">
      <c r="C49">
        <v>4.55</v>
      </c>
      <c r="F49">
        <v>4.51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4E802-2882-4198-8E23-769BFC4176C3}">
  <dimension ref="A1:AE40"/>
  <sheetViews>
    <sheetView zoomScale="73" zoomScaleNormal="73" workbookViewId="0">
      <selection activeCell="Z46" sqref="Z46"/>
    </sheetView>
  </sheetViews>
  <sheetFormatPr defaultRowHeight="13.8" x14ac:dyDescent="0.25"/>
  <sheetData>
    <row r="1" spans="1:26" x14ac:dyDescent="0.25">
      <c r="Q1" t="s">
        <v>142</v>
      </c>
    </row>
    <row r="2" spans="1:26" x14ac:dyDescent="0.25">
      <c r="A2" s="9" t="s">
        <v>44</v>
      </c>
      <c r="B2" s="6"/>
      <c r="C2" s="6"/>
      <c r="D2" s="6"/>
      <c r="E2" s="6"/>
      <c r="F2" s="6"/>
      <c r="G2" s="6"/>
      <c r="I2" s="9" t="s">
        <v>45</v>
      </c>
      <c r="J2" s="6"/>
      <c r="K2" s="6"/>
      <c r="L2" s="6"/>
      <c r="M2" s="6"/>
      <c r="N2" s="6"/>
      <c r="Q2" s="9" t="s">
        <v>36</v>
      </c>
      <c r="R2" s="6"/>
      <c r="S2" s="6"/>
      <c r="T2" s="6"/>
      <c r="U2" s="6"/>
      <c r="V2" s="6"/>
      <c r="W2" s="6"/>
    </row>
    <row r="3" spans="1:26" x14ac:dyDescent="0.25">
      <c r="A3" s="6"/>
      <c r="B3" s="16" t="s">
        <v>68</v>
      </c>
      <c r="C3" s="17" t="s">
        <v>69</v>
      </c>
      <c r="D3" s="17" t="s">
        <v>70</v>
      </c>
      <c r="E3" s="17" t="s">
        <v>71</v>
      </c>
      <c r="F3" s="18" t="s">
        <v>72</v>
      </c>
      <c r="G3" s="6" t="s">
        <v>46</v>
      </c>
      <c r="I3" s="6"/>
      <c r="J3" s="6" t="s">
        <v>67</v>
      </c>
      <c r="K3" s="6" t="s">
        <v>69</v>
      </c>
      <c r="L3" s="6" t="s">
        <v>70</v>
      </c>
      <c r="M3" s="6" t="s">
        <v>71</v>
      </c>
      <c r="N3" s="6" t="s">
        <v>72</v>
      </c>
      <c r="Q3" s="6"/>
      <c r="R3" s="6" t="s">
        <v>37</v>
      </c>
      <c r="S3" s="6" t="s">
        <v>38</v>
      </c>
      <c r="T3" s="6" t="s">
        <v>39</v>
      </c>
      <c r="U3" s="6"/>
      <c r="V3" s="6"/>
      <c r="W3" s="6"/>
    </row>
    <row r="4" spans="1:26" x14ac:dyDescent="0.25">
      <c r="A4" s="6" t="s">
        <v>22</v>
      </c>
      <c r="B4">
        <v>2.4359999999999995</v>
      </c>
      <c r="C4">
        <v>2.7959999999999998</v>
      </c>
      <c r="D4">
        <v>1.8359999999999996</v>
      </c>
      <c r="E4" s="6">
        <v>1.9559999999999997</v>
      </c>
      <c r="F4" s="6">
        <v>2.5559999999999996</v>
      </c>
      <c r="G4" s="6">
        <v>2.0759999999999996</v>
      </c>
      <c r="I4" s="6" t="s">
        <v>22</v>
      </c>
      <c r="J4">
        <v>4.5960000000000001</v>
      </c>
      <c r="K4">
        <v>4.2359999999999998</v>
      </c>
      <c r="L4">
        <v>3.8759999999999994</v>
      </c>
      <c r="M4">
        <v>3.8759999999999994</v>
      </c>
      <c r="N4">
        <v>3.7559999999999998</v>
      </c>
      <c r="Q4" s="6" t="s">
        <v>22</v>
      </c>
      <c r="R4" s="10">
        <v>2.0099999999999998</v>
      </c>
      <c r="S4" s="6">
        <v>1.77</v>
      </c>
      <c r="T4" s="10">
        <v>1.68</v>
      </c>
      <c r="U4" s="6"/>
      <c r="V4" s="6"/>
      <c r="W4" s="6"/>
    </row>
    <row r="5" spans="1:26" x14ac:dyDescent="0.25">
      <c r="A5" s="6" t="s">
        <v>24</v>
      </c>
      <c r="B5">
        <v>2.6759999999999997</v>
      </c>
      <c r="C5">
        <v>2.9159999999999995</v>
      </c>
      <c r="D5">
        <v>2.5559999999999996</v>
      </c>
      <c r="E5" s="6">
        <v>2.1959999999999997</v>
      </c>
      <c r="F5" s="6">
        <v>2.4359999999999995</v>
      </c>
      <c r="G5" s="6">
        <v>2.3159999999999998</v>
      </c>
      <c r="I5" s="6" t="s">
        <v>24</v>
      </c>
      <c r="K5">
        <v>4.476</v>
      </c>
      <c r="L5">
        <v>3.9959999999999996</v>
      </c>
      <c r="M5">
        <v>3.8759999999999994</v>
      </c>
      <c r="N5">
        <v>4.3559999999999999</v>
      </c>
      <c r="Q5" s="6" t="s">
        <v>24</v>
      </c>
      <c r="R5" s="6">
        <v>1.85</v>
      </c>
      <c r="S5" s="6">
        <v>2.0099999999999998</v>
      </c>
      <c r="T5" s="6">
        <v>1.84</v>
      </c>
      <c r="U5" s="6"/>
      <c r="V5" s="6"/>
      <c r="W5" s="6"/>
    </row>
    <row r="6" spans="1:26" x14ac:dyDescent="0.25">
      <c r="A6" s="6" t="s">
        <v>26</v>
      </c>
      <c r="B6">
        <v>2.4359999999999995</v>
      </c>
      <c r="C6">
        <v>2.6759999999999997</v>
      </c>
      <c r="D6">
        <v>2.0759999999999996</v>
      </c>
      <c r="E6" s="6">
        <v>1.9559999999999997</v>
      </c>
      <c r="F6" s="6">
        <v>2.5559999999999996</v>
      </c>
      <c r="G6" s="6"/>
      <c r="I6" s="6" t="s">
        <v>26</v>
      </c>
      <c r="J6">
        <v>3.8759999999999994</v>
      </c>
      <c r="K6">
        <v>4.2359999999999998</v>
      </c>
      <c r="L6">
        <v>3.5159999999999996</v>
      </c>
      <c r="M6">
        <v>4.1159999999999997</v>
      </c>
      <c r="N6">
        <v>4.9559999999999995</v>
      </c>
      <c r="Q6" s="6"/>
      <c r="R6" s="6"/>
      <c r="S6" s="6"/>
      <c r="T6" s="6"/>
      <c r="U6" s="6"/>
      <c r="V6" s="6"/>
      <c r="W6" s="6"/>
    </row>
    <row r="7" spans="1:26" x14ac:dyDescent="0.25">
      <c r="A7" s="6" t="s">
        <v>28</v>
      </c>
      <c r="B7">
        <v>2.9159999999999995</v>
      </c>
      <c r="C7">
        <v>2.9159999999999995</v>
      </c>
      <c r="D7">
        <v>2.7959999999999998</v>
      </c>
      <c r="E7" s="6">
        <v>1.9559999999999997</v>
      </c>
      <c r="F7" s="6">
        <v>2.6759999999999997</v>
      </c>
      <c r="G7" s="6"/>
      <c r="I7" s="6" t="s">
        <v>28</v>
      </c>
      <c r="K7">
        <v>3.9959999999999996</v>
      </c>
      <c r="N7">
        <v>4.3559999999999999</v>
      </c>
      <c r="Q7" s="6"/>
      <c r="R7" s="6"/>
      <c r="S7" s="6"/>
      <c r="T7" s="6"/>
      <c r="U7" s="6"/>
      <c r="V7" s="6"/>
      <c r="W7" s="6"/>
    </row>
    <row r="8" spans="1:26" x14ac:dyDescent="0.25">
      <c r="A8" s="11" t="s">
        <v>133</v>
      </c>
      <c r="B8" s="6">
        <f>AVERAGE(B4:B7)</f>
        <v>2.6159999999999997</v>
      </c>
      <c r="C8" s="6">
        <f t="shared" ref="C8:G8" si="0">AVERAGE(C4:C7)</f>
        <v>2.8259999999999996</v>
      </c>
      <c r="D8" s="6">
        <f t="shared" si="0"/>
        <v>2.3159999999999998</v>
      </c>
      <c r="E8" s="6">
        <f t="shared" si="0"/>
        <v>2.0159999999999996</v>
      </c>
      <c r="F8" s="6">
        <f t="shared" si="0"/>
        <v>2.5559999999999996</v>
      </c>
      <c r="G8" s="6">
        <f t="shared" si="0"/>
        <v>2.1959999999999997</v>
      </c>
      <c r="I8" s="6"/>
      <c r="J8" s="6">
        <f>AVERAGE(J4:J7)</f>
        <v>4.2359999999999998</v>
      </c>
      <c r="K8" s="6">
        <f>AVERAGE(K4:K7)</f>
        <v>4.2359999999999998</v>
      </c>
      <c r="L8" s="6">
        <f>AVERAGE(L4:L7)</f>
        <v>3.7959999999999994</v>
      </c>
      <c r="M8" s="6">
        <f>AVERAGE(M4:M7)</f>
        <v>3.9559999999999995</v>
      </c>
      <c r="N8" s="6">
        <f>AVERAGE(N4:N7)</f>
        <v>4.3559999999999999</v>
      </c>
      <c r="Q8" s="6"/>
      <c r="R8" s="6">
        <f>AVERAGE(R4:R7)</f>
        <v>1.93</v>
      </c>
      <c r="S8" s="6">
        <f>AVERAGE(S4:S7)</f>
        <v>1.89</v>
      </c>
      <c r="T8" s="6">
        <f>AVERAGE(T4:T7)</f>
        <v>1.76</v>
      </c>
      <c r="U8" s="6"/>
      <c r="V8" s="6"/>
      <c r="W8" s="6"/>
    </row>
    <row r="9" spans="1:26" x14ac:dyDescent="0.25">
      <c r="A9" s="11" t="s">
        <v>122</v>
      </c>
      <c r="B9" s="6">
        <f>STDEVP(B4:B7)</f>
        <v>0.198997487421324</v>
      </c>
      <c r="C9" s="6">
        <f t="shared" ref="C9:G9" si="1">STDEVP(C4:C7)</f>
        <v>9.9498743710661891E-2</v>
      </c>
      <c r="D9" s="6">
        <f t="shared" si="1"/>
        <v>0.3794733192202045</v>
      </c>
      <c r="E9" s="6">
        <f t="shared" si="1"/>
        <v>0.10392304845413264</v>
      </c>
      <c r="F9" s="6">
        <f t="shared" si="1"/>
        <v>8.4852813742385777E-2</v>
      </c>
      <c r="G9" s="6">
        <f t="shared" si="1"/>
        <v>0.12000000000000011</v>
      </c>
      <c r="I9" s="6"/>
      <c r="J9" s="6">
        <f>STDEVP(J4:J7)</f>
        <v>0.36000000000000032</v>
      </c>
      <c r="K9" s="6">
        <f>STDEVP(K4:K7)</f>
        <v>0.16970562748477155</v>
      </c>
      <c r="L9" s="6">
        <f>STDEVP(L4:L7)</f>
        <v>0.20396078054371136</v>
      </c>
      <c r="M9" s="6">
        <f>STDEVP(M4:M7)</f>
        <v>0.11313708498984772</v>
      </c>
      <c r="N9" s="6">
        <f>STDEVP(N4:N7)</f>
        <v>0.42426406871192845</v>
      </c>
      <c r="Q9" s="6"/>
      <c r="R9" s="6"/>
      <c r="S9" s="6"/>
      <c r="T9" s="6"/>
      <c r="U9" s="6"/>
      <c r="V9" s="6"/>
      <c r="W9" s="6"/>
    </row>
    <row r="10" spans="1:26" x14ac:dyDescent="0.25">
      <c r="A10" s="6"/>
      <c r="B10" s="6"/>
      <c r="C10" s="6"/>
      <c r="D10" s="6"/>
      <c r="E10" s="6"/>
      <c r="F10" s="6"/>
      <c r="G10" s="6"/>
      <c r="I10" s="6"/>
      <c r="J10" s="6"/>
      <c r="K10" s="6"/>
      <c r="L10" s="6"/>
      <c r="M10" s="6"/>
      <c r="N10" s="6"/>
      <c r="Q10" s="6"/>
      <c r="R10" s="6"/>
      <c r="S10" s="6"/>
      <c r="T10" s="6"/>
      <c r="U10" s="6"/>
      <c r="V10" s="6"/>
      <c r="W10" s="6"/>
    </row>
    <row r="11" spans="1:26" x14ac:dyDescent="0.25">
      <c r="A11" s="6"/>
      <c r="B11" s="6"/>
      <c r="C11" s="6"/>
      <c r="D11" s="6"/>
      <c r="E11" s="6"/>
      <c r="F11" s="6"/>
      <c r="G11" s="6"/>
      <c r="I11" s="6"/>
      <c r="J11" s="6"/>
      <c r="K11" s="6"/>
      <c r="L11" s="6"/>
      <c r="M11" s="6"/>
      <c r="N11" s="6"/>
      <c r="Q11" s="6"/>
      <c r="R11" s="6"/>
      <c r="S11" s="6"/>
      <c r="T11" s="6"/>
      <c r="U11" s="6"/>
      <c r="V11" s="6"/>
      <c r="W11" s="6"/>
    </row>
    <row r="12" spans="1:26" x14ac:dyDescent="0.25">
      <c r="A12" s="9" t="s">
        <v>47</v>
      </c>
      <c r="B12" s="6"/>
      <c r="C12" s="6"/>
      <c r="D12" s="6"/>
      <c r="E12" s="6"/>
      <c r="F12" s="6"/>
      <c r="G12" s="6"/>
      <c r="I12" s="9" t="s">
        <v>33</v>
      </c>
      <c r="J12" s="6"/>
      <c r="K12" s="6"/>
      <c r="L12" s="6"/>
      <c r="M12" s="6"/>
      <c r="N12" s="6"/>
    </row>
    <row r="13" spans="1:26" x14ac:dyDescent="0.25">
      <c r="A13" s="6"/>
      <c r="B13" s="6" t="s">
        <v>67</v>
      </c>
      <c r="C13" s="6" t="s">
        <v>69</v>
      </c>
      <c r="D13" s="6" t="s">
        <v>70</v>
      </c>
      <c r="E13" s="6" t="s">
        <v>71</v>
      </c>
      <c r="F13" s="6" t="s">
        <v>72</v>
      </c>
      <c r="G13" s="6"/>
      <c r="I13" s="6"/>
      <c r="J13" s="6" t="s">
        <v>67</v>
      </c>
      <c r="K13" s="6" t="s">
        <v>69</v>
      </c>
      <c r="L13" s="6" t="s">
        <v>70</v>
      </c>
      <c r="M13" s="6" t="s">
        <v>71</v>
      </c>
      <c r="N13" s="6" t="s">
        <v>72</v>
      </c>
      <c r="S13" t="s">
        <v>67</v>
      </c>
      <c r="T13" s="6">
        <v>0</v>
      </c>
      <c r="U13" s="6">
        <v>48</v>
      </c>
      <c r="V13">
        <v>96</v>
      </c>
      <c r="W13">
        <v>168</v>
      </c>
      <c r="X13">
        <v>240</v>
      </c>
      <c r="Y13">
        <v>360</v>
      </c>
      <c r="Z13">
        <v>504</v>
      </c>
    </row>
    <row r="14" spans="1:26" x14ac:dyDescent="0.25">
      <c r="A14" s="6" t="s">
        <v>22</v>
      </c>
      <c r="B14" s="6">
        <v>1.9559999999999997</v>
      </c>
      <c r="C14" s="6">
        <v>2.1959999999999997</v>
      </c>
      <c r="D14" s="6">
        <v>2.3159999999999998</v>
      </c>
      <c r="E14" s="6">
        <v>2.1959999999999997</v>
      </c>
      <c r="F14" s="6">
        <v>2.1959999999999997</v>
      </c>
      <c r="G14" s="6"/>
      <c r="I14" s="6" t="s">
        <v>22</v>
      </c>
      <c r="J14">
        <v>4.476</v>
      </c>
      <c r="K14">
        <v>3.7559999999999998</v>
      </c>
      <c r="L14">
        <v>4.1159999999999997</v>
      </c>
      <c r="M14">
        <v>3.9959999999999996</v>
      </c>
      <c r="N14">
        <v>4.3559999999999999</v>
      </c>
      <c r="S14" t="s">
        <v>23</v>
      </c>
      <c r="T14">
        <v>2.4359999999999995</v>
      </c>
      <c r="U14" s="6">
        <v>1.9559999999999997</v>
      </c>
      <c r="V14">
        <v>1.9559999999999997</v>
      </c>
      <c r="W14">
        <v>2.7959999999999998</v>
      </c>
      <c r="X14">
        <v>4.5960000000000001</v>
      </c>
      <c r="Y14">
        <v>4.476</v>
      </c>
      <c r="Z14">
        <v>4.5960000000000001</v>
      </c>
    </row>
    <row r="15" spans="1:26" x14ac:dyDescent="0.25">
      <c r="A15" s="6" t="s">
        <v>24</v>
      </c>
      <c r="B15" s="6"/>
      <c r="C15" s="6">
        <v>3.5159999999999996</v>
      </c>
      <c r="D15" s="6">
        <v>2.5559999999999996</v>
      </c>
      <c r="E15" s="6">
        <v>1.9559999999999997</v>
      </c>
      <c r="F15" s="6">
        <v>2.6759999999999997</v>
      </c>
      <c r="G15" s="6"/>
      <c r="I15" s="6" t="s">
        <v>24</v>
      </c>
      <c r="K15">
        <v>4.3559999999999999</v>
      </c>
      <c r="L15">
        <v>3.8759999999999994</v>
      </c>
      <c r="M15">
        <v>4.3559999999999999</v>
      </c>
      <c r="N15">
        <v>4.9559999999999995</v>
      </c>
      <c r="S15" t="s">
        <v>25</v>
      </c>
      <c r="T15">
        <v>2.6759999999999997</v>
      </c>
      <c r="U15" s="6"/>
    </row>
    <row r="16" spans="1:26" x14ac:dyDescent="0.25">
      <c r="A16" s="6" t="s">
        <v>26</v>
      </c>
      <c r="B16" s="6">
        <v>2.1959999999999997</v>
      </c>
      <c r="C16" s="6">
        <v>2.6759999999999997</v>
      </c>
      <c r="D16" s="6">
        <v>2.6759999999999997</v>
      </c>
      <c r="E16" s="6">
        <v>2.5559999999999996</v>
      </c>
      <c r="F16" s="6">
        <v>2.6759999999999997</v>
      </c>
      <c r="G16" s="6"/>
      <c r="I16" s="6" t="s">
        <v>26</v>
      </c>
      <c r="J16">
        <v>4.1159999999999997</v>
      </c>
      <c r="K16">
        <v>3.6359999999999997</v>
      </c>
      <c r="L16">
        <v>4.1159999999999997</v>
      </c>
      <c r="M16">
        <v>4.7159999999999993</v>
      </c>
      <c r="N16">
        <v>4.476</v>
      </c>
      <c r="S16" t="s">
        <v>27</v>
      </c>
      <c r="T16">
        <v>2.4359999999999995</v>
      </c>
      <c r="U16" s="6">
        <v>2.1959999999999997</v>
      </c>
      <c r="V16">
        <v>1.7159999999999997</v>
      </c>
      <c r="W16">
        <v>2.7959999999999998</v>
      </c>
      <c r="X16">
        <v>3.8759999999999994</v>
      </c>
      <c r="Y16">
        <v>4.1159999999999997</v>
      </c>
      <c r="Z16">
        <v>4.1159999999999997</v>
      </c>
    </row>
    <row r="17" spans="1:31" x14ac:dyDescent="0.25">
      <c r="A17" s="6" t="s">
        <v>28</v>
      </c>
      <c r="B17" s="6">
        <v>2.7959999999999998</v>
      </c>
      <c r="C17" s="6">
        <v>2.5559999999999996</v>
      </c>
      <c r="D17" s="6"/>
      <c r="E17" s="6">
        <v>2.1959999999999997</v>
      </c>
      <c r="F17">
        <v>2.7959999999999998</v>
      </c>
      <c r="G17" s="6"/>
      <c r="I17" s="6" t="s">
        <v>28</v>
      </c>
      <c r="K17">
        <v>4.1159999999999997</v>
      </c>
      <c r="M17" s="6"/>
      <c r="N17">
        <v>5.4359999999999991</v>
      </c>
      <c r="S17" t="s">
        <v>29</v>
      </c>
      <c r="T17">
        <v>2.9159999999999995</v>
      </c>
      <c r="U17" s="6">
        <v>2.7959999999999998</v>
      </c>
      <c r="V17">
        <v>1.8359999999999996</v>
      </c>
      <c r="AE17" s="6"/>
    </row>
    <row r="18" spans="1:31" x14ac:dyDescent="0.25">
      <c r="A18" s="11" t="s">
        <v>133</v>
      </c>
      <c r="B18" s="6">
        <f>AVERAGE(B14:B17)</f>
        <v>2.3159999999999994</v>
      </c>
      <c r="C18" s="6">
        <f t="shared" ref="C18:F18" si="2">AVERAGE(C14:C17)</f>
        <v>2.7359999999999998</v>
      </c>
      <c r="D18" s="6">
        <f t="shared" si="2"/>
        <v>2.516</v>
      </c>
      <c r="E18" s="6">
        <f t="shared" si="2"/>
        <v>2.2259999999999995</v>
      </c>
      <c r="F18" s="6">
        <f t="shared" si="2"/>
        <v>2.5859999999999999</v>
      </c>
      <c r="G18" s="6"/>
      <c r="I18" s="6"/>
      <c r="J18" s="6">
        <f>AVERAGE(J14:J17)</f>
        <v>4.2959999999999994</v>
      </c>
      <c r="K18" s="6">
        <f>AVERAGE(K14:K17)</f>
        <v>3.9659999999999997</v>
      </c>
      <c r="L18" s="6">
        <f>AVERAGE(L14:L17)</f>
        <v>4.0359999999999996</v>
      </c>
      <c r="M18" s="6">
        <f>AVERAGE(M14:M17)</f>
        <v>4.3559999999999999</v>
      </c>
      <c r="N18" s="6">
        <f>AVERAGE(N14:N17)</f>
        <v>4.806</v>
      </c>
      <c r="S18" t="s">
        <v>69</v>
      </c>
      <c r="T18" s="6"/>
    </row>
    <row r="19" spans="1:31" x14ac:dyDescent="0.25">
      <c r="A19" s="11" t="s">
        <v>122</v>
      </c>
      <c r="B19" s="6">
        <f>STDEVP(B14:B17)</f>
        <v>0.35327043465311564</v>
      </c>
      <c r="C19" s="6">
        <f t="shared" ref="C19:F19" si="3">STDEVP(C14:C17)</f>
        <v>0.48373546489791203</v>
      </c>
      <c r="D19" s="6">
        <f t="shared" si="3"/>
        <v>0.14966629547095758</v>
      </c>
      <c r="E19" s="6">
        <f t="shared" si="3"/>
        <v>0.21424285285628544</v>
      </c>
      <c r="F19" s="6">
        <f t="shared" si="3"/>
        <v>0.23043437243605827</v>
      </c>
      <c r="G19" s="6"/>
      <c r="I19" s="6"/>
      <c r="J19" s="6">
        <f>STDEVP(J14:J17)</f>
        <v>0.18000000000000016</v>
      </c>
      <c r="K19" s="6">
        <f>STDEVP(K14:K17)</f>
        <v>0.28618176042508375</v>
      </c>
      <c r="L19" s="6">
        <f>STDEVP(L14:L17)</f>
        <v>0.1131370849898477</v>
      </c>
      <c r="M19" s="6">
        <f>STDEVP(M14:M17)</f>
        <v>0.29393876913398131</v>
      </c>
      <c r="N19" s="6">
        <f>STDEVP(N14:N17)</f>
        <v>0.42743420546324984</v>
      </c>
      <c r="S19" t="s">
        <v>23</v>
      </c>
      <c r="T19">
        <v>2.7959999999999998</v>
      </c>
      <c r="U19" s="6">
        <v>2.1959999999999997</v>
      </c>
      <c r="V19">
        <v>2.4359999999999995</v>
      </c>
      <c r="W19">
        <v>2.5559999999999996</v>
      </c>
      <c r="X19">
        <v>4.2359999999999998</v>
      </c>
      <c r="Y19">
        <v>3.7559999999999998</v>
      </c>
      <c r="Z19">
        <v>4.7159999999999993</v>
      </c>
    </row>
    <row r="20" spans="1:31" x14ac:dyDescent="0.25">
      <c r="A20" s="6"/>
      <c r="B20" s="6"/>
      <c r="C20" s="6"/>
      <c r="D20" s="6"/>
      <c r="E20" s="6"/>
      <c r="F20" s="6"/>
      <c r="G20" s="6"/>
      <c r="I20" s="6"/>
      <c r="J20" s="6"/>
      <c r="K20" s="6"/>
      <c r="L20" s="6"/>
      <c r="M20" s="6"/>
      <c r="N20" s="6"/>
      <c r="S20" t="s">
        <v>25</v>
      </c>
      <c r="T20">
        <v>2.9159999999999995</v>
      </c>
      <c r="U20" s="6">
        <v>3.5159999999999996</v>
      </c>
      <c r="W20">
        <v>3.7559999999999998</v>
      </c>
      <c r="X20">
        <v>4.476</v>
      </c>
      <c r="Y20">
        <v>4.3559999999999999</v>
      </c>
      <c r="Z20">
        <v>4.2359999999999998</v>
      </c>
    </row>
    <row r="21" spans="1:31" x14ac:dyDescent="0.25">
      <c r="A21" s="6"/>
      <c r="B21" s="6"/>
      <c r="C21" s="6"/>
      <c r="D21" s="6"/>
      <c r="E21" s="6"/>
      <c r="F21" s="6"/>
      <c r="G21" s="6"/>
      <c r="I21" s="6"/>
      <c r="J21" s="6"/>
      <c r="K21" s="6"/>
      <c r="L21" s="6"/>
      <c r="M21" s="6"/>
      <c r="N21" s="6"/>
      <c r="O21" s="6"/>
      <c r="S21" t="s">
        <v>27</v>
      </c>
      <c r="T21">
        <v>2.6759999999999997</v>
      </c>
      <c r="U21" s="6">
        <v>2.6759999999999997</v>
      </c>
      <c r="V21">
        <v>2.6759999999999997</v>
      </c>
      <c r="W21">
        <v>2.5559999999999996</v>
      </c>
      <c r="X21">
        <v>4.2359999999999998</v>
      </c>
      <c r="Y21">
        <v>3.6359999999999997</v>
      </c>
      <c r="Z21">
        <v>5.1959999999999988</v>
      </c>
    </row>
    <row r="22" spans="1:31" x14ac:dyDescent="0.25">
      <c r="A22" s="9" t="s">
        <v>48</v>
      </c>
      <c r="B22" s="6"/>
      <c r="C22" s="6"/>
      <c r="D22" s="6"/>
      <c r="E22" s="6"/>
      <c r="F22" s="6"/>
      <c r="G22" s="6"/>
      <c r="I22" s="9" t="s">
        <v>35</v>
      </c>
      <c r="J22" s="6"/>
      <c r="K22" s="6"/>
      <c r="L22" s="6"/>
      <c r="M22" s="6"/>
      <c r="N22" s="6"/>
      <c r="O22" s="6"/>
      <c r="S22" s="6" t="s">
        <v>29</v>
      </c>
      <c r="T22">
        <v>2.9159999999999995</v>
      </c>
      <c r="U22" s="6">
        <v>2.5559999999999996</v>
      </c>
      <c r="V22">
        <v>2.7959999999999998</v>
      </c>
      <c r="W22">
        <v>3.5159999999999996</v>
      </c>
      <c r="X22">
        <v>3.9959999999999996</v>
      </c>
      <c r="Y22">
        <v>4.1159999999999997</v>
      </c>
      <c r="Z22">
        <v>4.7159999999999993</v>
      </c>
    </row>
    <row r="23" spans="1:31" x14ac:dyDescent="0.25">
      <c r="A23" s="6"/>
      <c r="B23" s="6" t="s">
        <v>67</v>
      </c>
      <c r="C23" s="6" t="s">
        <v>69</v>
      </c>
      <c r="D23" s="6" t="s">
        <v>70</v>
      </c>
      <c r="E23" s="6" t="s">
        <v>71</v>
      </c>
      <c r="F23" s="6" t="s">
        <v>72</v>
      </c>
      <c r="G23" s="6"/>
      <c r="I23" s="6"/>
      <c r="J23" s="6" t="s">
        <v>67</v>
      </c>
      <c r="K23" s="6" t="s">
        <v>69</v>
      </c>
      <c r="L23" s="6" t="s">
        <v>70</v>
      </c>
      <c r="M23" s="6" t="s">
        <v>71</v>
      </c>
      <c r="N23" s="6" t="s">
        <v>72</v>
      </c>
      <c r="O23" s="6" t="s">
        <v>46</v>
      </c>
      <c r="S23" t="s">
        <v>70</v>
      </c>
      <c r="T23" s="6"/>
    </row>
    <row r="24" spans="1:31" x14ac:dyDescent="0.25">
      <c r="A24" s="6" t="s">
        <v>22</v>
      </c>
      <c r="B24">
        <v>1.9559999999999997</v>
      </c>
      <c r="C24">
        <v>2.4359999999999995</v>
      </c>
      <c r="D24">
        <v>1.7159999999999997</v>
      </c>
      <c r="E24">
        <v>1.5959999999999996</v>
      </c>
      <c r="F24">
        <v>3.0359999999999996</v>
      </c>
      <c r="G24" s="6"/>
      <c r="I24" s="6" t="s">
        <v>22</v>
      </c>
      <c r="J24">
        <v>4.5960000000000001</v>
      </c>
      <c r="K24">
        <v>4.7159999999999993</v>
      </c>
      <c r="L24">
        <v>4.3559999999999999</v>
      </c>
      <c r="M24">
        <v>4.7159999999999993</v>
      </c>
      <c r="N24">
        <v>5.1959999999999988</v>
      </c>
      <c r="O24">
        <v>1.9559999999999997</v>
      </c>
      <c r="S24" t="s">
        <v>23</v>
      </c>
      <c r="T24">
        <v>1.8359999999999996</v>
      </c>
      <c r="U24" s="6">
        <v>2.3159999999999998</v>
      </c>
      <c r="V24">
        <v>1.7159999999999997</v>
      </c>
      <c r="W24">
        <v>2.4359999999999995</v>
      </c>
      <c r="X24">
        <v>3.8759999999999994</v>
      </c>
      <c r="Y24">
        <v>4.1159999999999997</v>
      </c>
      <c r="Z24">
        <v>4.3559999999999999</v>
      </c>
    </row>
    <row r="25" spans="1:31" x14ac:dyDescent="0.25">
      <c r="A25" s="6" t="s">
        <v>24</v>
      </c>
      <c r="D25">
        <v>2.1959999999999997</v>
      </c>
      <c r="E25">
        <v>1.8359999999999996</v>
      </c>
      <c r="F25">
        <v>2.6759999999999997</v>
      </c>
      <c r="G25" s="6"/>
      <c r="I25" s="6" t="s">
        <v>24</v>
      </c>
      <c r="K25">
        <v>4.2359999999999998</v>
      </c>
      <c r="L25">
        <v>4.5960000000000001</v>
      </c>
      <c r="M25">
        <v>4.5960000000000001</v>
      </c>
      <c r="N25">
        <v>4.5960000000000001</v>
      </c>
      <c r="O25">
        <v>2.3159999999999998</v>
      </c>
      <c r="S25" t="s">
        <v>25</v>
      </c>
      <c r="T25">
        <v>2.5559999999999996</v>
      </c>
      <c r="U25" s="6">
        <v>2.5559999999999996</v>
      </c>
      <c r="V25">
        <v>2.1959999999999997</v>
      </c>
      <c r="W25">
        <v>3.0359999999999996</v>
      </c>
      <c r="X25">
        <v>3.9959999999999996</v>
      </c>
      <c r="Y25">
        <v>3.8759999999999994</v>
      </c>
      <c r="Z25">
        <v>4.5960000000000001</v>
      </c>
    </row>
    <row r="26" spans="1:31" x14ac:dyDescent="0.25">
      <c r="A26" s="6" t="s">
        <v>26</v>
      </c>
      <c r="B26">
        <v>1.7159999999999997</v>
      </c>
      <c r="C26">
        <v>2.6759999999999997</v>
      </c>
      <c r="D26">
        <v>2.5559999999999996</v>
      </c>
      <c r="E26">
        <v>1.5959999999999996</v>
      </c>
      <c r="F26">
        <v>2.7959999999999998</v>
      </c>
      <c r="G26" s="6"/>
      <c r="I26" s="6" t="s">
        <v>26</v>
      </c>
      <c r="J26">
        <v>4.1159999999999997</v>
      </c>
      <c r="K26">
        <v>5.1959999999999988</v>
      </c>
      <c r="L26">
        <v>5.0759999999999996</v>
      </c>
      <c r="M26">
        <v>4.476</v>
      </c>
      <c r="N26">
        <v>5.3159999999999989</v>
      </c>
      <c r="S26" t="s">
        <v>27</v>
      </c>
      <c r="T26">
        <v>2.0759999999999996</v>
      </c>
      <c r="U26" s="6">
        <v>2.6759999999999997</v>
      </c>
      <c r="V26">
        <v>2.5559999999999996</v>
      </c>
      <c r="W26">
        <v>2.6759999999999997</v>
      </c>
      <c r="X26">
        <v>3.5159999999999996</v>
      </c>
      <c r="Y26">
        <v>4.1159999999999997</v>
      </c>
      <c r="Z26">
        <v>5.0759999999999996</v>
      </c>
    </row>
    <row r="27" spans="1:31" x14ac:dyDescent="0.25">
      <c r="A27" s="6" t="s">
        <v>28</v>
      </c>
      <c r="B27">
        <v>1.8359999999999996</v>
      </c>
      <c r="C27">
        <v>2.7959999999999998</v>
      </c>
      <c r="F27">
        <v>1.4759999999999998</v>
      </c>
      <c r="G27" s="6"/>
      <c r="I27" s="6" t="s">
        <v>28</v>
      </c>
      <c r="K27">
        <v>4.7159999999999993</v>
      </c>
      <c r="N27">
        <v>5.3159999999999989</v>
      </c>
      <c r="O27" s="6"/>
      <c r="S27" t="s">
        <v>29</v>
      </c>
      <c r="T27">
        <v>2.7959999999999998</v>
      </c>
    </row>
    <row r="28" spans="1:31" x14ac:dyDescent="0.25">
      <c r="A28" s="11" t="s">
        <v>133</v>
      </c>
      <c r="B28" s="6">
        <f>AVERAGE(B24:B27)</f>
        <v>1.8359999999999996</v>
      </c>
      <c r="C28" s="6">
        <f t="shared" ref="C28:F28" si="4">AVERAGE(C24:C27)</f>
        <v>2.6359999999999997</v>
      </c>
      <c r="D28" s="6">
        <f t="shared" si="4"/>
        <v>2.1559999999999997</v>
      </c>
      <c r="E28" s="6">
        <f t="shared" si="4"/>
        <v>1.6759999999999995</v>
      </c>
      <c r="F28" s="6">
        <f t="shared" si="4"/>
        <v>2.4959999999999996</v>
      </c>
      <c r="G28" s="6"/>
      <c r="I28" s="6"/>
      <c r="J28" s="6">
        <f t="shared" ref="J28:O28" si="5">AVERAGE(J24:J27)</f>
        <v>4.3559999999999999</v>
      </c>
      <c r="K28" s="6">
        <f t="shared" si="5"/>
        <v>4.7159999999999993</v>
      </c>
      <c r="L28" s="6">
        <f t="shared" si="5"/>
        <v>4.6759999999999993</v>
      </c>
      <c r="M28" s="6">
        <f t="shared" si="5"/>
        <v>4.5960000000000001</v>
      </c>
      <c r="N28" s="6">
        <f t="shared" si="5"/>
        <v>5.105999999999999</v>
      </c>
      <c r="O28" s="6">
        <f t="shared" si="5"/>
        <v>2.1359999999999997</v>
      </c>
      <c r="S28" t="s">
        <v>71</v>
      </c>
      <c r="T28" s="6"/>
    </row>
    <row r="29" spans="1:31" x14ac:dyDescent="0.25">
      <c r="A29" s="11" t="s">
        <v>122</v>
      </c>
      <c r="B29" s="6">
        <f>STDEVP(B24:B27)</f>
        <v>9.7979589711327114E-2</v>
      </c>
      <c r="C29" s="6">
        <f t="shared" ref="C29:F29" si="6">STDEVP(C24:C27)</f>
        <v>0.14966629547095781</v>
      </c>
      <c r="D29" s="6">
        <f t="shared" si="6"/>
        <v>0.34409301068170445</v>
      </c>
      <c r="E29" s="6">
        <f t="shared" si="6"/>
        <v>0.11313708498984761</v>
      </c>
      <c r="F29" s="6">
        <f t="shared" si="6"/>
        <v>0.60299253726725488</v>
      </c>
      <c r="G29" s="6"/>
      <c r="I29" s="6"/>
      <c r="J29" s="6">
        <f t="shared" ref="J29:O29" si="7">STDEVP(J24:J27)</f>
        <v>0.24000000000000021</v>
      </c>
      <c r="K29" s="6">
        <f t="shared" si="7"/>
        <v>0.3394112549695425</v>
      </c>
      <c r="L29" s="6">
        <f t="shared" si="7"/>
        <v>0.29933259094191517</v>
      </c>
      <c r="M29" s="6">
        <f t="shared" si="7"/>
        <v>9.797958971132685E-2</v>
      </c>
      <c r="N29" s="6">
        <f t="shared" si="7"/>
        <v>0.29849623113198548</v>
      </c>
      <c r="O29" s="6">
        <f t="shared" si="7"/>
        <v>0.18000000000000005</v>
      </c>
      <c r="S29" t="s">
        <v>23</v>
      </c>
      <c r="T29" s="6">
        <v>1.9559999999999997</v>
      </c>
      <c r="U29" s="6">
        <v>2.1959999999999997</v>
      </c>
      <c r="V29">
        <v>1.5959999999999996</v>
      </c>
      <c r="W29">
        <v>2.5559999999999996</v>
      </c>
      <c r="X29">
        <v>3.8759999999999994</v>
      </c>
      <c r="Y29">
        <v>3.9959999999999996</v>
      </c>
      <c r="Z29">
        <v>4.7159999999999993</v>
      </c>
    </row>
    <row r="30" spans="1:31" x14ac:dyDescent="0.25">
      <c r="S30" t="s">
        <v>25</v>
      </c>
      <c r="T30" s="6">
        <v>2.1959999999999997</v>
      </c>
      <c r="U30" s="6">
        <v>1.9559999999999997</v>
      </c>
      <c r="V30">
        <v>1.8359999999999996</v>
      </c>
      <c r="W30">
        <v>2.5559999999999996</v>
      </c>
      <c r="X30">
        <v>3.8759999999999994</v>
      </c>
      <c r="Y30">
        <v>4.3559999999999999</v>
      </c>
      <c r="Z30">
        <v>4.5960000000000001</v>
      </c>
    </row>
    <row r="31" spans="1:31" x14ac:dyDescent="0.25">
      <c r="S31" t="s">
        <v>27</v>
      </c>
      <c r="T31" s="6">
        <v>1.9559999999999997</v>
      </c>
      <c r="U31" s="6">
        <v>2.5559999999999996</v>
      </c>
      <c r="V31">
        <v>1.5959999999999996</v>
      </c>
      <c r="X31">
        <v>4.1159999999999997</v>
      </c>
      <c r="Y31">
        <v>4.7159999999999993</v>
      </c>
      <c r="Z31">
        <v>4.476</v>
      </c>
    </row>
    <row r="32" spans="1:31" x14ac:dyDescent="0.25">
      <c r="A32" s="9" t="s">
        <v>49</v>
      </c>
      <c r="B32" s="6"/>
      <c r="C32" s="6"/>
      <c r="D32" s="6"/>
      <c r="E32" s="6"/>
      <c r="F32" s="6"/>
      <c r="I32" s="11" t="s">
        <v>133</v>
      </c>
      <c r="J32" s="11" t="s">
        <v>86</v>
      </c>
      <c r="K32" s="11" t="s">
        <v>67</v>
      </c>
      <c r="L32" s="11" t="s">
        <v>69</v>
      </c>
      <c r="M32" s="11" t="s">
        <v>70</v>
      </c>
      <c r="N32" s="11" t="s">
        <v>71</v>
      </c>
      <c r="O32" s="11" t="s">
        <v>72</v>
      </c>
      <c r="S32" t="s">
        <v>29</v>
      </c>
      <c r="T32" s="6">
        <v>1.9559999999999997</v>
      </c>
      <c r="U32" s="6">
        <v>2.1959999999999997</v>
      </c>
      <c r="V32" s="6"/>
      <c r="W32" s="6"/>
    </row>
    <row r="33" spans="1:26" x14ac:dyDescent="0.25">
      <c r="A33" s="6"/>
      <c r="B33" s="6" t="s">
        <v>67</v>
      </c>
      <c r="C33" s="6" t="s">
        <v>69</v>
      </c>
      <c r="D33" s="6" t="s">
        <v>70</v>
      </c>
      <c r="E33" s="6" t="s">
        <v>71</v>
      </c>
      <c r="F33" s="6" t="s">
        <v>72</v>
      </c>
      <c r="G33" s="6" t="s">
        <v>46</v>
      </c>
      <c r="I33" s="6">
        <v>0</v>
      </c>
      <c r="J33" s="6">
        <v>2.1959999999999997</v>
      </c>
      <c r="K33" s="6">
        <v>2.6159999999999997</v>
      </c>
      <c r="L33" s="6">
        <v>2.8259999999999996</v>
      </c>
      <c r="M33" s="6">
        <v>2.3159999999999998</v>
      </c>
      <c r="N33" s="6">
        <v>2.0159999999999996</v>
      </c>
      <c r="O33" s="6">
        <v>2.5559999999999996</v>
      </c>
      <c r="S33" t="s">
        <v>72</v>
      </c>
      <c r="T33" s="6"/>
    </row>
    <row r="34" spans="1:26" x14ac:dyDescent="0.25">
      <c r="A34" s="6" t="s">
        <v>22</v>
      </c>
      <c r="B34">
        <v>2.7959999999999998</v>
      </c>
      <c r="C34">
        <v>2.5559999999999996</v>
      </c>
      <c r="D34">
        <v>2.4359999999999995</v>
      </c>
      <c r="E34">
        <v>2.5559999999999996</v>
      </c>
      <c r="F34">
        <v>2.9159999999999995</v>
      </c>
      <c r="G34">
        <v>2.0759999999999996</v>
      </c>
      <c r="I34" s="6">
        <v>48</v>
      </c>
      <c r="J34" s="6"/>
      <c r="K34" s="6">
        <v>2.3159999999999994</v>
      </c>
      <c r="L34" s="6">
        <v>2.7359999999999998</v>
      </c>
      <c r="M34" s="6">
        <v>2.516</v>
      </c>
      <c r="N34" s="6">
        <v>2.2259999999999995</v>
      </c>
      <c r="O34" s="6">
        <v>2.5859999999999999</v>
      </c>
      <c r="S34" t="s">
        <v>23</v>
      </c>
      <c r="T34" s="6">
        <v>2.5559999999999996</v>
      </c>
      <c r="U34" s="6">
        <v>2.1959999999999997</v>
      </c>
      <c r="V34">
        <v>3.0359999999999996</v>
      </c>
      <c r="W34">
        <v>2.9159999999999995</v>
      </c>
      <c r="X34">
        <v>3.7559999999999998</v>
      </c>
      <c r="Y34">
        <v>4.3559999999999999</v>
      </c>
      <c r="Z34">
        <v>5.1959999999999988</v>
      </c>
    </row>
    <row r="35" spans="1:26" x14ac:dyDescent="0.25">
      <c r="A35" s="6" t="s">
        <v>24</v>
      </c>
      <c r="C35">
        <v>3.7559999999999998</v>
      </c>
      <c r="D35">
        <v>3.0359999999999996</v>
      </c>
      <c r="E35">
        <v>2.5559999999999996</v>
      </c>
      <c r="F35">
        <v>2.9159999999999995</v>
      </c>
      <c r="G35">
        <v>2.1959999999999997</v>
      </c>
      <c r="I35" s="6">
        <v>96</v>
      </c>
      <c r="J35" s="6"/>
      <c r="K35" s="6">
        <v>1.8359999999999996</v>
      </c>
      <c r="L35" s="6">
        <v>2.6359999999999997</v>
      </c>
      <c r="M35" s="6">
        <v>2.1559999999999997</v>
      </c>
      <c r="N35" s="6">
        <v>1.6759999999999995</v>
      </c>
      <c r="O35" s="6">
        <v>2.4959999999999996</v>
      </c>
      <c r="S35" t="s">
        <v>25</v>
      </c>
      <c r="T35" s="6">
        <v>2.4359999999999995</v>
      </c>
      <c r="U35" s="6">
        <v>2.6759999999999997</v>
      </c>
      <c r="V35">
        <v>2.6759999999999997</v>
      </c>
      <c r="W35">
        <v>2.9159999999999995</v>
      </c>
      <c r="X35">
        <v>4.3559999999999999</v>
      </c>
      <c r="Y35">
        <v>4.9559999999999995</v>
      </c>
      <c r="Z35">
        <v>4.5960000000000001</v>
      </c>
    </row>
    <row r="36" spans="1:26" x14ac:dyDescent="0.25">
      <c r="A36" s="6" t="s">
        <v>26</v>
      </c>
      <c r="B36">
        <v>2.7959999999999998</v>
      </c>
      <c r="C36">
        <v>2.5559999999999996</v>
      </c>
      <c r="D36">
        <v>2.6759999999999997</v>
      </c>
      <c r="I36" s="6">
        <v>168</v>
      </c>
      <c r="J36" s="6">
        <v>2.1359999999999997</v>
      </c>
      <c r="K36" s="6">
        <v>2.7959999999999998</v>
      </c>
      <c r="L36" s="6">
        <v>3.0959999999999996</v>
      </c>
      <c r="M36" s="6">
        <v>2.7159999999999997</v>
      </c>
      <c r="N36" s="6">
        <v>2.5559999999999996</v>
      </c>
      <c r="O36" s="6">
        <v>3.1159999999999997</v>
      </c>
      <c r="S36" t="s">
        <v>27</v>
      </c>
      <c r="T36" s="6">
        <v>2.5559999999999996</v>
      </c>
      <c r="U36" s="6">
        <v>2.6759999999999997</v>
      </c>
      <c r="V36">
        <v>2.7959999999999998</v>
      </c>
      <c r="X36">
        <v>4.9559999999999995</v>
      </c>
      <c r="Y36">
        <v>4.476</v>
      </c>
      <c r="Z36">
        <v>5.3159999999999989</v>
      </c>
    </row>
    <row r="37" spans="1:26" x14ac:dyDescent="0.25">
      <c r="A37" s="6" t="s">
        <v>28</v>
      </c>
      <c r="C37">
        <v>3.5159999999999996</v>
      </c>
      <c r="F37">
        <v>3.5159999999999996</v>
      </c>
      <c r="I37" s="6">
        <v>240</v>
      </c>
      <c r="J37" s="6"/>
      <c r="K37" s="6">
        <v>4.2359999999999998</v>
      </c>
      <c r="L37" s="6">
        <v>4.2359999999999998</v>
      </c>
      <c r="M37" s="6">
        <v>3.7959999999999994</v>
      </c>
      <c r="N37" s="6">
        <v>3.9559999999999995</v>
      </c>
      <c r="O37" s="6">
        <v>4.3559999999999999</v>
      </c>
      <c r="S37" t="s">
        <v>29</v>
      </c>
      <c r="T37" s="6">
        <v>2.6759999999999997</v>
      </c>
      <c r="U37">
        <v>2.7959999999999998</v>
      </c>
      <c r="V37">
        <v>1.4759999999999998</v>
      </c>
      <c r="W37">
        <v>3.5159999999999996</v>
      </c>
      <c r="X37">
        <v>4.3559999999999999</v>
      </c>
      <c r="Y37">
        <v>5.4359999999999991</v>
      </c>
      <c r="Z37">
        <v>5.3159999999999989</v>
      </c>
    </row>
    <row r="38" spans="1:26" x14ac:dyDescent="0.25">
      <c r="A38" s="11" t="s">
        <v>133</v>
      </c>
      <c r="B38" s="6">
        <f>AVERAGE(B34:B37)</f>
        <v>2.7959999999999998</v>
      </c>
      <c r="C38" s="6">
        <f t="shared" ref="C38:G38" si="8">AVERAGE(C34:C37)</f>
        <v>3.0959999999999996</v>
      </c>
      <c r="D38" s="6">
        <f t="shared" si="8"/>
        <v>2.7159999999999997</v>
      </c>
      <c r="E38" s="6">
        <f t="shared" si="8"/>
        <v>2.5559999999999996</v>
      </c>
      <c r="F38" s="6">
        <f t="shared" si="8"/>
        <v>3.1159999999999997</v>
      </c>
      <c r="G38" s="6">
        <f t="shared" si="8"/>
        <v>2.1359999999999997</v>
      </c>
      <c r="I38" s="6">
        <v>360</v>
      </c>
      <c r="K38">
        <v>4.2959999999999994</v>
      </c>
      <c r="L38">
        <v>3.9659999999999997</v>
      </c>
      <c r="M38">
        <v>4.0359999999999996</v>
      </c>
      <c r="N38">
        <v>4.3559999999999999</v>
      </c>
      <c r="O38">
        <v>4.806</v>
      </c>
    </row>
    <row r="39" spans="1:26" x14ac:dyDescent="0.25">
      <c r="A39" s="11" t="s">
        <v>122</v>
      </c>
      <c r="B39" s="6">
        <f>STDEVP(B34:B37)</f>
        <v>0</v>
      </c>
      <c r="C39" s="6">
        <f t="shared" ref="C39:G39" si="9">STDEVP(C34:C37)</f>
        <v>0.54662601474865791</v>
      </c>
      <c r="D39" s="6">
        <f t="shared" si="9"/>
        <v>0.24657656011875906</v>
      </c>
      <c r="E39" s="6">
        <f t="shared" si="9"/>
        <v>0</v>
      </c>
      <c r="F39" s="6">
        <f t="shared" si="9"/>
        <v>0.28284271247461906</v>
      </c>
      <c r="G39" s="6">
        <f t="shared" si="9"/>
        <v>6.0000000000000053E-2</v>
      </c>
      <c r="I39" s="6">
        <v>504</v>
      </c>
      <c r="J39">
        <v>2.1359999999999997</v>
      </c>
      <c r="K39">
        <v>4.3559999999999999</v>
      </c>
      <c r="L39">
        <v>4.7159999999999993</v>
      </c>
      <c r="M39">
        <v>4.6759999999999993</v>
      </c>
      <c r="N39">
        <v>4.5960000000000001</v>
      </c>
      <c r="O39">
        <v>5.105999999999999</v>
      </c>
    </row>
    <row r="40" spans="1:26" x14ac:dyDescent="0.25">
      <c r="I40" s="6"/>
      <c r="K40">
        <f>K37/K35</f>
        <v>2.3071895424836604</v>
      </c>
      <c r="L40">
        <f t="shared" ref="L40:O40" si="10">L37/L35</f>
        <v>1.6069802731411231</v>
      </c>
      <c r="M40">
        <f t="shared" si="10"/>
        <v>1.7606679035250463</v>
      </c>
      <c r="N40">
        <f t="shared" si="10"/>
        <v>2.3603818615751795</v>
      </c>
      <c r="O40">
        <f t="shared" si="10"/>
        <v>1.7451923076923079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AB910-C8EE-4916-826F-E776BC51C96D}">
  <dimension ref="A1:AF179"/>
  <sheetViews>
    <sheetView topLeftCell="B1" zoomScale="65" zoomScaleNormal="65" workbookViewId="0">
      <selection activeCell="N2" sqref="N2"/>
    </sheetView>
  </sheetViews>
  <sheetFormatPr defaultRowHeight="13.8" x14ac:dyDescent="0.25"/>
  <sheetData>
    <row r="1" spans="1:32" x14ac:dyDescent="0.25">
      <c r="A1" s="5" t="s">
        <v>4</v>
      </c>
      <c r="B1" s="5"/>
      <c r="C1" s="5"/>
      <c r="D1" s="5"/>
      <c r="E1" s="5"/>
      <c r="F1" s="5"/>
      <c r="N1" t="s">
        <v>119</v>
      </c>
    </row>
    <row r="2" spans="1:32" x14ac:dyDescent="0.25">
      <c r="A2" s="5"/>
      <c r="B2" s="5" t="s">
        <v>67</v>
      </c>
      <c r="C2" s="5" t="s">
        <v>69</v>
      </c>
      <c r="D2" s="5" t="s">
        <v>70</v>
      </c>
      <c r="E2" s="5" t="s">
        <v>71</v>
      </c>
      <c r="F2" s="5" t="s">
        <v>72</v>
      </c>
      <c r="N2" t="s">
        <v>152</v>
      </c>
      <c r="O2" s="5">
        <v>0</v>
      </c>
      <c r="P2" s="5">
        <v>10</v>
      </c>
      <c r="Q2" s="5">
        <v>17</v>
      </c>
      <c r="R2" s="5">
        <v>26</v>
      </c>
      <c r="S2" s="5">
        <v>32</v>
      </c>
      <c r="T2" s="5">
        <v>48</v>
      </c>
      <c r="U2" s="5">
        <v>60</v>
      </c>
      <c r="V2" s="5">
        <v>72</v>
      </c>
      <c r="W2" s="5">
        <v>84</v>
      </c>
      <c r="X2" s="5">
        <v>96</v>
      </c>
      <c r="Y2" s="5">
        <v>120</v>
      </c>
      <c r="Z2" s="5">
        <v>144</v>
      </c>
      <c r="AA2" s="5">
        <v>168</v>
      </c>
      <c r="AB2" s="5">
        <v>192</v>
      </c>
      <c r="AC2" s="5">
        <v>216</v>
      </c>
      <c r="AD2" s="5">
        <v>240</v>
      </c>
      <c r="AE2" s="5">
        <v>360</v>
      </c>
      <c r="AF2" s="5">
        <v>504</v>
      </c>
    </row>
    <row r="3" spans="1:32" x14ac:dyDescent="0.25">
      <c r="A3" s="5" t="s">
        <v>0</v>
      </c>
      <c r="B3" s="7">
        <v>4.4000000000000003E-3</v>
      </c>
      <c r="C3" s="7">
        <v>3.599999999999999E-3</v>
      </c>
      <c r="D3" s="7">
        <v>7.3999999999999969E-3</v>
      </c>
      <c r="E3" s="7">
        <v>1.0300000000000004E-2</v>
      </c>
      <c r="F3" s="7">
        <v>8.0199999999999994E-2</v>
      </c>
      <c r="H3">
        <f>100-(B3/0.0007)*100</f>
        <v>-528.57142857142867</v>
      </c>
      <c r="I3">
        <f>100-(C3/0.0007)*100</f>
        <v>-414.28571428571411</v>
      </c>
      <c r="J3">
        <f>100-(D3/0.0096)*100</f>
        <v>22.9166666666667</v>
      </c>
      <c r="K3">
        <f>100-(E3/0.0103)*100</f>
        <v>0</v>
      </c>
      <c r="L3">
        <f>100-(F3/0.0502)*100</f>
        <v>-59.760956175298787</v>
      </c>
      <c r="N3" t="s">
        <v>23</v>
      </c>
      <c r="O3">
        <v>-471.42857142857201</v>
      </c>
      <c r="P3">
        <v>253.84615384615398</v>
      </c>
      <c r="Q3">
        <v>33.3333333333334</v>
      </c>
      <c r="R3">
        <v>354.80769230769232</v>
      </c>
      <c r="S3">
        <v>-1879.9999999999998</v>
      </c>
      <c r="T3">
        <v>0.39603960396038929</v>
      </c>
      <c r="U3">
        <v>-112.70270270270274</v>
      </c>
      <c r="V3">
        <v>-6.3649222065063924</v>
      </c>
      <c r="W3">
        <v>-20.466321243523296</v>
      </c>
      <c r="X3">
        <v>-20.833333333333329</v>
      </c>
      <c r="Y3">
        <v>-22.162162162162161</v>
      </c>
      <c r="Z3">
        <v>-26.150121065375316</v>
      </c>
      <c r="AA3">
        <v>-36.15686274509801</v>
      </c>
      <c r="AB3">
        <v>-35.178875638841561</v>
      </c>
      <c r="AC3">
        <v>-31.497418244406191</v>
      </c>
      <c r="AD3">
        <v>22.833333333333329</v>
      </c>
      <c r="AE3">
        <v>-24.715510522213563</v>
      </c>
      <c r="AF3">
        <v>-38.049143708116162</v>
      </c>
    </row>
    <row r="4" spans="1:32" x14ac:dyDescent="0.25">
      <c r="A4" s="5" t="s">
        <v>1</v>
      </c>
      <c r="B4" s="7">
        <v>4.5999999999999999E-3</v>
      </c>
      <c r="C4" s="7">
        <v>7.5999999999999956E-3</v>
      </c>
      <c r="D4" s="7">
        <v>4.0999999999999995E-3</v>
      </c>
      <c r="E4" s="7">
        <v>1.0299999999999997E-2</v>
      </c>
      <c r="F4" s="7">
        <v>6.7699999999999996E-2</v>
      </c>
      <c r="H4">
        <f t="shared" ref="H4:H6" si="0">100-(B4/0.0007)*100</f>
        <v>-557.14285714285711</v>
      </c>
      <c r="I4">
        <f t="shared" ref="I4:I6" si="1">100-(C4/0.0007)*100</f>
        <v>-985.7142857142851</v>
      </c>
      <c r="J4">
        <f t="shared" ref="J4:J6" si="2">100-(D4/0.0096)*100</f>
        <v>57.291666666666671</v>
      </c>
      <c r="K4">
        <f t="shared" ref="K4:K6" si="3">100-(E4/0.0103)*100</f>
        <v>0</v>
      </c>
      <c r="L4">
        <f t="shared" ref="L4:L6" si="4">100-(F4/0.0502)*100</f>
        <v>-34.860557768924281</v>
      </c>
      <c r="N4" t="s">
        <v>25</v>
      </c>
      <c r="O4">
        <v>-642.85714285714334</v>
      </c>
      <c r="P4">
        <v>23.076923076923009</v>
      </c>
      <c r="Q4">
        <v>-52.380952380952465</v>
      </c>
      <c r="R4">
        <v>193.26923076923077</v>
      </c>
      <c r="S4">
        <v>-1539.9999999999998</v>
      </c>
    </row>
    <row r="5" spans="1:32" x14ac:dyDescent="0.25">
      <c r="A5" s="5" t="s">
        <v>2</v>
      </c>
      <c r="B5" s="7">
        <v>5.2000000000000032E-3</v>
      </c>
      <c r="C5" s="7">
        <v>7.3000000000000009E-3</v>
      </c>
      <c r="D5" s="7">
        <v>5.0000000000000044E-3</v>
      </c>
      <c r="E5" s="7">
        <v>1.0500000000000002E-2</v>
      </c>
      <c r="F5" s="7">
        <v>6.08E-2</v>
      </c>
      <c r="H5">
        <f t="shared" si="0"/>
        <v>-642.85714285714334</v>
      </c>
      <c r="I5">
        <f t="shared" si="1"/>
        <v>-942.85714285714312</v>
      </c>
      <c r="J5">
        <f t="shared" si="2"/>
        <v>47.916666666666622</v>
      </c>
      <c r="K5">
        <f t="shared" si="3"/>
        <v>-1.941747572815558</v>
      </c>
      <c r="L5">
        <f t="shared" si="4"/>
        <v>-21.115537848605584</v>
      </c>
      <c r="N5" t="s">
        <v>27</v>
      </c>
      <c r="O5">
        <v>-557.14285714285711</v>
      </c>
      <c r="P5">
        <v>269.23076923076928</v>
      </c>
      <c r="Q5">
        <v>-128.57142857142853</v>
      </c>
      <c r="R5">
        <v>182.69230769230774</v>
      </c>
      <c r="S5">
        <v>-2650.0000000000005</v>
      </c>
      <c r="T5">
        <v>-93.861386138613881</v>
      </c>
      <c r="U5">
        <v>-196.75675675675677</v>
      </c>
      <c r="V5">
        <v>-39.745403111739762</v>
      </c>
      <c r="W5">
        <v>-29.663212435233163</v>
      </c>
      <c r="X5">
        <v>-32.127192982456108</v>
      </c>
      <c r="Y5">
        <v>-20.360360360360346</v>
      </c>
      <c r="Z5">
        <v>-9.8466505246166207</v>
      </c>
      <c r="AA5">
        <v>-8.0784313725490193</v>
      </c>
      <c r="AB5">
        <v>-26.490630323679738</v>
      </c>
      <c r="AC5">
        <v>-84.939759036144579</v>
      </c>
      <c r="AD5">
        <v>-45.5</v>
      </c>
      <c r="AE5">
        <v>4.2088854247856631</v>
      </c>
      <c r="AF5">
        <v>2.1518987341772089</v>
      </c>
    </row>
    <row r="6" spans="1:32" x14ac:dyDescent="0.25">
      <c r="A6" s="5" t="s">
        <v>3</v>
      </c>
      <c r="B6" s="7">
        <v>4.0000000000000036E-3</v>
      </c>
      <c r="C6" s="7">
        <v>4.1999999999999954E-3</v>
      </c>
      <c r="D6" s="7">
        <v>4.500000000000004E-3</v>
      </c>
      <c r="E6" s="7">
        <v>1.7000000000000001E-2</v>
      </c>
      <c r="F6" s="7">
        <v>6.1800000000000008E-2</v>
      </c>
      <c r="H6">
        <f t="shared" si="0"/>
        <v>-471.42857142857201</v>
      </c>
      <c r="I6">
        <f t="shared" si="1"/>
        <v>-499.99999999999943</v>
      </c>
      <c r="J6">
        <f t="shared" si="2"/>
        <v>53.124999999999957</v>
      </c>
      <c r="K6">
        <f t="shared" si="3"/>
        <v>-65.048543689320411</v>
      </c>
      <c r="L6">
        <f t="shared" si="4"/>
        <v>-23.107569721115539</v>
      </c>
      <c r="N6" t="s">
        <v>29</v>
      </c>
      <c r="O6">
        <v>-528.57142857142867</v>
      </c>
      <c r="P6">
        <v>499.99999999999972</v>
      </c>
      <c r="Q6">
        <v>-19.047619047618824</v>
      </c>
      <c r="R6">
        <v>174.03846153846155</v>
      </c>
      <c r="S6">
        <v>-3959.9999999999995</v>
      </c>
      <c r="T6">
        <v>-55.247524752475243</v>
      </c>
      <c r="U6">
        <v>-172.43243243243245</v>
      </c>
      <c r="V6">
        <v>-40.876944837340886</v>
      </c>
      <c r="W6">
        <v>-57.772020725388586</v>
      </c>
      <c r="X6">
        <v>-32.456140350877206</v>
      </c>
      <c r="Y6">
        <v>-8.8288288288288328</v>
      </c>
    </row>
    <row r="7" spans="1:32" x14ac:dyDescent="0.25">
      <c r="A7" s="4"/>
      <c r="B7" s="8"/>
      <c r="C7" s="8"/>
      <c r="D7" s="8"/>
      <c r="E7" s="8"/>
      <c r="F7" s="8"/>
    </row>
    <row r="8" spans="1:32" x14ac:dyDescent="0.25">
      <c r="A8" s="4"/>
      <c r="B8" s="5"/>
      <c r="C8" s="5"/>
      <c r="D8" s="5"/>
      <c r="E8" s="5"/>
      <c r="F8" s="5"/>
      <c r="N8" t="s">
        <v>69</v>
      </c>
    </row>
    <row r="9" spans="1:32" x14ac:dyDescent="0.25">
      <c r="A9" s="4" t="s">
        <v>143</v>
      </c>
      <c r="B9" s="7">
        <v>6.9999999999999923E-4</v>
      </c>
      <c r="C9" s="7">
        <v>6.9999999999999923E-4</v>
      </c>
      <c r="D9" s="7">
        <v>9.5999999999999974E-3</v>
      </c>
      <c r="E9" s="7">
        <v>1.0300000000000004E-2</v>
      </c>
      <c r="F9" s="7">
        <v>5.0199999999999995E-2</v>
      </c>
      <c r="N9" t="s">
        <v>23</v>
      </c>
      <c r="O9">
        <v>-499.99999999999943</v>
      </c>
      <c r="P9">
        <v>12.349045578496302</v>
      </c>
      <c r="Q9">
        <v>4.6153846153846132</v>
      </c>
      <c r="R9">
        <v>9.7494055240533868</v>
      </c>
      <c r="S9">
        <v>-13.526796161947118</v>
      </c>
      <c r="T9">
        <v>6.0033484812245916</v>
      </c>
      <c r="U9">
        <v>0.21588946459412739</v>
      </c>
      <c r="V9">
        <v>16.014014839241554</v>
      </c>
      <c r="W9">
        <v>16.611764705882337</v>
      </c>
      <c r="X9">
        <v>28.087932943223151</v>
      </c>
      <c r="Y9">
        <v>33.903452685421996</v>
      </c>
      <c r="Z9">
        <v>55.825841706328227</v>
      </c>
      <c r="AA9">
        <v>36.041979010494764</v>
      </c>
      <c r="AB9">
        <v>28.259082689462431</v>
      </c>
      <c r="AC9">
        <v>35.109104589917223</v>
      </c>
      <c r="AD9">
        <v>26.288308740068118</v>
      </c>
      <c r="AE9">
        <v>51.984908136482936</v>
      </c>
      <c r="AF9">
        <v>61.146110976496246</v>
      </c>
    </row>
    <row r="10" spans="1:32" x14ac:dyDescent="0.25">
      <c r="A10" s="5"/>
      <c r="B10" s="5"/>
      <c r="C10" s="5"/>
      <c r="D10" s="5"/>
      <c r="E10" s="5"/>
      <c r="F10" s="5"/>
      <c r="N10" t="s">
        <v>25</v>
      </c>
      <c r="O10">
        <v>-942.85714285714312</v>
      </c>
      <c r="Q10">
        <v>12.289592760180994</v>
      </c>
      <c r="R10">
        <v>4.2253521126760347</v>
      </c>
      <c r="S10">
        <v>-31.663936344488661</v>
      </c>
      <c r="T10">
        <v>10.356374073188235</v>
      </c>
      <c r="U10">
        <v>12.046632124352328</v>
      </c>
      <c r="V10">
        <v>29.451772464962914</v>
      </c>
      <c r="W10">
        <v>21.341176470588238</v>
      </c>
      <c r="X10">
        <v>29.843428752174589</v>
      </c>
      <c r="Y10">
        <v>34.382992327365741</v>
      </c>
      <c r="Z10">
        <v>44.843997884717076</v>
      </c>
      <c r="AA10">
        <v>34.407796101949032</v>
      </c>
      <c r="AB10">
        <v>28.637185599210909</v>
      </c>
      <c r="AC10">
        <v>30.594431903686981</v>
      </c>
      <c r="AD10">
        <v>19.023836549375702</v>
      </c>
      <c r="AE10">
        <v>53.428477690288716</v>
      </c>
      <c r="AF10">
        <v>59.510540344075608</v>
      </c>
    </row>
    <row r="11" spans="1:32" x14ac:dyDescent="0.25">
      <c r="A11" s="5" t="s">
        <v>5</v>
      </c>
      <c r="B11" s="5"/>
      <c r="C11" s="5"/>
      <c r="D11" s="5"/>
      <c r="E11" s="5"/>
      <c r="F11" s="5"/>
      <c r="N11" t="s">
        <v>27</v>
      </c>
      <c r="O11">
        <v>-985.7142857142851</v>
      </c>
      <c r="P11">
        <v>3.4281262173743698</v>
      </c>
      <c r="Q11">
        <v>4.4162895927601795</v>
      </c>
      <c r="R11">
        <v>6.7495884397292656</v>
      </c>
      <c r="S11">
        <v>-17.879709805757059</v>
      </c>
      <c r="T11">
        <v>20.951925376704139</v>
      </c>
      <c r="U11">
        <v>18.631260794473221</v>
      </c>
      <c r="V11">
        <v>46.022258862324819</v>
      </c>
      <c r="W11">
        <v>30.141176470588235</v>
      </c>
      <c r="X11">
        <v>29.906689862407077</v>
      </c>
      <c r="Y11">
        <v>36.90856777493606</v>
      </c>
      <c r="Z11">
        <v>42.675832892649403</v>
      </c>
      <c r="AA11">
        <v>37.511244377811096</v>
      </c>
      <c r="AB11">
        <v>29.656419529837237</v>
      </c>
      <c r="AC11">
        <v>37.41158765989465</v>
      </c>
      <c r="AD11">
        <v>25.539160045402951</v>
      </c>
      <c r="AE11">
        <v>54.10104986876641</v>
      </c>
      <c r="AF11">
        <v>61.558032469105882</v>
      </c>
    </row>
    <row r="12" spans="1:32" x14ac:dyDescent="0.25">
      <c r="A12" s="5"/>
      <c r="B12" s="5" t="s">
        <v>67</v>
      </c>
      <c r="C12" s="5" t="s">
        <v>69</v>
      </c>
      <c r="D12" s="5" t="s">
        <v>70</v>
      </c>
      <c r="E12" s="5" t="s">
        <v>71</v>
      </c>
      <c r="F12" s="5" t="s">
        <v>72</v>
      </c>
      <c r="N12" t="s">
        <v>29</v>
      </c>
      <c r="O12">
        <v>-414.28571428571411</v>
      </c>
      <c r="P12">
        <v>2.6490066225165521</v>
      </c>
      <c r="Q12">
        <v>15.366515837104075</v>
      </c>
      <c r="R12">
        <v>3.8961038961038952</v>
      </c>
      <c r="S12">
        <v>-22.770886964661855</v>
      </c>
      <c r="T12">
        <v>5.5728294666347864</v>
      </c>
      <c r="U12">
        <v>14.658894645941274</v>
      </c>
      <c r="V12">
        <v>23.639736191261335</v>
      </c>
      <c r="W12">
        <v>17.976470588235287</v>
      </c>
      <c r="X12">
        <v>30.55511624229004</v>
      </c>
      <c r="Y12">
        <v>33.663682864450124</v>
      </c>
      <c r="Z12">
        <v>41.265644279922441</v>
      </c>
      <c r="AA12">
        <v>37.001499250374813</v>
      </c>
      <c r="AB12">
        <v>28.20976491862568</v>
      </c>
      <c r="AC12">
        <v>32.114371708051152</v>
      </c>
      <c r="AD12">
        <v>19.591373439273553</v>
      </c>
      <c r="AE12">
        <v>50.295275590551185</v>
      </c>
      <c r="AF12">
        <v>61.037072934334866</v>
      </c>
    </row>
    <row r="13" spans="1:32" x14ac:dyDescent="0.25">
      <c r="A13" s="5" t="s">
        <v>0</v>
      </c>
      <c r="B13" s="7">
        <v>5.1999999999999963E-3</v>
      </c>
      <c r="C13" s="7">
        <v>0.49980000000000002</v>
      </c>
      <c r="D13" s="7">
        <v>3.3399999999999992E-2</v>
      </c>
      <c r="E13" s="7">
        <v>0.25149999999999995</v>
      </c>
      <c r="F13" s="7">
        <v>0.48410000000000003</v>
      </c>
      <c r="H13">
        <f>100-(B13/(-0.0013))*100</f>
        <v>499.99999999999972</v>
      </c>
      <c r="I13">
        <f>100-(C13/0.5134)*100</f>
        <v>2.6490066225165521</v>
      </c>
      <c r="J13">
        <f>100-(D13/0.1391)*100</f>
        <v>75.988497483824602</v>
      </c>
      <c r="K13">
        <f>100-(E13/0.3208)*100</f>
        <v>21.602244389027447</v>
      </c>
      <c r="L13">
        <f>100-(F13/0.5363)*100</f>
        <v>9.7333581950400827</v>
      </c>
    </row>
    <row r="14" spans="1:32" x14ac:dyDescent="0.25">
      <c r="A14" s="5" t="s">
        <v>1</v>
      </c>
      <c r="B14" s="7">
        <v>2.2000000000000006E-3</v>
      </c>
      <c r="C14" s="7">
        <v>0.49579999999999996</v>
      </c>
      <c r="D14" s="7">
        <v>7.6599999999999988E-2</v>
      </c>
      <c r="E14" s="7">
        <v>0.28320000000000001</v>
      </c>
      <c r="F14" s="7">
        <v>0.48649999999999999</v>
      </c>
      <c r="H14">
        <f t="shared" ref="H14:H16" si="5">100-(B14/(-0.0013))*100</f>
        <v>269.23076923076928</v>
      </c>
      <c r="I14">
        <f t="shared" ref="I14:I16" si="6">100-(C14/0.5134)*100</f>
        <v>3.4281262173743698</v>
      </c>
      <c r="J14">
        <f t="shared" ref="J14:J16" si="7">100-(D14/0.1391)*100</f>
        <v>44.931703810208489</v>
      </c>
      <c r="K14">
        <f t="shared" ref="K14:K16" si="8">100-(E14/0.3208)*100</f>
        <v>11.720698254364081</v>
      </c>
      <c r="L14">
        <f t="shared" ref="L14:L16" si="9">100-(F14/0.5363)*100</f>
        <v>9.2858474734290581</v>
      </c>
      <c r="N14" t="s">
        <v>70</v>
      </c>
    </row>
    <row r="15" spans="1:32" x14ac:dyDescent="0.25">
      <c r="A15" s="5" t="s">
        <v>2</v>
      </c>
      <c r="B15" s="7">
        <v>-1.0000000000000009E-3</v>
      </c>
      <c r="C15" s="7"/>
      <c r="D15" s="7">
        <v>9.3199999999999991E-2</v>
      </c>
      <c r="E15" s="7">
        <v>0.31319999999999998</v>
      </c>
      <c r="F15" s="7">
        <v>0.46619999999999995</v>
      </c>
      <c r="H15">
        <f t="shared" si="5"/>
        <v>23.076923076923009</v>
      </c>
      <c r="J15">
        <f t="shared" si="7"/>
        <v>32.997843278217118</v>
      </c>
      <c r="K15">
        <f t="shared" si="8"/>
        <v>2.3690773067331747</v>
      </c>
      <c r="L15">
        <f t="shared" si="9"/>
        <v>13.071042327055764</v>
      </c>
      <c r="N15" t="s">
        <v>23</v>
      </c>
      <c r="O15">
        <v>53.124999999999957</v>
      </c>
      <c r="P15">
        <v>29.115744069015108</v>
      </c>
      <c r="Q15">
        <v>21.529745042492934</v>
      </c>
      <c r="R15">
        <v>36.900369003690017</v>
      </c>
      <c r="S15">
        <v>0</v>
      </c>
      <c r="T15">
        <v>14.859568909209671</v>
      </c>
      <c r="U15">
        <v>-124.45625906234898</v>
      </c>
      <c r="V15">
        <v>-7.4419920769666135</v>
      </c>
      <c r="W15">
        <v>-33.874983619446994</v>
      </c>
      <c r="X15">
        <v>2.97134397800572</v>
      </c>
      <c r="Y15">
        <v>13.985798085828961</v>
      </c>
      <c r="Z15">
        <v>-0.45798274576634412</v>
      </c>
      <c r="AA15">
        <v>15.682261208577003</v>
      </c>
      <c r="AB15">
        <v>8.3870967741935516</v>
      </c>
      <c r="AC15">
        <v>18.259198242723784</v>
      </c>
      <c r="AD15">
        <v>18.956703182055307</v>
      </c>
      <c r="AE15">
        <v>52.048585931834658</v>
      </c>
      <c r="AF15">
        <v>74.538216560509554</v>
      </c>
    </row>
    <row r="16" spans="1:32" x14ac:dyDescent="0.25">
      <c r="A16" s="5" t="s">
        <v>3</v>
      </c>
      <c r="B16" s="7">
        <v>2.0000000000000018E-3</v>
      </c>
      <c r="C16" s="7">
        <v>0.44999999999999996</v>
      </c>
      <c r="D16" s="7">
        <v>9.8599999999999993E-2</v>
      </c>
      <c r="E16" s="7">
        <v>0.28649999999999998</v>
      </c>
      <c r="F16" s="7">
        <v>0.51100000000000001</v>
      </c>
      <c r="H16">
        <f t="shared" si="5"/>
        <v>253.84615384615398</v>
      </c>
      <c r="I16">
        <f t="shared" si="6"/>
        <v>12.349045578496302</v>
      </c>
      <c r="J16">
        <f t="shared" si="7"/>
        <v>29.115744069015108</v>
      </c>
      <c r="K16">
        <f t="shared" si="8"/>
        <v>10.692019950124688</v>
      </c>
      <c r="L16">
        <f t="shared" si="9"/>
        <v>4.7175088569830308</v>
      </c>
      <c r="N16" t="s">
        <v>25</v>
      </c>
      <c r="O16">
        <v>47.916666666666622</v>
      </c>
      <c r="P16">
        <v>32.997843278217118</v>
      </c>
      <c r="Q16">
        <v>-30.524079320113316</v>
      </c>
      <c r="R16">
        <v>-101.84501845018451</v>
      </c>
      <c r="S16">
        <v>-18.584070796460139</v>
      </c>
      <c r="T16">
        <v>39.875898105813199</v>
      </c>
      <c r="U16">
        <v>-7.0082165297244927</v>
      </c>
      <c r="V16">
        <v>33.092812676853427</v>
      </c>
      <c r="W16">
        <v>1.5201153190931649</v>
      </c>
      <c r="X16">
        <v>27.725494342814855</v>
      </c>
      <c r="Y16">
        <v>13.358032314500363</v>
      </c>
      <c r="Z16">
        <v>10.043668122270745</v>
      </c>
      <c r="AA16">
        <v>25.26315789473685</v>
      </c>
      <c r="AB16">
        <v>32.036591237361563</v>
      </c>
      <c r="AC16">
        <v>34.175361522972736</v>
      </c>
      <c r="AD16">
        <v>38.591549295774655</v>
      </c>
      <c r="AE16">
        <v>60.469543147208114</v>
      </c>
      <c r="AF16">
        <v>79.363057324840767</v>
      </c>
    </row>
    <row r="17" spans="1:32" x14ac:dyDescent="0.25">
      <c r="A17" s="4"/>
      <c r="B17" s="8"/>
      <c r="C17" s="8"/>
      <c r="D17" s="8"/>
      <c r="E17" s="8"/>
      <c r="F17" s="8"/>
      <c r="N17" t="s">
        <v>27</v>
      </c>
      <c r="O17">
        <v>57.291666666666671</v>
      </c>
      <c r="P17">
        <v>44.931703810208489</v>
      </c>
      <c r="Q17">
        <v>-17.705382436260635</v>
      </c>
      <c r="R17">
        <v>-1.1070110701107296</v>
      </c>
      <c r="S17">
        <v>-40.265486725663692</v>
      </c>
      <c r="T17">
        <v>46.47289353363815</v>
      </c>
      <c r="U17">
        <v>-36.249395843402624</v>
      </c>
      <c r="V17">
        <v>16.015846066779844</v>
      </c>
      <c r="W17">
        <v>-6.2377145852444045</v>
      </c>
      <c r="X17">
        <v>12.012266046314906</v>
      </c>
      <c r="Y17">
        <v>20.026757229597621</v>
      </c>
      <c r="Z17">
        <v>18.958355522419851</v>
      </c>
      <c r="AA17">
        <v>26.111111111111114</v>
      </c>
      <c r="AB17">
        <v>22.936928261916222</v>
      </c>
      <c r="AC17">
        <v>28.985905180303874</v>
      </c>
      <c r="AD17">
        <v>31.23630672926447</v>
      </c>
      <c r="AE17">
        <v>63.75997099347353</v>
      </c>
      <c r="AF17">
        <v>78.136942675159247</v>
      </c>
    </row>
    <row r="18" spans="1:32" x14ac:dyDescent="0.25">
      <c r="A18" s="4"/>
      <c r="B18" s="5"/>
      <c r="C18" s="5"/>
      <c r="D18" s="5"/>
      <c r="E18" s="5"/>
      <c r="F18" s="5"/>
      <c r="N18" t="s">
        <v>29</v>
      </c>
      <c r="O18">
        <v>22.9166666666667</v>
      </c>
      <c r="P18">
        <v>75.988497483824602</v>
      </c>
      <c r="Q18">
        <v>42.492917847025502</v>
      </c>
      <c r="R18">
        <v>-2.9520295202951843</v>
      </c>
    </row>
    <row r="19" spans="1:32" x14ac:dyDescent="0.25">
      <c r="A19" s="4" t="s">
        <v>143</v>
      </c>
      <c r="B19" s="7">
        <v>-1.2999999999999956E-3</v>
      </c>
      <c r="C19" s="7">
        <v>0.51339999999999997</v>
      </c>
      <c r="D19" s="7">
        <v>0.1391</v>
      </c>
      <c r="E19" s="7">
        <v>0.32079999999999997</v>
      </c>
      <c r="F19" s="7">
        <v>0.5363</v>
      </c>
    </row>
    <row r="20" spans="1:32" x14ac:dyDescent="0.25">
      <c r="A20" s="5"/>
      <c r="B20" s="5"/>
      <c r="C20" s="5"/>
      <c r="D20" s="5"/>
      <c r="E20" s="5"/>
      <c r="F20" s="5"/>
      <c r="N20" t="s">
        <v>71</v>
      </c>
    </row>
    <row r="21" spans="1:32" x14ac:dyDescent="0.25">
      <c r="A21" s="5" t="s">
        <v>6</v>
      </c>
      <c r="B21" s="5"/>
      <c r="C21" s="5"/>
      <c r="D21" s="5"/>
      <c r="E21" s="5"/>
      <c r="F21" s="5"/>
      <c r="N21" t="s">
        <v>23</v>
      </c>
      <c r="O21">
        <v>-65.048543689320411</v>
      </c>
      <c r="P21">
        <v>10.692019950124688</v>
      </c>
      <c r="Q21">
        <v>-3.8805970149253852</v>
      </c>
      <c r="R21">
        <v>-56.676056338028161</v>
      </c>
      <c r="S21">
        <v>-36.261609907120715</v>
      </c>
      <c r="T21">
        <v>-55.094679891794414</v>
      </c>
      <c r="U21">
        <v>-58.989123480486228</v>
      </c>
      <c r="V21">
        <v>-66.614718614718583</v>
      </c>
      <c r="W21">
        <v>-177.11924439197173</v>
      </c>
      <c r="X21">
        <v>-40.29212682579265</v>
      </c>
      <c r="Y21">
        <v>-221.97940216026126</v>
      </c>
      <c r="Z21">
        <v>-104.79629629629628</v>
      </c>
      <c r="AA21">
        <v>-197.80891719745222</v>
      </c>
      <c r="AB21">
        <v>-111.83828861493842</v>
      </c>
      <c r="AC21">
        <v>-182.79787503162152</v>
      </c>
      <c r="AD21">
        <v>-61.528150134048275</v>
      </c>
      <c r="AE21">
        <v>5.0014841199168814</v>
      </c>
      <c r="AF21">
        <v>36.198898231371402</v>
      </c>
    </row>
    <row r="22" spans="1:32" x14ac:dyDescent="0.25">
      <c r="A22" s="5"/>
      <c r="B22" s="5" t="s">
        <v>67</v>
      </c>
      <c r="C22" s="5" t="s">
        <v>69</v>
      </c>
      <c r="D22" s="5" t="s">
        <v>70</v>
      </c>
      <c r="E22" s="5" t="s">
        <v>71</v>
      </c>
      <c r="F22" s="5" t="s">
        <v>72</v>
      </c>
      <c r="N22" t="s">
        <v>25</v>
      </c>
      <c r="O22">
        <v>-1.941747572815558</v>
      </c>
      <c r="P22">
        <v>2.3690773067331747</v>
      </c>
      <c r="Q22">
        <v>-1.5257048092868928</v>
      </c>
      <c r="R22">
        <v>-64.957746478873247</v>
      </c>
      <c r="S22">
        <v>-40.170278637770878</v>
      </c>
      <c r="T22">
        <v>-64.697926059513065</v>
      </c>
      <c r="U22">
        <v>-78.012369375133289</v>
      </c>
      <c r="V22">
        <v>-136.84848484848487</v>
      </c>
      <c r="W22">
        <v>-146.25737898465175</v>
      </c>
      <c r="X22">
        <v>-34.093338083363022</v>
      </c>
      <c r="Y22">
        <v>-186.23461441848781</v>
      </c>
      <c r="Z22">
        <v>-80.333333333333314</v>
      </c>
      <c r="AA22">
        <v>-126.11464968152865</v>
      </c>
      <c r="AB22">
        <v>-63.415518491660634</v>
      </c>
      <c r="AC22">
        <v>-111.00430053124208</v>
      </c>
      <c r="AD22">
        <v>-12.064343163538879</v>
      </c>
      <c r="AE22">
        <v>44.864945087563072</v>
      </c>
      <c r="AF22">
        <v>62.742824006958536</v>
      </c>
    </row>
    <row r="23" spans="1:32" x14ac:dyDescent="0.25">
      <c r="A23" s="5" t="s">
        <v>0</v>
      </c>
      <c r="B23" s="7">
        <v>2.4999999999999953E-3</v>
      </c>
      <c r="C23" s="7">
        <v>0.46759999999999996</v>
      </c>
      <c r="D23" s="7">
        <v>8.1199999999999994E-2</v>
      </c>
      <c r="E23" s="7">
        <v>0.29339999999999999</v>
      </c>
      <c r="F23" s="7">
        <v>0.44370000000000004</v>
      </c>
      <c r="H23">
        <f>100-(B23/0.0021)*100</f>
        <v>-19.047619047618824</v>
      </c>
      <c r="I23">
        <f>100-(C23/0.5525)*100</f>
        <v>15.366515837104075</v>
      </c>
      <c r="J23">
        <f>100-(D23/0.1412)*100</f>
        <v>42.492917847025502</v>
      </c>
      <c r="K23">
        <f>100-(E23/0.3015)*100</f>
        <v>2.6865671641790954</v>
      </c>
      <c r="L23">
        <f>100-(F23/0.6488)*100</f>
        <v>31.612207151664606</v>
      </c>
      <c r="N23" t="s">
        <v>27</v>
      </c>
      <c r="O23">
        <v>0</v>
      </c>
      <c r="P23">
        <v>11.720698254364081</v>
      </c>
      <c r="Q23">
        <v>5.8706467661691306</v>
      </c>
      <c r="R23">
        <v>-49.802816901408477</v>
      </c>
      <c r="S23">
        <v>-30.572755417956643</v>
      </c>
      <c r="T23">
        <v>-57.642019837691606</v>
      </c>
      <c r="U23">
        <v>-49.584133077415231</v>
      </c>
      <c r="V23">
        <v>-115.82683982683983</v>
      </c>
      <c r="W23">
        <v>-150.60212514757967</v>
      </c>
      <c r="X23">
        <v>-38.807742548390934</v>
      </c>
      <c r="Y23">
        <v>-195.88043205224818</v>
      </c>
      <c r="Z23">
        <v>-96.203703703703667</v>
      </c>
      <c r="AA23">
        <v>-161.42675159235671</v>
      </c>
      <c r="AB23">
        <v>-84.680928208846979</v>
      </c>
      <c r="AC23">
        <v>-142.06931444472553</v>
      </c>
      <c r="AD23">
        <v>-34.349865951742629</v>
      </c>
      <c r="AE23">
        <v>28.643514395963194</v>
      </c>
      <c r="AF23">
        <v>49.434618730066681</v>
      </c>
    </row>
    <row r="24" spans="1:32" x14ac:dyDescent="0.25">
      <c r="A24" s="5" t="s">
        <v>1</v>
      </c>
      <c r="B24" s="7">
        <v>4.7999999999999987E-3</v>
      </c>
      <c r="C24" s="7">
        <v>0.52810000000000001</v>
      </c>
      <c r="D24" s="7">
        <v>0.16619999999999999</v>
      </c>
      <c r="E24" s="7">
        <v>0.28380000000000005</v>
      </c>
      <c r="F24" s="7">
        <v>0.52810000000000001</v>
      </c>
      <c r="H24">
        <f t="shared" ref="H24:H26" si="10">100-(B24/0.0021)*100</f>
        <v>-128.57142857142853</v>
      </c>
      <c r="I24">
        <f t="shared" ref="I24:I26" si="11">100-(C24/0.5525)*100</f>
        <v>4.4162895927601795</v>
      </c>
      <c r="J24">
        <f t="shared" ref="J24:J26" si="12">100-(D24/0.1412)*100</f>
        <v>-17.705382436260635</v>
      </c>
      <c r="K24">
        <f t="shared" ref="K24:K26" si="13">100-(E24/0.3015)*100</f>
        <v>5.8706467661691306</v>
      </c>
      <c r="L24">
        <f t="shared" ref="L24:L26" si="14">100-(F24/0.6488)*100</f>
        <v>18.603575832305793</v>
      </c>
      <c r="N24" t="s">
        <v>29</v>
      </c>
      <c r="O24">
        <v>0</v>
      </c>
      <c r="P24">
        <v>21.602244389027447</v>
      </c>
      <c r="Q24">
        <v>2.6865671641790954</v>
      </c>
      <c r="R24">
        <v>-52.450704225352126</v>
      </c>
      <c r="S24">
        <v>-27.941176470588232</v>
      </c>
      <c r="T24">
        <v>-68.101893597835897</v>
      </c>
      <c r="U24">
        <v>-65.451055662188111</v>
      </c>
    </row>
    <row r="25" spans="1:32" x14ac:dyDescent="0.25">
      <c r="A25" s="5" t="s">
        <v>2</v>
      </c>
      <c r="B25" s="7">
        <v>3.2000000000000015E-3</v>
      </c>
      <c r="C25" s="7">
        <v>0.48459999999999998</v>
      </c>
      <c r="D25" s="7">
        <v>0.18429999999999999</v>
      </c>
      <c r="E25" s="7">
        <v>0.30609999999999998</v>
      </c>
      <c r="F25" s="7">
        <v>0.4763</v>
      </c>
      <c r="H25">
        <f t="shared" si="10"/>
        <v>-52.380952380952465</v>
      </c>
      <c r="I25">
        <f t="shared" si="11"/>
        <v>12.289592760180994</v>
      </c>
      <c r="J25">
        <f t="shared" si="12"/>
        <v>-30.524079320113316</v>
      </c>
      <c r="K25">
        <f t="shared" si="13"/>
        <v>-1.5257048092868928</v>
      </c>
      <c r="L25">
        <f t="shared" si="14"/>
        <v>26.587546239210852</v>
      </c>
    </row>
    <row r="26" spans="1:32" x14ac:dyDescent="0.25">
      <c r="A26" s="5" t="s">
        <v>3</v>
      </c>
      <c r="B26" s="7">
        <v>1.3999999999999985E-3</v>
      </c>
      <c r="C26" s="7">
        <v>0.52700000000000002</v>
      </c>
      <c r="D26" s="7">
        <v>0.11079999999999998</v>
      </c>
      <c r="E26" s="7">
        <v>0.31320000000000003</v>
      </c>
      <c r="F26" s="7">
        <v>0.51419999999999999</v>
      </c>
      <c r="H26">
        <f t="shared" si="10"/>
        <v>33.3333333333334</v>
      </c>
      <c r="I26">
        <f t="shared" si="11"/>
        <v>4.6153846153846132</v>
      </c>
      <c r="J26">
        <f t="shared" si="12"/>
        <v>21.529745042492934</v>
      </c>
      <c r="K26">
        <f t="shared" si="13"/>
        <v>-3.8805970149253852</v>
      </c>
      <c r="L26">
        <f t="shared" si="14"/>
        <v>20.745992601726272</v>
      </c>
      <c r="N26" t="s">
        <v>72</v>
      </c>
    </row>
    <row r="27" spans="1:32" x14ac:dyDescent="0.25">
      <c r="A27" s="4"/>
      <c r="B27" s="7"/>
      <c r="C27" s="7"/>
      <c r="D27" s="7"/>
      <c r="E27" s="7"/>
      <c r="F27" s="7"/>
      <c r="N27" t="s">
        <v>23</v>
      </c>
      <c r="O27">
        <v>-23.107569721115539</v>
      </c>
      <c r="P27">
        <v>4.7175088569830308</v>
      </c>
      <c r="Q27">
        <v>20.745992601726272</v>
      </c>
      <c r="R27">
        <v>2.2030004054602017</v>
      </c>
      <c r="S27">
        <v>35.787574698387644</v>
      </c>
      <c r="T27">
        <v>68.654738237243208</v>
      </c>
      <c r="U27">
        <v>59.873728516310067</v>
      </c>
      <c r="V27">
        <v>57.635789702840974</v>
      </c>
      <c r="W27">
        <v>61.49089659910684</v>
      </c>
      <c r="X27">
        <v>44.07170562952092</v>
      </c>
      <c r="Y27">
        <v>38.176784249384745</v>
      </c>
      <c r="Z27">
        <v>38.352966146662418</v>
      </c>
      <c r="AA27">
        <v>39.309094571457351</v>
      </c>
      <c r="AB27">
        <v>40.024244873219516</v>
      </c>
      <c r="AC27">
        <v>32.807104094721268</v>
      </c>
      <c r="AD27">
        <v>43.352888535348519</v>
      </c>
      <c r="AE27">
        <v>57.713736791546587</v>
      </c>
      <c r="AF27">
        <v>61.599442460144608</v>
      </c>
    </row>
    <row r="28" spans="1:32" x14ac:dyDescent="0.25">
      <c r="A28" s="4"/>
      <c r="B28" s="5"/>
      <c r="C28" s="5"/>
      <c r="D28" s="5"/>
      <c r="E28" s="5"/>
      <c r="F28" s="5"/>
      <c r="N28" t="s">
        <v>25</v>
      </c>
      <c r="O28">
        <v>-21.115537848605584</v>
      </c>
      <c r="P28">
        <v>13.071042327055764</v>
      </c>
      <c r="Q28">
        <v>26.587546239210852</v>
      </c>
      <c r="R28">
        <v>7.0144614137045664</v>
      </c>
      <c r="S28">
        <v>46.487766377269132</v>
      </c>
      <c r="T28">
        <v>61.210514689639943</v>
      </c>
      <c r="U28">
        <v>57.137846369694842</v>
      </c>
      <c r="V28">
        <v>60.607379993469031</v>
      </c>
      <c r="W28">
        <v>63.872666895683039</v>
      </c>
      <c r="X28">
        <v>31.135339134081136</v>
      </c>
      <c r="Y28">
        <v>44.237079573420822</v>
      </c>
      <c r="Z28">
        <v>44.539955428207577</v>
      </c>
      <c r="AA28">
        <v>47.44687279685769</v>
      </c>
      <c r="AB28">
        <v>35.528841297100726</v>
      </c>
      <c r="AC28">
        <v>38.539713862851514</v>
      </c>
      <c r="AD28">
        <v>41.304563985283885</v>
      </c>
      <c r="AE28">
        <v>67.39673390970222</v>
      </c>
      <c r="AF28">
        <v>76.095478700235219</v>
      </c>
    </row>
    <row r="29" spans="1:32" x14ac:dyDescent="0.25">
      <c r="A29" s="4" t="s">
        <v>143</v>
      </c>
      <c r="B29" s="7">
        <v>2.1000000000000046E-3</v>
      </c>
      <c r="C29" s="7">
        <v>0.55249999999999999</v>
      </c>
      <c r="D29" s="7">
        <v>0.14119999999999999</v>
      </c>
      <c r="E29" s="7">
        <v>0.30149999999999999</v>
      </c>
      <c r="F29" s="7">
        <v>0.64880000000000004</v>
      </c>
      <c r="N29" t="s">
        <v>27</v>
      </c>
      <c r="O29">
        <v>-34.860557768924281</v>
      </c>
      <c r="P29">
        <v>9.2858474734290581</v>
      </c>
      <c r="Q29">
        <v>18.603575832305793</v>
      </c>
      <c r="R29">
        <v>11.028517367211791</v>
      </c>
      <c r="S29">
        <v>40.342766941030561</v>
      </c>
      <c r="T29">
        <v>73.878948531036002</v>
      </c>
      <c r="U29">
        <v>60.551853150941184</v>
      </c>
      <c r="V29">
        <v>31.21802547077391</v>
      </c>
      <c r="W29">
        <v>63.700904614679949</v>
      </c>
      <c r="X29">
        <v>70.04927141209771</v>
      </c>
      <c r="Y29">
        <v>29.891304347826093</v>
      </c>
      <c r="Z29">
        <v>41.908097208956804</v>
      </c>
      <c r="AA29">
        <v>38.221371739349372</v>
      </c>
      <c r="AB29">
        <v>33.215476310738453</v>
      </c>
      <c r="AC29">
        <v>29.383325111001483</v>
      </c>
      <c r="AD29">
        <v>43.163965397235756</v>
      </c>
      <c r="AE29">
        <v>54.178674351585016</v>
      </c>
      <c r="AF29">
        <v>55.170311002700579</v>
      </c>
    </row>
    <row r="30" spans="1:32" x14ac:dyDescent="0.25">
      <c r="A30" s="5"/>
      <c r="B30" s="5"/>
      <c r="C30" s="5"/>
      <c r="D30" s="5"/>
      <c r="E30" s="5"/>
      <c r="F30" s="5"/>
      <c r="N30" t="s">
        <v>29</v>
      </c>
      <c r="O30">
        <v>-59.760956175298787</v>
      </c>
      <c r="P30">
        <v>9.7333581950400827</v>
      </c>
      <c r="Q30">
        <v>31.612207151664606</v>
      </c>
      <c r="R30">
        <v>45.573726179213402</v>
      </c>
      <c r="S30">
        <v>49.362949599729397</v>
      </c>
      <c r="T30">
        <v>85.730064060083947</v>
      </c>
      <c r="U30">
        <v>33.438559569741599</v>
      </c>
      <c r="V30">
        <v>39.51235441384565</v>
      </c>
      <c r="W30">
        <v>44.566586510935537</v>
      </c>
      <c r="X30">
        <v>43.285459691791594</v>
      </c>
      <c r="Y30">
        <v>26.045939294503697</v>
      </c>
      <c r="Z30">
        <v>33.439456648625708</v>
      </c>
      <c r="AA30">
        <v>35.844495921039382</v>
      </c>
      <c r="AB30">
        <v>32.841701181937566</v>
      </c>
      <c r="AC30">
        <v>32.955106068080894</v>
      </c>
      <c r="AD30">
        <v>41.871333399622159</v>
      </c>
      <c r="AE30">
        <v>48.664745437079723</v>
      </c>
      <c r="AF30">
        <v>72.724104887185291</v>
      </c>
    </row>
    <row r="31" spans="1:32" x14ac:dyDescent="0.25">
      <c r="A31" s="5" t="s">
        <v>7</v>
      </c>
      <c r="B31" s="5"/>
      <c r="C31" s="5"/>
      <c r="D31" s="5"/>
      <c r="E31" s="5"/>
      <c r="F31" s="5"/>
    </row>
    <row r="32" spans="1:32" x14ac:dyDescent="0.25">
      <c r="A32" s="5"/>
      <c r="B32" s="5" t="s">
        <v>67</v>
      </c>
      <c r="C32" s="5" t="s">
        <v>69</v>
      </c>
      <c r="D32" s="5" t="s">
        <v>70</v>
      </c>
      <c r="E32" s="5" t="s">
        <v>71</v>
      </c>
      <c r="F32" s="5" t="s">
        <v>72</v>
      </c>
    </row>
    <row r="33" spans="1:12" x14ac:dyDescent="0.25">
      <c r="A33" s="5" t="s">
        <v>0</v>
      </c>
      <c r="B33" s="7">
        <v>7.6999999999999985E-3</v>
      </c>
      <c r="C33" s="7">
        <v>0.52539999999999998</v>
      </c>
      <c r="D33" s="7">
        <v>2.7899999999999994E-2</v>
      </c>
      <c r="E33" s="7">
        <v>0.27060000000000001</v>
      </c>
      <c r="F33" s="7">
        <v>0.4027</v>
      </c>
      <c r="H33">
        <f>100-(B33/(-0.0104))*100</f>
        <v>174.03846153846155</v>
      </c>
      <c r="I33">
        <f>100-(C33/0.5467)*100</f>
        <v>3.8961038961038952</v>
      </c>
      <c r="J33">
        <f>100-(D33/0.0271)*100</f>
        <v>-2.9520295202951843</v>
      </c>
      <c r="K33">
        <f>100-(E33/0.1775)*100</f>
        <v>-52.450704225352126</v>
      </c>
      <c r="L33">
        <f>100-(F33/0.7399)*100</f>
        <v>45.573726179213402</v>
      </c>
    </row>
    <row r="34" spans="1:12" x14ac:dyDescent="0.25">
      <c r="A34" s="5" t="s">
        <v>1</v>
      </c>
      <c r="B34" s="7">
        <v>8.6000000000000035E-3</v>
      </c>
      <c r="C34" s="7">
        <v>0.50980000000000003</v>
      </c>
      <c r="D34" s="7">
        <v>2.7400000000000008E-2</v>
      </c>
      <c r="E34" s="7">
        <v>0.26590000000000003</v>
      </c>
      <c r="F34" s="7">
        <v>0.6583</v>
      </c>
      <c r="H34">
        <f t="shared" ref="H34:H36" si="15">100-(B34/(-0.0104))*100</f>
        <v>182.69230769230774</v>
      </c>
      <c r="I34">
        <f t="shared" ref="I34:I36" si="16">100-(C34/0.5467)*100</f>
        <v>6.7495884397292656</v>
      </c>
      <c r="J34">
        <f t="shared" ref="J34:J36" si="17">100-(D34/0.0271)*100</f>
        <v>-1.1070110701107296</v>
      </c>
      <c r="K34">
        <f t="shared" ref="K34:K36" si="18">100-(E34/0.1775)*100</f>
        <v>-49.802816901408477</v>
      </c>
      <c r="L34">
        <f t="shared" ref="L34:L36" si="19">100-(F34/0.7399)*100</f>
        <v>11.028517367211791</v>
      </c>
    </row>
    <row r="35" spans="1:12" x14ac:dyDescent="0.25">
      <c r="A35" s="5" t="s">
        <v>2</v>
      </c>
      <c r="B35" s="7">
        <v>9.7000000000000003E-3</v>
      </c>
      <c r="C35" s="7">
        <v>0.52360000000000007</v>
      </c>
      <c r="D35" s="7">
        <v>5.4699999999999999E-2</v>
      </c>
      <c r="E35" s="7">
        <v>0.2928</v>
      </c>
      <c r="F35" s="7">
        <v>0.68799999999999994</v>
      </c>
      <c r="H35">
        <f t="shared" si="15"/>
        <v>193.26923076923077</v>
      </c>
      <c r="I35">
        <f t="shared" si="16"/>
        <v>4.2253521126760347</v>
      </c>
      <c r="J35">
        <f t="shared" si="17"/>
        <v>-101.84501845018451</v>
      </c>
      <c r="K35">
        <f t="shared" si="18"/>
        <v>-64.957746478873247</v>
      </c>
      <c r="L35">
        <f t="shared" si="19"/>
        <v>7.0144614137045664</v>
      </c>
    </row>
    <row r="36" spans="1:12" x14ac:dyDescent="0.25">
      <c r="A36" s="5" t="s">
        <v>3</v>
      </c>
      <c r="B36" s="7">
        <v>2.6500000000000003E-2</v>
      </c>
      <c r="C36" s="7">
        <v>0.49340000000000006</v>
      </c>
      <c r="D36" s="7">
        <v>1.7100000000000004E-2</v>
      </c>
      <c r="E36" s="7">
        <v>0.27809999999999996</v>
      </c>
      <c r="F36" s="7">
        <v>0.72360000000000002</v>
      </c>
      <c r="H36">
        <f t="shared" si="15"/>
        <v>354.80769230769232</v>
      </c>
      <c r="I36">
        <f t="shared" si="16"/>
        <v>9.7494055240533868</v>
      </c>
      <c r="J36">
        <f t="shared" si="17"/>
        <v>36.900369003690017</v>
      </c>
      <c r="K36">
        <f t="shared" si="18"/>
        <v>-56.676056338028161</v>
      </c>
      <c r="L36">
        <f t="shared" si="19"/>
        <v>2.2030004054602017</v>
      </c>
    </row>
    <row r="37" spans="1:12" x14ac:dyDescent="0.25">
      <c r="A37" s="4"/>
      <c r="B37" s="7"/>
      <c r="C37" s="7"/>
      <c r="D37" s="7"/>
      <c r="E37" s="7"/>
      <c r="F37" s="7"/>
    </row>
    <row r="38" spans="1:12" x14ac:dyDescent="0.25">
      <c r="A38" s="4"/>
      <c r="B38" s="5"/>
      <c r="C38" s="5"/>
      <c r="D38" s="5"/>
      <c r="E38" s="5"/>
      <c r="F38" s="5"/>
    </row>
    <row r="39" spans="1:12" x14ac:dyDescent="0.25">
      <c r="A39" s="4" t="s">
        <v>143</v>
      </c>
      <c r="B39" s="7">
        <v>-1.04E-2</v>
      </c>
      <c r="C39" s="7">
        <v>0.54669999999999996</v>
      </c>
      <c r="D39" s="7">
        <v>2.7099999999999999E-2</v>
      </c>
      <c r="E39" s="7">
        <v>0.17750000000000002</v>
      </c>
      <c r="F39" s="7">
        <v>0.7399</v>
      </c>
    </row>
    <row r="40" spans="1:12" x14ac:dyDescent="0.25">
      <c r="A40" s="5"/>
      <c r="B40" s="5"/>
      <c r="C40" s="5"/>
      <c r="D40" s="5"/>
      <c r="E40" s="5"/>
      <c r="F40" s="5"/>
    </row>
    <row r="41" spans="1:12" x14ac:dyDescent="0.25">
      <c r="A41" s="5" t="s">
        <v>8</v>
      </c>
      <c r="B41" s="5"/>
      <c r="C41" s="5"/>
      <c r="D41" s="5"/>
      <c r="E41" s="5"/>
      <c r="F41" s="5"/>
    </row>
    <row r="42" spans="1:12" x14ac:dyDescent="0.25">
      <c r="A42" s="5"/>
      <c r="B42" s="5" t="s">
        <v>67</v>
      </c>
      <c r="C42" s="5" t="s">
        <v>69</v>
      </c>
      <c r="D42" s="5" t="s">
        <v>70</v>
      </c>
      <c r="E42" s="5" t="s">
        <v>71</v>
      </c>
      <c r="F42" s="5" t="s">
        <v>72</v>
      </c>
    </row>
    <row r="43" spans="1:12" x14ac:dyDescent="0.25">
      <c r="A43" s="5" t="s">
        <v>0</v>
      </c>
      <c r="B43" s="7">
        <v>4.0599999999999997E-2</v>
      </c>
      <c r="C43" s="7">
        <v>0.52460000000000007</v>
      </c>
      <c r="D43" s="7">
        <v>1.3000000000000025E-3</v>
      </c>
      <c r="E43" s="7">
        <v>0.3306</v>
      </c>
      <c r="F43" s="7">
        <v>0.4491</v>
      </c>
      <c r="H43" s="3">
        <f>100-(B43/0.001)*100</f>
        <v>-3959.9999999999995</v>
      </c>
      <c r="I43">
        <f>100-(C43/0.4273)*100</f>
        <v>-22.770886964661855</v>
      </c>
      <c r="K43">
        <f>100-(E43/0.2584)*100</f>
        <v>-27.941176470588232</v>
      </c>
      <c r="L43">
        <f>100-(F43/0.8869)*100</f>
        <v>49.362949599729397</v>
      </c>
    </row>
    <row r="44" spans="1:12" x14ac:dyDescent="0.25">
      <c r="A44" s="5" t="s">
        <v>1</v>
      </c>
      <c r="B44" s="7">
        <v>2.7500000000000004E-2</v>
      </c>
      <c r="C44" s="7">
        <v>0.50369999999999993</v>
      </c>
      <c r="D44" s="7">
        <v>3.1699999999999992E-2</v>
      </c>
      <c r="E44" s="7">
        <v>0.33740000000000003</v>
      </c>
      <c r="F44" s="7">
        <v>0.52910000000000001</v>
      </c>
      <c r="H44" s="3">
        <f t="shared" ref="H44:H46" si="20">100-(B44/0.001)*100</f>
        <v>-2650.0000000000005</v>
      </c>
      <c r="I44">
        <f t="shared" ref="I44:I46" si="21">100-(C44/0.4273)*100</f>
        <v>-17.879709805757059</v>
      </c>
      <c r="J44">
        <f t="shared" ref="J44:J46" si="22">100-(D44/0.0226)*100</f>
        <v>-40.265486725663692</v>
      </c>
      <c r="K44">
        <f t="shared" ref="K44:K46" si="23">100-(E44/0.2584)*100</f>
        <v>-30.572755417956643</v>
      </c>
      <c r="L44">
        <f t="shared" ref="L44:L46" si="24">100-(F44/0.8869)*100</f>
        <v>40.342766941030561</v>
      </c>
    </row>
    <row r="45" spans="1:12" x14ac:dyDescent="0.25">
      <c r="A45" s="5" t="s">
        <v>2</v>
      </c>
      <c r="B45" s="7">
        <v>1.6399999999999998E-2</v>
      </c>
      <c r="C45" s="7">
        <v>0.56259999999999999</v>
      </c>
      <c r="D45" s="7">
        <v>2.679999999999999E-2</v>
      </c>
      <c r="E45" s="7">
        <v>0.36219999999999997</v>
      </c>
      <c r="F45" s="7">
        <v>0.47460000000000002</v>
      </c>
      <c r="H45" s="3">
        <f t="shared" si="20"/>
        <v>-1539.9999999999998</v>
      </c>
      <c r="I45">
        <f t="shared" si="21"/>
        <v>-31.663936344488661</v>
      </c>
      <c r="J45">
        <f t="shared" si="22"/>
        <v>-18.584070796460139</v>
      </c>
      <c r="K45">
        <f t="shared" si="23"/>
        <v>-40.170278637770878</v>
      </c>
      <c r="L45">
        <f t="shared" si="24"/>
        <v>46.487766377269132</v>
      </c>
    </row>
    <row r="46" spans="1:12" x14ac:dyDescent="0.25">
      <c r="A46" s="5" t="s">
        <v>3</v>
      </c>
      <c r="B46" s="7">
        <v>1.9799999999999998E-2</v>
      </c>
      <c r="C46" s="7">
        <v>0.48510000000000003</v>
      </c>
      <c r="D46" s="7">
        <v>2.2600000000000009E-2</v>
      </c>
      <c r="E46" s="7">
        <v>0.35209999999999997</v>
      </c>
      <c r="F46" s="7">
        <v>0.56950000000000001</v>
      </c>
      <c r="H46" s="3">
        <f t="shared" si="20"/>
        <v>-1879.9999999999998</v>
      </c>
      <c r="I46">
        <f t="shared" si="21"/>
        <v>-13.526796161947118</v>
      </c>
      <c r="J46">
        <f t="shared" si="22"/>
        <v>0</v>
      </c>
      <c r="K46">
        <f t="shared" si="23"/>
        <v>-36.261609907120715</v>
      </c>
      <c r="L46">
        <f t="shared" si="24"/>
        <v>35.787574698387644</v>
      </c>
    </row>
    <row r="47" spans="1:12" x14ac:dyDescent="0.25">
      <c r="A47" s="4"/>
      <c r="B47" s="8"/>
      <c r="C47" s="8"/>
      <c r="D47" s="8"/>
      <c r="E47" s="8"/>
      <c r="F47" s="8"/>
    </row>
    <row r="48" spans="1:12" x14ac:dyDescent="0.25">
      <c r="A48" s="4"/>
      <c r="B48" s="5"/>
      <c r="C48" s="5"/>
      <c r="D48" s="5"/>
      <c r="E48" s="5"/>
      <c r="F48" s="5"/>
    </row>
    <row r="49" spans="1:12" x14ac:dyDescent="0.25">
      <c r="A49" s="4" t="s">
        <v>143</v>
      </c>
      <c r="B49" s="7">
        <v>1.0000000000000009E-3</v>
      </c>
      <c r="C49" s="7">
        <v>0.42730000000000001</v>
      </c>
      <c r="D49" s="7">
        <v>2.2599999999999995E-2</v>
      </c>
      <c r="E49" s="7">
        <v>0.25840000000000002</v>
      </c>
      <c r="F49" s="7">
        <v>0.88690000000000002</v>
      </c>
    </row>
    <row r="50" spans="1:12" x14ac:dyDescent="0.25">
      <c r="A50" s="5"/>
      <c r="B50" s="5"/>
      <c r="C50" s="5"/>
      <c r="D50" s="5"/>
      <c r="E50" s="5"/>
      <c r="F50" s="5"/>
    </row>
    <row r="51" spans="1:12" x14ac:dyDescent="0.25">
      <c r="A51" s="5" t="s">
        <v>9</v>
      </c>
      <c r="B51" s="5"/>
      <c r="C51" s="5"/>
      <c r="D51" s="5"/>
      <c r="E51" s="5"/>
      <c r="F51" s="5"/>
    </row>
    <row r="52" spans="1:12" x14ac:dyDescent="0.25">
      <c r="A52" s="5"/>
      <c r="B52" s="5" t="s">
        <v>67</v>
      </c>
      <c r="C52" s="5" t="s">
        <v>69</v>
      </c>
      <c r="D52" s="5" t="s">
        <v>70</v>
      </c>
      <c r="E52" s="5" t="s">
        <v>71</v>
      </c>
      <c r="F52" s="5" t="s">
        <v>72</v>
      </c>
    </row>
    <row r="53" spans="1:12" x14ac:dyDescent="0.25">
      <c r="A53" s="5" t="s">
        <v>0</v>
      </c>
      <c r="B53" s="7">
        <v>7.8400000000000011E-2</v>
      </c>
      <c r="C53" s="7">
        <v>0.39479999999999998</v>
      </c>
      <c r="D53" s="7"/>
      <c r="E53" s="7">
        <v>0.74570000000000003</v>
      </c>
      <c r="F53" s="7">
        <v>0.12919999999999998</v>
      </c>
      <c r="H53">
        <f>100-(B53/0.0505)*100</f>
        <v>-55.247524752475243</v>
      </c>
      <c r="I53">
        <f>100-(C53/0.4181)*100</f>
        <v>5.5728294666347864</v>
      </c>
      <c r="K53">
        <f>100-(E53/0.4436)*100</f>
        <v>-68.101893597835897</v>
      </c>
      <c r="L53">
        <f>100-(F53/0.9054)*100</f>
        <v>85.730064060083947</v>
      </c>
    </row>
    <row r="54" spans="1:12" x14ac:dyDescent="0.25">
      <c r="A54" s="5" t="s">
        <v>1</v>
      </c>
      <c r="B54" s="7">
        <v>9.7900000000000015E-2</v>
      </c>
      <c r="C54" s="7">
        <v>0.33050000000000002</v>
      </c>
      <c r="D54" s="7">
        <v>0.16389999999999999</v>
      </c>
      <c r="E54" s="7">
        <v>0.69930000000000003</v>
      </c>
      <c r="F54" s="7">
        <v>0.23649999999999999</v>
      </c>
      <c r="H54">
        <f t="shared" ref="H54:H56" si="25">100-(B54/0.0505)*100</f>
        <v>-93.861386138613881</v>
      </c>
      <c r="I54">
        <f t="shared" ref="I54:I56" si="26">100-(C54/0.4181)*100</f>
        <v>20.951925376704139</v>
      </c>
      <c r="J54">
        <f t="shared" ref="J54:J56" si="27">100-(D54/0.3062)*100</f>
        <v>46.47289353363815</v>
      </c>
      <c r="K54">
        <f t="shared" ref="K54:K56" si="28">100-(E54/0.4436)*100</f>
        <v>-57.642019837691606</v>
      </c>
      <c r="L54">
        <f t="shared" ref="L54:L56" si="29">100-(F54/0.9054)*100</f>
        <v>73.878948531036002</v>
      </c>
    </row>
    <row r="55" spans="1:12" x14ac:dyDescent="0.25">
      <c r="A55" s="5" t="s">
        <v>2</v>
      </c>
      <c r="B55" s="5"/>
      <c r="C55" s="7">
        <v>0.37480000000000002</v>
      </c>
      <c r="D55" s="7">
        <v>0.18409999999999999</v>
      </c>
      <c r="E55" s="7">
        <v>0.73060000000000003</v>
      </c>
      <c r="F55" s="7">
        <v>0.35119999999999996</v>
      </c>
      <c r="I55">
        <f t="shared" si="26"/>
        <v>10.356374073188235</v>
      </c>
      <c r="J55">
        <f t="shared" si="27"/>
        <v>39.875898105813199</v>
      </c>
      <c r="K55">
        <f t="shared" si="28"/>
        <v>-64.697926059513065</v>
      </c>
      <c r="L55">
        <f t="shared" si="29"/>
        <v>61.210514689639943</v>
      </c>
    </row>
    <row r="56" spans="1:12" x14ac:dyDescent="0.25">
      <c r="A56" s="5" t="s">
        <v>3</v>
      </c>
      <c r="B56" s="7">
        <v>5.0300000000000004E-2</v>
      </c>
      <c r="C56" s="7">
        <v>0.39300000000000002</v>
      </c>
      <c r="D56" s="7">
        <v>0.26069999999999999</v>
      </c>
      <c r="E56" s="7">
        <v>0.68800000000000006</v>
      </c>
      <c r="F56" s="7">
        <v>0.2838</v>
      </c>
      <c r="H56">
        <f t="shared" si="25"/>
        <v>0.39603960396038929</v>
      </c>
      <c r="I56">
        <f t="shared" si="26"/>
        <v>6.0033484812245916</v>
      </c>
      <c r="J56">
        <f t="shared" si="27"/>
        <v>14.859568909209671</v>
      </c>
      <c r="K56">
        <f t="shared" si="28"/>
        <v>-55.094679891794414</v>
      </c>
      <c r="L56">
        <f t="shared" si="29"/>
        <v>68.654738237243208</v>
      </c>
    </row>
    <row r="57" spans="1:12" x14ac:dyDescent="0.25">
      <c r="A57" s="4"/>
      <c r="B57" s="8"/>
      <c r="C57" s="8"/>
      <c r="D57" s="8"/>
      <c r="E57" s="8"/>
      <c r="F57" s="8"/>
    </row>
    <row r="58" spans="1:12" x14ac:dyDescent="0.25">
      <c r="A58" s="4"/>
      <c r="B58" s="5"/>
      <c r="C58" s="5"/>
      <c r="D58" s="5"/>
      <c r="E58" s="5"/>
      <c r="F58" s="5"/>
    </row>
    <row r="59" spans="1:12" x14ac:dyDescent="0.25">
      <c r="A59" s="4" t="s">
        <v>143</v>
      </c>
      <c r="B59" s="7">
        <v>5.0500000000000003E-2</v>
      </c>
      <c r="C59" s="7">
        <v>0.41809999999999997</v>
      </c>
      <c r="D59" s="7">
        <v>0.30620000000000003</v>
      </c>
      <c r="E59" s="7">
        <v>0.44359999999999999</v>
      </c>
      <c r="F59" s="7">
        <v>0.90539999999999998</v>
      </c>
    </row>
    <row r="60" spans="1:12" x14ac:dyDescent="0.25">
      <c r="A60" s="5"/>
      <c r="B60" s="5"/>
      <c r="C60" s="5"/>
      <c r="D60" s="5"/>
      <c r="E60" s="5"/>
      <c r="F60" s="5"/>
    </row>
    <row r="61" spans="1:12" x14ac:dyDescent="0.25">
      <c r="A61" s="5" t="s">
        <v>10</v>
      </c>
      <c r="B61" s="5"/>
      <c r="C61" s="5"/>
      <c r="D61" s="5"/>
      <c r="E61" s="5"/>
      <c r="F61" s="5"/>
    </row>
    <row r="62" spans="1:12" x14ac:dyDescent="0.25">
      <c r="A62" s="5"/>
      <c r="B62" s="5" t="s">
        <v>67</v>
      </c>
      <c r="C62" s="5" t="s">
        <v>69</v>
      </c>
      <c r="D62" s="5" t="s">
        <v>70</v>
      </c>
      <c r="E62" s="5" t="s">
        <v>71</v>
      </c>
      <c r="F62" s="5" t="s">
        <v>72</v>
      </c>
    </row>
    <row r="63" spans="1:12" x14ac:dyDescent="0.25">
      <c r="A63" s="5" t="s">
        <v>0</v>
      </c>
      <c r="B63" s="7">
        <v>0.1008</v>
      </c>
      <c r="C63" s="7">
        <v>0.39529999999999998</v>
      </c>
      <c r="D63" s="7"/>
      <c r="E63" s="7">
        <v>0.77580000000000005</v>
      </c>
      <c r="F63" s="7">
        <v>0.56930000000000003</v>
      </c>
      <c r="H63">
        <f>100-(B63/0.037)*100</f>
        <v>-172.43243243243245</v>
      </c>
      <c r="I63">
        <f>100-(C63/0.4632)*100</f>
        <v>14.658894645941274</v>
      </c>
      <c r="K63">
        <f>100-(E63/0.4689)*100</f>
        <v>-65.451055662188111</v>
      </c>
      <c r="L63">
        <f>100-(F63/0.8553)*100</f>
        <v>33.438559569741599</v>
      </c>
    </row>
    <row r="64" spans="1:12" x14ac:dyDescent="0.25">
      <c r="A64" s="5" t="s">
        <v>1</v>
      </c>
      <c r="B64" s="7">
        <v>0.10980000000000001</v>
      </c>
      <c r="C64" s="7">
        <v>0.37690000000000001</v>
      </c>
      <c r="D64" s="7">
        <v>0.28190000000000004</v>
      </c>
      <c r="E64" s="7">
        <v>0.70140000000000002</v>
      </c>
      <c r="F64" s="7">
        <v>0.33740000000000003</v>
      </c>
      <c r="H64">
        <f t="shared" ref="H64:H66" si="30">100-(B64/0.037)*100</f>
        <v>-196.75675675675677</v>
      </c>
      <c r="I64">
        <f t="shared" ref="I64:I66" si="31">100-(C64/0.4632)*100</f>
        <v>18.631260794473221</v>
      </c>
      <c r="J64">
        <f t="shared" ref="J64:J66" si="32">100-(D64/0.2069)*100</f>
        <v>-36.249395843402624</v>
      </c>
      <c r="K64">
        <f t="shared" ref="K64:K66" si="33">100-(E64/0.4689)*100</f>
        <v>-49.584133077415231</v>
      </c>
      <c r="L64">
        <f t="shared" ref="L64:L66" si="34">100-(F64/0.8553)*100</f>
        <v>60.551853150941184</v>
      </c>
    </row>
    <row r="65" spans="1:12" x14ac:dyDescent="0.25">
      <c r="A65" s="5" t="s">
        <v>2</v>
      </c>
      <c r="B65" s="7"/>
      <c r="C65" s="7">
        <v>0.40739999999999998</v>
      </c>
      <c r="D65" s="7">
        <v>0.22139999999999999</v>
      </c>
      <c r="E65" s="7">
        <v>0.8347</v>
      </c>
      <c r="F65" s="7">
        <v>0.36659999999999998</v>
      </c>
      <c r="I65">
        <f t="shared" si="31"/>
        <v>12.046632124352328</v>
      </c>
      <c r="J65">
        <f t="shared" si="32"/>
        <v>-7.0082165297244927</v>
      </c>
      <c r="K65">
        <f t="shared" si="33"/>
        <v>-78.012369375133289</v>
      </c>
      <c r="L65">
        <f t="shared" si="34"/>
        <v>57.137846369694842</v>
      </c>
    </row>
    <row r="66" spans="1:12" x14ac:dyDescent="0.25">
      <c r="A66" s="5" t="s">
        <v>3</v>
      </c>
      <c r="B66" s="7">
        <v>7.8700000000000006E-2</v>
      </c>
      <c r="C66" s="7">
        <v>0.4622</v>
      </c>
      <c r="D66" s="7">
        <v>0.46440000000000003</v>
      </c>
      <c r="E66" s="7">
        <v>0.74549999999999994</v>
      </c>
      <c r="F66" s="7">
        <v>0.34320000000000001</v>
      </c>
      <c r="H66">
        <f t="shared" si="30"/>
        <v>-112.70270270270274</v>
      </c>
      <c r="I66">
        <f t="shared" si="31"/>
        <v>0.21588946459412739</v>
      </c>
      <c r="J66">
        <f t="shared" si="32"/>
        <v>-124.45625906234898</v>
      </c>
      <c r="K66">
        <f t="shared" si="33"/>
        <v>-58.989123480486228</v>
      </c>
      <c r="L66">
        <f t="shared" si="34"/>
        <v>59.873728516310067</v>
      </c>
    </row>
    <row r="67" spans="1:12" x14ac:dyDescent="0.25">
      <c r="A67" s="4"/>
      <c r="B67" s="8"/>
      <c r="C67" s="8"/>
      <c r="D67" s="8"/>
      <c r="E67" s="8"/>
      <c r="F67" s="8"/>
    </row>
    <row r="68" spans="1:12" x14ac:dyDescent="0.25">
      <c r="A68" s="4"/>
      <c r="B68" s="5"/>
      <c r="C68" s="5"/>
      <c r="D68" s="5"/>
      <c r="E68" s="5"/>
      <c r="F68" s="5"/>
    </row>
    <row r="69" spans="1:12" x14ac:dyDescent="0.25">
      <c r="A69" s="4" t="s">
        <v>143</v>
      </c>
      <c r="B69" s="7">
        <v>3.7000000000000005E-2</v>
      </c>
      <c r="C69" s="7">
        <v>0.4632</v>
      </c>
      <c r="D69" s="7">
        <v>0.20689999999999997</v>
      </c>
      <c r="E69" s="7">
        <v>0.46889999999999998</v>
      </c>
      <c r="F69" s="7">
        <v>0.85530000000000006</v>
      </c>
    </row>
    <row r="70" spans="1:12" x14ac:dyDescent="0.25">
      <c r="A70" s="5"/>
      <c r="B70" s="5"/>
      <c r="C70" s="5"/>
      <c r="D70" s="5"/>
      <c r="E70" s="5"/>
      <c r="F70" s="5"/>
    </row>
    <row r="71" spans="1:12" x14ac:dyDescent="0.25">
      <c r="A71" s="5" t="s">
        <v>11</v>
      </c>
      <c r="B71" s="5"/>
      <c r="C71" s="5"/>
      <c r="D71" s="5"/>
      <c r="E71" s="5"/>
      <c r="F71" s="5"/>
    </row>
    <row r="72" spans="1:12" x14ac:dyDescent="0.25">
      <c r="A72" s="5"/>
      <c r="B72" s="5" t="s">
        <v>67</v>
      </c>
      <c r="C72" s="5" t="s">
        <v>69</v>
      </c>
      <c r="D72" s="5" t="s">
        <v>70</v>
      </c>
      <c r="E72" s="5" t="s">
        <v>71</v>
      </c>
      <c r="F72" s="5" t="s">
        <v>72</v>
      </c>
    </row>
    <row r="73" spans="1:12" x14ac:dyDescent="0.25">
      <c r="A73" s="5" t="s">
        <v>0</v>
      </c>
      <c r="B73" s="7">
        <v>9.9599999999999994E-2</v>
      </c>
      <c r="C73" s="7">
        <v>0.3705</v>
      </c>
      <c r="D73" s="5"/>
      <c r="E73" s="7"/>
      <c r="F73" s="7">
        <v>0.55569999999999997</v>
      </c>
      <c r="H73">
        <f>100-(B73/0.0707)*100</f>
        <v>-40.876944837340886</v>
      </c>
      <c r="I73">
        <f>100-(C73/0.4852)*100</f>
        <v>23.639736191261335</v>
      </c>
      <c r="L73">
        <f>100-(F73/0.9187)*100</f>
        <v>39.51235441384565</v>
      </c>
    </row>
    <row r="74" spans="1:12" x14ac:dyDescent="0.25">
      <c r="A74" s="5" t="s">
        <v>1</v>
      </c>
      <c r="B74" s="7">
        <v>9.8800000000000013E-2</v>
      </c>
      <c r="C74" s="7">
        <v>0.26190000000000002</v>
      </c>
      <c r="D74" s="7">
        <v>0.59360000000000002</v>
      </c>
      <c r="E74" s="7">
        <v>1.2464</v>
      </c>
      <c r="F74" s="7">
        <v>0.63190000000000002</v>
      </c>
      <c r="H74">
        <f t="shared" ref="H74:H76" si="35">100-(B74/0.0707)*100</f>
        <v>-39.745403111739762</v>
      </c>
      <c r="I74">
        <f t="shared" ref="I74:I76" si="36">100-(C74/0.4852)*100</f>
        <v>46.022258862324819</v>
      </c>
      <c r="J74">
        <f t="shared" ref="J74:J76" si="37">100-(D74/0.7068)*100</f>
        <v>16.015846066779844</v>
      </c>
      <c r="K74">
        <f t="shared" ref="K74:K76" si="38">100-(E74/0.5775)*100</f>
        <v>-115.82683982683983</v>
      </c>
      <c r="L74">
        <f t="shared" ref="L74:L76" si="39">100-(F74/0.9187)*100</f>
        <v>31.21802547077391</v>
      </c>
    </row>
    <row r="75" spans="1:12" x14ac:dyDescent="0.25">
      <c r="A75" s="5" t="s">
        <v>2</v>
      </c>
      <c r="B75" s="7"/>
      <c r="C75" s="7">
        <v>0.34229999999999999</v>
      </c>
      <c r="D75" s="7">
        <v>0.47289999999999999</v>
      </c>
      <c r="E75" s="7">
        <v>1.3678000000000001</v>
      </c>
      <c r="F75" s="7">
        <v>0.3619</v>
      </c>
      <c r="I75">
        <f t="shared" si="36"/>
        <v>29.451772464962914</v>
      </c>
      <c r="J75">
        <f t="shared" si="37"/>
        <v>33.092812676853427</v>
      </c>
      <c r="K75">
        <f t="shared" si="38"/>
        <v>-136.84848484848487</v>
      </c>
      <c r="L75">
        <f t="shared" si="39"/>
        <v>60.607379993469031</v>
      </c>
    </row>
    <row r="76" spans="1:12" x14ac:dyDescent="0.25">
      <c r="A76" s="5" t="s">
        <v>3</v>
      </c>
      <c r="B76" s="7">
        <v>7.5200000000000017E-2</v>
      </c>
      <c r="C76" s="7">
        <v>0.40750000000000003</v>
      </c>
      <c r="D76" s="7">
        <v>0.75939999999999996</v>
      </c>
      <c r="E76" s="7">
        <v>0.96219999999999994</v>
      </c>
      <c r="F76" s="7">
        <v>0.38919999999999999</v>
      </c>
      <c r="H76">
        <f t="shared" si="35"/>
        <v>-6.3649222065063924</v>
      </c>
      <c r="I76">
        <f t="shared" si="36"/>
        <v>16.014014839241554</v>
      </c>
      <c r="J76">
        <f t="shared" si="37"/>
        <v>-7.4419920769666135</v>
      </c>
      <c r="K76">
        <f t="shared" si="38"/>
        <v>-66.614718614718583</v>
      </c>
      <c r="L76">
        <f t="shared" si="39"/>
        <v>57.635789702840974</v>
      </c>
    </row>
    <row r="77" spans="1:12" x14ac:dyDescent="0.25">
      <c r="A77" s="4"/>
      <c r="B77" s="7"/>
      <c r="C77" s="7"/>
      <c r="D77" s="7"/>
      <c r="E77" s="7"/>
      <c r="F77" s="7"/>
    </row>
    <row r="78" spans="1:12" x14ac:dyDescent="0.25">
      <c r="A78" s="4"/>
      <c r="B78" s="5"/>
      <c r="C78" s="5"/>
      <c r="D78" s="5"/>
      <c r="E78" s="5"/>
      <c r="F78" s="5"/>
    </row>
    <row r="79" spans="1:12" x14ac:dyDescent="0.25">
      <c r="A79" s="4" t="s">
        <v>143</v>
      </c>
      <c r="B79" s="7">
        <v>7.0699999999999999E-2</v>
      </c>
      <c r="C79" s="7">
        <v>0.48520000000000002</v>
      </c>
      <c r="D79" s="7">
        <v>0.70679999999999998</v>
      </c>
      <c r="E79" s="7">
        <v>0.57750000000000001</v>
      </c>
      <c r="F79" s="7">
        <v>0.91869999999999996</v>
      </c>
    </row>
    <row r="80" spans="1:12" x14ac:dyDescent="0.25">
      <c r="A80" s="5"/>
      <c r="B80" s="5"/>
      <c r="C80" s="5"/>
      <c r="D80" s="5"/>
      <c r="E80" s="5"/>
      <c r="F80" s="5"/>
    </row>
    <row r="81" spans="1:12" x14ac:dyDescent="0.25">
      <c r="A81" s="5" t="s">
        <v>12</v>
      </c>
      <c r="B81" s="5"/>
      <c r="C81" s="5"/>
      <c r="D81" s="5"/>
      <c r="E81" s="5"/>
      <c r="F81" s="5"/>
    </row>
    <row r="82" spans="1:12" x14ac:dyDescent="0.25">
      <c r="A82" s="5"/>
      <c r="B82" s="5" t="s">
        <v>67</v>
      </c>
      <c r="C82" s="5" t="s">
        <v>69</v>
      </c>
      <c r="D82" s="5" t="s">
        <v>70</v>
      </c>
      <c r="E82" s="5" t="s">
        <v>71</v>
      </c>
      <c r="F82" s="5" t="s">
        <v>72</v>
      </c>
    </row>
    <row r="83" spans="1:12" x14ac:dyDescent="0.25">
      <c r="A83" s="5" t="s">
        <v>0</v>
      </c>
      <c r="B83" s="7">
        <v>0.12179999999999999</v>
      </c>
      <c r="C83" s="7">
        <v>0.34860000000000002</v>
      </c>
      <c r="D83" s="5"/>
      <c r="E83" s="7"/>
      <c r="F83" s="7">
        <v>0.48409999999999997</v>
      </c>
      <c r="H83">
        <f>100-(B83/0.0772)*100</f>
        <v>-57.772020725388586</v>
      </c>
      <c r="I83">
        <f>100-(C83/0.425)*100</f>
        <v>17.976470588235287</v>
      </c>
      <c r="L83">
        <f>100-(F83/0.8733)*100</f>
        <v>44.566586510935537</v>
      </c>
    </row>
    <row r="84" spans="1:12" x14ac:dyDescent="0.25">
      <c r="A84" s="5" t="s">
        <v>1</v>
      </c>
      <c r="B84" s="7">
        <v>0.10009999999999999</v>
      </c>
      <c r="C84" s="7">
        <v>0.2969</v>
      </c>
      <c r="D84" s="7">
        <v>0.81069999999999998</v>
      </c>
      <c r="E84" s="7">
        <v>1.0612999999999999</v>
      </c>
      <c r="F84" s="7">
        <v>0.317</v>
      </c>
      <c r="H84">
        <f t="shared" ref="H84:H86" si="40">100-(B84/0.0772)*100</f>
        <v>-29.663212435233163</v>
      </c>
      <c r="I84">
        <f t="shared" ref="I84:I86" si="41">100-(C84/0.425)*100</f>
        <v>30.141176470588235</v>
      </c>
      <c r="J84">
        <f t="shared" ref="J84:J86" si="42">100-(D84/0.7631)*100</f>
        <v>-6.2377145852444045</v>
      </c>
      <c r="K84">
        <f t="shared" ref="K84:K86" si="43">100-(E84/0.4235)*100</f>
        <v>-150.60212514757967</v>
      </c>
      <c r="L84">
        <f t="shared" ref="L84:L86" si="44">100-(F84/0.8733)*100</f>
        <v>63.700904614679949</v>
      </c>
    </row>
    <row r="85" spans="1:12" x14ac:dyDescent="0.25">
      <c r="A85" s="5" t="s">
        <v>2</v>
      </c>
      <c r="B85" s="7"/>
      <c r="C85" s="7">
        <v>0.33429999999999999</v>
      </c>
      <c r="D85" s="7">
        <v>0.75150000000000006</v>
      </c>
      <c r="E85" s="7">
        <v>1.0429000000000002</v>
      </c>
      <c r="F85" s="7">
        <v>0.3155</v>
      </c>
      <c r="I85">
        <f t="shared" si="41"/>
        <v>21.341176470588238</v>
      </c>
      <c r="J85">
        <f t="shared" si="42"/>
        <v>1.5201153190931649</v>
      </c>
      <c r="K85">
        <f t="shared" si="43"/>
        <v>-146.25737898465175</v>
      </c>
      <c r="L85">
        <f t="shared" si="44"/>
        <v>63.872666895683039</v>
      </c>
    </row>
    <row r="86" spans="1:12" x14ac:dyDescent="0.25">
      <c r="A86" s="5" t="s">
        <v>3</v>
      </c>
      <c r="B86" s="7">
        <v>9.2999999999999999E-2</v>
      </c>
      <c r="C86" s="7">
        <v>0.35440000000000005</v>
      </c>
      <c r="D86" s="7">
        <v>1.0216000000000001</v>
      </c>
      <c r="E86" s="7">
        <v>1.1736000000000002</v>
      </c>
      <c r="F86" s="7">
        <v>0.33629999999999999</v>
      </c>
      <c r="H86">
        <f t="shared" si="40"/>
        <v>-20.466321243523296</v>
      </c>
      <c r="I86">
        <f t="shared" si="41"/>
        <v>16.611764705882337</v>
      </c>
      <c r="J86">
        <f t="shared" si="42"/>
        <v>-33.874983619446994</v>
      </c>
      <c r="K86">
        <f t="shared" si="43"/>
        <v>-177.11924439197173</v>
      </c>
      <c r="L86">
        <f t="shared" si="44"/>
        <v>61.49089659910684</v>
      </c>
    </row>
    <row r="87" spans="1:12" x14ac:dyDescent="0.25">
      <c r="A87" s="4"/>
      <c r="B87" s="8"/>
      <c r="C87" s="8"/>
      <c r="D87" s="8"/>
      <c r="E87" s="8"/>
      <c r="F87" s="8"/>
    </row>
    <row r="88" spans="1:12" x14ac:dyDescent="0.25">
      <c r="A88" s="4"/>
      <c r="B88" s="5"/>
      <c r="C88" s="5"/>
      <c r="D88" s="5"/>
      <c r="E88" s="5"/>
      <c r="F88" s="5"/>
    </row>
    <row r="89" spans="1:12" x14ac:dyDescent="0.25">
      <c r="A89" s="4" t="s">
        <v>143</v>
      </c>
      <c r="B89" s="7">
        <v>7.7200000000000005E-2</v>
      </c>
      <c r="C89" s="7">
        <v>0.42500000000000004</v>
      </c>
      <c r="D89" s="7">
        <v>0.7631</v>
      </c>
      <c r="E89" s="7">
        <v>0.42349999999999999</v>
      </c>
      <c r="F89" s="7">
        <v>0.87330000000000008</v>
      </c>
    </row>
    <row r="90" spans="1:12" x14ac:dyDescent="0.25">
      <c r="A90" s="5"/>
      <c r="B90" s="5"/>
      <c r="C90" s="5"/>
      <c r="D90" s="5"/>
      <c r="E90" s="5"/>
      <c r="F90" s="5"/>
    </row>
    <row r="91" spans="1:12" x14ac:dyDescent="0.25">
      <c r="A91" s="5" t="s">
        <v>13</v>
      </c>
      <c r="B91" s="5"/>
      <c r="C91" s="5"/>
      <c r="D91" s="5"/>
      <c r="E91" s="5"/>
      <c r="F91" s="5"/>
    </row>
    <row r="92" spans="1:12" x14ac:dyDescent="0.25">
      <c r="A92" s="5"/>
      <c r="B92" s="5" t="s">
        <v>67</v>
      </c>
      <c r="C92" s="5" t="s">
        <v>69</v>
      </c>
      <c r="D92" s="5" t="s">
        <v>70</v>
      </c>
      <c r="E92" s="5" t="s">
        <v>71</v>
      </c>
      <c r="F92" s="5" t="s">
        <v>72</v>
      </c>
    </row>
    <row r="93" spans="1:12" x14ac:dyDescent="0.25">
      <c r="A93" s="5" t="s">
        <v>0</v>
      </c>
      <c r="B93" s="7">
        <v>0.12080000000000002</v>
      </c>
      <c r="C93" s="7">
        <v>0.43910000000000005</v>
      </c>
      <c r="D93" s="5"/>
      <c r="E93" s="7"/>
      <c r="F93" s="7">
        <v>0.54099999999999993</v>
      </c>
      <c r="H93">
        <f>100-(B93/0.0912)*100</f>
        <v>-32.456140350877206</v>
      </c>
      <c r="I93">
        <f>100-(C93/0.6323)*100</f>
        <v>30.55511624229004</v>
      </c>
      <c r="L93">
        <f>100-(F93/0.9539)*100</f>
        <v>43.285459691791594</v>
      </c>
    </row>
    <row r="94" spans="1:12" x14ac:dyDescent="0.25">
      <c r="A94" s="5" t="s">
        <v>1</v>
      </c>
      <c r="B94" s="7">
        <v>0.1205</v>
      </c>
      <c r="C94" s="7">
        <v>0.44320000000000004</v>
      </c>
      <c r="D94" s="7">
        <v>0.83209999999999995</v>
      </c>
      <c r="E94" s="7">
        <v>1.1688999999999998</v>
      </c>
      <c r="F94" s="7">
        <v>0.28570000000000001</v>
      </c>
      <c r="H94">
        <f t="shared" ref="H94:H96" si="45">100-(B94/0.0912)*100</f>
        <v>-32.127192982456108</v>
      </c>
      <c r="I94">
        <f t="shared" ref="I94:I96" si="46">100-(C94/0.6323)*100</f>
        <v>29.906689862407077</v>
      </c>
      <c r="J94">
        <f t="shared" ref="J94:J96" si="47">100-(D94/0.9457)*100</f>
        <v>12.012266046314906</v>
      </c>
      <c r="K94">
        <f t="shared" ref="K94:K96" si="48">100-(E94/0.8421)*100</f>
        <v>-38.807742548390934</v>
      </c>
      <c r="L94">
        <f t="shared" ref="L94:L96" si="49">100-(F94/0.9539)*100</f>
        <v>70.04927141209771</v>
      </c>
    </row>
    <row r="95" spans="1:12" x14ac:dyDescent="0.25">
      <c r="A95" s="5" t="s">
        <v>2</v>
      </c>
      <c r="B95" s="7"/>
      <c r="C95" s="7">
        <v>0.44359999999999999</v>
      </c>
      <c r="D95" s="7">
        <v>0.6835</v>
      </c>
      <c r="E95" s="7">
        <v>1.1292</v>
      </c>
      <c r="F95" s="7">
        <v>0.65690000000000004</v>
      </c>
      <c r="I95">
        <f t="shared" si="46"/>
        <v>29.843428752174589</v>
      </c>
      <c r="J95">
        <f t="shared" si="47"/>
        <v>27.725494342814855</v>
      </c>
      <c r="K95">
        <f t="shared" si="48"/>
        <v>-34.093338083363022</v>
      </c>
      <c r="L95">
        <f t="shared" si="49"/>
        <v>31.135339134081136</v>
      </c>
    </row>
    <row r="96" spans="1:12" x14ac:dyDescent="0.25">
      <c r="A96" s="5" t="s">
        <v>3</v>
      </c>
      <c r="B96" s="7">
        <v>0.11019999999999999</v>
      </c>
      <c r="C96" s="7">
        <v>0.45469999999999999</v>
      </c>
      <c r="D96" s="7">
        <v>0.91759999999999997</v>
      </c>
      <c r="E96" s="7">
        <v>1.1814</v>
      </c>
      <c r="F96" s="7">
        <v>0.53349999999999997</v>
      </c>
      <c r="H96">
        <f t="shared" si="45"/>
        <v>-20.833333333333329</v>
      </c>
      <c r="I96">
        <f t="shared" si="46"/>
        <v>28.087932943223151</v>
      </c>
      <c r="J96">
        <f t="shared" si="47"/>
        <v>2.97134397800572</v>
      </c>
      <c r="K96">
        <f t="shared" si="48"/>
        <v>-40.29212682579265</v>
      </c>
      <c r="L96">
        <f t="shared" si="49"/>
        <v>44.07170562952092</v>
      </c>
    </row>
    <row r="97" spans="1:12" x14ac:dyDescent="0.25">
      <c r="A97" s="4"/>
      <c r="B97" s="8"/>
      <c r="C97" s="8"/>
      <c r="D97" s="8"/>
      <c r="E97" s="8"/>
      <c r="F97" s="8"/>
    </row>
    <row r="98" spans="1:12" x14ac:dyDescent="0.25">
      <c r="A98" s="4"/>
      <c r="B98" s="5"/>
      <c r="C98" s="5"/>
      <c r="D98" s="5"/>
      <c r="E98" s="5"/>
      <c r="F98" s="5"/>
    </row>
    <row r="99" spans="1:12" x14ac:dyDescent="0.25">
      <c r="A99" s="4" t="s">
        <v>143</v>
      </c>
      <c r="B99" s="7">
        <v>9.1200000000000003E-2</v>
      </c>
      <c r="C99" s="7">
        <v>0.63229999999999997</v>
      </c>
      <c r="D99" s="7">
        <v>0.94569999999999999</v>
      </c>
      <c r="E99" s="7">
        <v>0.84209999999999996</v>
      </c>
      <c r="F99" s="7">
        <v>0.95389999999999997</v>
      </c>
    </row>
    <row r="100" spans="1:12" x14ac:dyDescent="0.25">
      <c r="A100" s="5"/>
      <c r="B100" s="5"/>
      <c r="C100" s="5"/>
      <c r="D100" s="5"/>
      <c r="E100" s="5"/>
      <c r="F100" s="5"/>
    </row>
    <row r="101" spans="1:12" x14ac:dyDescent="0.25">
      <c r="A101" s="5" t="s">
        <v>14</v>
      </c>
      <c r="B101" s="5"/>
      <c r="C101" s="5"/>
      <c r="D101" s="5"/>
      <c r="E101" s="5"/>
      <c r="F101" s="5"/>
    </row>
    <row r="102" spans="1:12" x14ac:dyDescent="0.25">
      <c r="A102" s="5"/>
      <c r="B102" s="5" t="s">
        <v>67</v>
      </c>
      <c r="C102" s="5" t="s">
        <v>69</v>
      </c>
      <c r="D102" s="5" t="s">
        <v>70</v>
      </c>
      <c r="E102" s="5" t="s">
        <v>71</v>
      </c>
      <c r="F102" s="5" t="s">
        <v>72</v>
      </c>
    </row>
    <row r="103" spans="1:12" x14ac:dyDescent="0.25">
      <c r="A103" s="5" t="s">
        <v>0</v>
      </c>
      <c r="B103" s="7">
        <v>0.12079999999999999</v>
      </c>
      <c r="C103" s="7">
        <v>0.41500000000000004</v>
      </c>
      <c r="D103" s="5"/>
      <c r="E103" s="7"/>
      <c r="F103" s="7">
        <v>0.72119999999999995</v>
      </c>
      <c r="H103">
        <f>100-(B103/0.111)*100</f>
        <v>-8.8288288288288328</v>
      </c>
      <c r="I103">
        <f>100-(C103/0.6256)*100</f>
        <v>33.663682864450124</v>
      </c>
      <c r="L103">
        <f>100-(F103/0.9752)*100</f>
        <v>26.045939294503697</v>
      </c>
    </row>
    <row r="104" spans="1:12" x14ac:dyDescent="0.25">
      <c r="A104" s="5" t="s">
        <v>1</v>
      </c>
      <c r="B104" s="7">
        <v>0.1336</v>
      </c>
      <c r="C104" s="7">
        <v>0.39470000000000005</v>
      </c>
      <c r="D104" s="7">
        <v>0.77710000000000001</v>
      </c>
      <c r="E104" s="7">
        <v>1.1778999999999999</v>
      </c>
      <c r="F104" s="7">
        <v>0.68369999999999997</v>
      </c>
      <c r="H104">
        <f t="shared" ref="H104:H106" si="50">100-(B104/0.111)*100</f>
        <v>-20.360360360360346</v>
      </c>
      <c r="I104">
        <f t="shared" ref="I104:I106" si="51">100-(C104/0.6256)*100</f>
        <v>36.90856777493606</v>
      </c>
      <c r="J104">
        <f t="shared" ref="J104:J106" si="52">100-(D104/0.9717)*100</f>
        <v>20.026757229597621</v>
      </c>
      <c r="K104">
        <f t="shared" ref="K104:K106" si="53">100-(E104/0.3981)*100</f>
        <v>-195.88043205224818</v>
      </c>
      <c r="L104">
        <f t="shared" ref="L104:L106" si="54">100-(F104/0.9752)*100</f>
        <v>29.891304347826093</v>
      </c>
    </row>
    <row r="105" spans="1:12" x14ac:dyDescent="0.25">
      <c r="A105" s="5" t="s">
        <v>2</v>
      </c>
      <c r="B105" s="7"/>
      <c r="C105" s="7">
        <v>0.41049999999999998</v>
      </c>
      <c r="D105" s="7">
        <v>0.84189999999999998</v>
      </c>
      <c r="E105" s="7">
        <v>1.1395</v>
      </c>
      <c r="F105" s="7">
        <v>0.54380000000000006</v>
      </c>
      <c r="I105">
        <f t="shared" si="51"/>
        <v>34.382992327365741</v>
      </c>
      <c r="J105">
        <f t="shared" si="52"/>
        <v>13.358032314500363</v>
      </c>
      <c r="K105">
        <f t="shared" si="53"/>
        <v>-186.23461441848781</v>
      </c>
      <c r="L105">
        <f t="shared" si="54"/>
        <v>44.237079573420822</v>
      </c>
    </row>
    <row r="106" spans="1:12" x14ac:dyDescent="0.25">
      <c r="A106" s="5" t="s">
        <v>3</v>
      </c>
      <c r="B106" s="7">
        <v>0.1356</v>
      </c>
      <c r="C106" s="7">
        <v>0.41349999999999998</v>
      </c>
      <c r="D106" s="7">
        <v>0.83579999999999999</v>
      </c>
      <c r="E106" s="7">
        <v>1.2818000000000001</v>
      </c>
      <c r="F106" s="7">
        <v>0.60289999999999999</v>
      </c>
      <c r="H106">
        <f t="shared" si="50"/>
        <v>-22.162162162162161</v>
      </c>
      <c r="I106">
        <f t="shared" si="51"/>
        <v>33.903452685421996</v>
      </c>
      <c r="J106">
        <f t="shared" si="52"/>
        <v>13.985798085828961</v>
      </c>
      <c r="K106">
        <f t="shared" si="53"/>
        <v>-221.97940216026126</v>
      </c>
      <c r="L106">
        <f t="shared" si="54"/>
        <v>38.176784249384745</v>
      </c>
    </row>
    <row r="107" spans="1:12" x14ac:dyDescent="0.25">
      <c r="A107" s="4"/>
      <c r="B107" s="8"/>
      <c r="C107" s="8"/>
      <c r="D107" s="8"/>
      <c r="E107" s="8"/>
      <c r="F107" s="8"/>
    </row>
    <row r="108" spans="1:12" x14ac:dyDescent="0.25">
      <c r="A108" s="4"/>
      <c r="B108" s="5"/>
      <c r="C108" s="5"/>
      <c r="D108" s="5"/>
      <c r="E108" s="5"/>
      <c r="F108" s="5"/>
    </row>
    <row r="109" spans="1:12" x14ac:dyDescent="0.25">
      <c r="A109" s="4" t="s">
        <v>143</v>
      </c>
      <c r="B109" s="7">
        <v>0.11103</v>
      </c>
      <c r="C109" s="7">
        <v>0.62559999999999993</v>
      </c>
      <c r="D109" s="7">
        <v>0.9716999999999999</v>
      </c>
      <c r="E109" s="7">
        <v>0.39810000000000001</v>
      </c>
      <c r="F109" s="7">
        <v>0.97519999999999996</v>
      </c>
    </row>
    <row r="110" spans="1:12" x14ac:dyDescent="0.25">
      <c r="A110" s="5"/>
      <c r="B110" s="5"/>
      <c r="C110" s="5"/>
      <c r="D110" s="5"/>
      <c r="E110" s="5"/>
      <c r="F110" s="5"/>
    </row>
    <row r="111" spans="1:12" x14ac:dyDescent="0.25">
      <c r="A111" s="5" t="s">
        <v>15</v>
      </c>
      <c r="B111" s="5"/>
      <c r="C111" s="5"/>
      <c r="D111" s="5"/>
      <c r="E111" s="5"/>
      <c r="F111" s="5"/>
    </row>
    <row r="112" spans="1:12" x14ac:dyDescent="0.25">
      <c r="A112" s="5"/>
      <c r="B112" s="5" t="s">
        <v>67</v>
      </c>
      <c r="C112" s="5" t="s">
        <v>69</v>
      </c>
      <c r="D112" s="5" t="s">
        <v>70</v>
      </c>
      <c r="E112" s="5" t="s">
        <v>71</v>
      </c>
      <c r="F112" s="5" t="s">
        <v>72</v>
      </c>
    </row>
    <row r="113" spans="1:12" x14ac:dyDescent="0.25">
      <c r="A113" s="5" t="s">
        <v>0</v>
      </c>
      <c r="B113" s="7"/>
      <c r="C113" s="7">
        <v>0.3332</v>
      </c>
      <c r="D113" s="5"/>
      <c r="E113" s="7"/>
      <c r="F113" s="7">
        <v>0.62719999999999998</v>
      </c>
      <c r="I113">
        <f>100-(C113/0.5673)*100</f>
        <v>41.265644279922441</v>
      </c>
      <c r="L113">
        <f>100-(F113/0.9423)*100</f>
        <v>33.439456648625708</v>
      </c>
    </row>
    <row r="114" spans="1:12" x14ac:dyDescent="0.25">
      <c r="A114" s="5" t="s">
        <v>1</v>
      </c>
      <c r="B114" s="7">
        <v>0.1361</v>
      </c>
      <c r="C114" s="7">
        <v>0.32519999999999999</v>
      </c>
      <c r="D114" s="7">
        <v>0.76090000000000002</v>
      </c>
      <c r="E114" s="7">
        <v>1.0594999999999999</v>
      </c>
      <c r="F114" s="7">
        <v>0.5474</v>
      </c>
      <c r="H114">
        <f t="shared" ref="H114:H116" si="55">100-(B114/0.1239)*100</f>
        <v>-9.8466505246166207</v>
      </c>
      <c r="I114">
        <f t="shared" ref="I114:I116" si="56">100-(C114/0.5673)*100</f>
        <v>42.675832892649403</v>
      </c>
      <c r="J114">
        <f t="shared" ref="J114:J116" si="57">100-(D114/0.9389)*100</f>
        <v>18.958355522419851</v>
      </c>
      <c r="K114">
        <f t="shared" ref="K114:K116" si="58">100-(E114/0.54)*100</f>
        <v>-96.203703703703667</v>
      </c>
      <c r="L114">
        <f t="shared" ref="L114:L116" si="59">100-(F114/0.9423)*100</f>
        <v>41.908097208956804</v>
      </c>
    </row>
    <row r="115" spans="1:12" x14ac:dyDescent="0.25">
      <c r="A115" s="5" t="s">
        <v>2</v>
      </c>
      <c r="B115" s="7"/>
      <c r="C115" s="7">
        <v>0.31290000000000001</v>
      </c>
      <c r="D115" s="7">
        <v>0.84459999999999991</v>
      </c>
      <c r="E115" s="7">
        <v>0.9738</v>
      </c>
      <c r="F115" s="7">
        <v>0.52259999999999995</v>
      </c>
      <c r="I115">
        <f t="shared" si="56"/>
        <v>44.843997884717076</v>
      </c>
      <c r="J115">
        <f t="shared" si="57"/>
        <v>10.043668122270745</v>
      </c>
      <c r="K115">
        <f t="shared" si="58"/>
        <v>-80.333333333333314</v>
      </c>
      <c r="L115">
        <f t="shared" si="59"/>
        <v>44.539955428207577</v>
      </c>
    </row>
    <row r="116" spans="1:12" x14ac:dyDescent="0.25">
      <c r="A116" s="5" t="s">
        <v>3</v>
      </c>
      <c r="B116" s="7">
        <v>0.15629999999999999</v>
      </c>
      <c r="C116" s="7">
        <v>0.25059999999999999</v>
      </c>
      <c r="D116" s="7">
        <v>0.94320000000000004</v>
      </c>
      <c r="E116" s="7">
        <v>1.1058999999999999</v>
      </c>
      <c r="F116" s="7">
        <v>0.58090000000000008</v>
      </c>
      <c r="H116">
        <f t="shared" si="55"/>
        <v>-26.150121065375316</v>
      </c>
      <c r="I116">
        <f t="shared" si="56"/>
        <v>55.825841706328227</v>
      </c>
      <c r="J116">
        <f t="shared" si="57"/>
        <v>-0.45798274576634412</v>
      </c>
      <c r="K116">
        <f t="shared" si="58"/>
        <v>-104.79629629629628</v>
      </c>
      <c r="L116">
        <f t="shared" si="59"/>
        <v>38.352966146662418</v>
      </c>
    </row>
    <row r="117" spans="1:12" x14ac:dyDescent="0.25">
      <c r="A117" s="4"/>
      <c r="B117" s="8"/>
      <c r="C117" s="8"/>
      <c r="D117" s="8"/>
      <c r="E117" s="8"/>
      <c r="F117" s="8"/>
    </row>
    <row r="118" spans="1:12" x14ac:dyDescent="0.25">
      <c r="A118" s="4"/>
      <c r="B118" s="5"/>
      <c r="C118" s="5"/>
      <c r="D118" s="5"/>
      <c r="E118" s="5"/>
      <c r="F118" s="5"/>
    </row>
    <row r="119" spans="1:12" x14ac:dyDescent="0.25">
      <c r="A119" s="4" t="s">
        <v>143</v>
      </c>
      <c r="B119" s="7">
        <v>0.12391000000000001</v>
      </c>
      <c r="C119" s="7">
        <v>0.56729999999999992</v>
      </c>
      <c r="D119" s="7">
        <v>0.93889999999999996</v>
      </c>
      <c r="E119" s="7">
        <v>0.53999999999999992</v>
      </c>
      <c r="F119" s="7">
        <v>0.94229999999999992</v>
      </c>
    </row>
    <row r="120" spans="1:12" x14ac:dyDescent="0.25">
      <c r="A120" s="5"/>
      <c r="B120" s="5"/>
      <c r="C120" s="5"/>
      <c r="D120" s="5"/>
      <c r="E120" s="5"/>
      <c r="F120" s="5"/>
    </row>
    <row r="121" spans="1:12" x14ac:dyDescent="0.25">
      <c r="A121" s="5" t="s">
        <v>16</v>
      </c>
      <c r="B121" s="5"/>
      <c r="C121" s="5"/>
      <c r="D121" s="5"/>
      <c r="E121" s="5"/>
      <c r="F121" s="5"/>
    </row>
    <row r="122" spans="1:12" x14ac:dyDescent="0.25">
      <c r="A122" s="5"/>
      <c r="B122" s="5" t="s">
        <v>67</v>
      </c>
      <c r="C122" s="5" t="s">
        <v>69</v>
      </c>
      <c r="D122" s="5" t="s">
        <v>70</v>
      </c>
      <c r="E122" s="5" t="s">
        <v>71</v>
      </c>
      <c r="F122" s="5" t="s">
        <v>72</v>
      </c>
    </row>
    <row r="123" spans="1:12" x14ac:dyDescent="0.25">
      <c r="A123" s="5" t="s">
        <v>0</v>
      </c>
      <c r="B123" s="7"/>
      <c r="C123" s="7">
        <v>0.42020000000000002</v>
      </c>
      <c r="D123" s="5"/>
      <c r="E123" s="7"/>
      <c r="F123" s="7">
        <v>0.63700000000000001</v>
      </c>
      <c r="I123">
        <f>100-(C123/0.667)*100</f>
        <v>37.001499250374813</v>
      </c>
      <c r="L123">
        <f>100-(F123/0.9929)*100</f>
        <v>35.844495921039382</v>
      </c>
    </row>
    <row r="124" spans="1:12" x14ac:dyDescent="0.25">
      <c r="A124" s="5" t="s">
        <v>1</v>
      </c>
      <c r="B124" s="7">
        <v>0.13780000000000001</v>
      </c>
      <c r="C124" s="7">
        <v>0.4168</v>
      </c>
      <c r="D124" s="7">
        <v>0.7581</v>
      </c>
      <c r="E124" s="7">
        <v>1.0261</v>
      </c>
      <c r="F124" s="7">
        <v>0.61340000000000006</v>
      </c>
      <c r="H124">
        <f t="shared" ref="H124:H126" si="60">100-(B124/0.1275)*100</f>
        <v>-8.0784313725490193</v>
      </c>
      <c r="I124">
        <f t="shared" ref="I124:I126" si="61">100-(C124/0.667)*100</f>
        <v>37.511244377811096</v>
      </c>
      <c r="J124">
        <f t="shared" ref="J124:J126" si="62">100-(D124/1.026)*100</f>
        <v>26.111111111111114</v>
      </c>
      <c r="K124">
        <f t="shared" ref="K124:K126" si="63">100-(E124/0.3925)*100</f>
        <v>-161.42675159235671</v>
      </c>
      <c r="L124">
        <f t="shared" ref="L124:L126" si="64">100-(F124/0.9929)*100</f>
        <v>38.221371739349372</v>
      </c>
    </row>
    <row r="125" spans="1:12" x14ac:dyDescent="0.25">
      <c r="A125" s="5" t="s">
        <v>2</v>
      </c>
      <c r="B125" s="7"/>
      <c r="C125" s="7">
        <v>0.4375</v>
      </c>
      <c r="D125" s="7">
        <v>0.76680000000000004</v>
      </c>
      <c r="E125" s="7">
        <v>0.88749999999999996</v>
      </c>
      <c r="F125" s="7">
        <v>0.52180000000000004</v>
      </c>
      <c r="I125">
        <f t="shared" si="61"/>
        <v>34.407796101949032</v>
      </c>
      <c r="J125">
        <f t="shared" si="62"/>
        <v>25.26315789473685</v>
      </c>
      <c r="K125">
        <f t="shared" si="63"/>
        <v>-126.11464968152865</v>
      </c>
      <c r="L125">
        <f t="shared" si="64"/>
        <v>47.44687279685769</v>
      </c>
    </row>
    <row r="126" spans="1:12" x14ac:dyDescent="0.25">
      <c r="A126" s="5" t="s">
        <v>3</v>
      </c>
      <c r="B126" s="7">
        <v>0.17359999999999998</v>
      </c>
      <c r="C126" s="7">
        <v>0.42659999999999998</v>
      </c>
      <c r="D126" s="7">
        <v>0.86509999999999998</v>
      </c>
      <c r="E126" s="7">
        <v>1.1688999999999998</v>
      </c>
      <c r="F126" s="7">
        <v>0.60260000000000002</v>
      </c>
      <c r="H126">
        <f t="shared" si="60"/>
        <v>-36.15686274509801</v>
      </c>
      <c r="I126">
        <f t="shared" si="61"/>
        <v>36.041979010494764</v>
      </c>
      <c r="J126">
        <f t="shared" si="62"/>
        <v>15.682261208577003</v>
      </c>
      <c r="K126">
        <f t="shared" si="63"/>
        <v>-197.80891719745222</v>
      </c>
      <c r="L126">
        <f t="shared" si="64"/>
        <v>39.309094571457351</v>
      </c>
    </row>
    <row r="127" spans="1:12" x14ac:dyDescent="0.25">
      <c r="A127" s="4"/>
      <c r="B127" s="8"/>
      <c r="C127" s="8"/>
      <c r="D127" s="8"/>
      <c r="E127" s="8"/>
      <c r="F127" s="8"/>
    </row>
    <row r="128" spans="1:12" x14ac:dyDescent="0.25">
      <c r="A128" s="4"/>
      <c r="B128" s="5"/>
      <c r="C128" s="5"/>
      <c r="D128" s="5"/>
      <c r="E128" s="5"/>
      <c r="F128" s="5"/>
    </row>
    <row r="129" spans="1:12" x14ac:dyDescent="0.25">
      <c r="A129" s="4" t="s">
        <v>143</v>
      </c>
      <c r="B129" s="7">
        <v>0.12747</v>
      </c>
      <c r="C129" s="7">
        <v>0.66699999999999993</v>
      </c>
      <c r="D129" s="7">
        <v>1.026</v>
      </c>
      <c r="E129" s="7">
        <v>0.39249999999999996</v>
      </c>
      <c r="F129" s="7">
        <v>0.99289999999999989</v>
      </c>
    </row>
    <row r="130" spans="1:12" x14ac:dyDescent="0.25">
      <c r="A130" s="5"/>
      <c r="B130" s="5"/>
      <c r="C130" s="5"/>
      <c r="D130" s="5"/>
      <c r="E130" s="5"/>
      <c r="F130" s="5"/>
    </row>
    <row r="131" spans="1:12" x14ac:dyDescent="0.25">
      <c r="A131" s="5" t="s">
        <v>17</v>
      </c>
      <c r="B131" s="5"/>
      <c r="C131" s="5"/>
      <c r="D131" s="5"/>
      <c r="E131" s="5"/>
      <c r="F131" s="5"/>
    </row>
    <row r="132" spans="1:12" x14ac:dyDescent="0.25">
      <c r="A132" s="5"/>
      <c r="B132" s="5" t="s">
        <v>67</v>
      </c>
      <c r="C132" s="5" t="s">
        <v>69</v>
      </c>
      <c r="D132" s="5" t="s">
        <v>70</v>
      </c>
      <c r="E132" s="5" t="s">
        <v>71</v>
      </c>
      <c r="F132" s="5" t="s">
        <v>72</v>
      </c>
    </row>
    <row r="133" spans="1:12" x14ac:dyDescent="0.25">
      <c r="A133" s="5" t="s">
        <v>0</v>
      </c>
      <c r="B133" s="7"/>
      <c r="C133" s="7">
        <v>0.43669999999999998</v>
      </c>
      <c r="D133" s="7"/>
      <c r="E133" s="7"/>
      <c r="F133" s="7">
        <v>0.66480000000000006</v>
      </c>
      <c r="I133">
        <f>100-(C133/0.6083)*100</f>
        <v>28.20976491862568</v>
      </c>
      <c r="L133">
        <f>100-(F133/0.9899)*100</f>
        <v>32.841701181937566</v>
      </c>
    </row>
    <row r="134" spans="1:12" x14ac:dyDescent="0.25">
      <c r="A134" s="5" t="s">
        <v>1</v>
      </c>
      <c r="B134" s="7">
        <v>0.14850000000000002</v>
      </c>
      <c r="C134" s="7">
        <v>0.4279</v>
      </c>
      <c r="D134" s="7">
        <v>0.80030000000000001</v>
      </c>
      <c r="E134" s="7">
        <v>1.0186999999999999</v>
      </c>
      <c r="F134" s="7">
        <v>0.66110000000000002</v>
      </c>
      <c r="H134">
        <f t="shared" ref="H134:H136" si="65">100-(B134/0.1174)*100</f>
        <v>-26.490630323679738</v>
      </c>
      <c r="I134">
        <f t="shared" ref="I134:I136" si="66">100-(C134/0.6083)*100</f>
        <v>29.656419529837237</v>
      </c>
      <c r="J134">
        <f t="shared" ref="J134:J136" si="67">100-(D134/1.0385)*100</f>
        <v>22.936928261916222</v>
      </c>
      <c r="K134">
        <f t="shared" ref="K134:K136" si="68">100-(E134/0.5516)*100</f>
        <v>-84.680928208846979</v>
      </c>
      <c r="L134">
        <f t="shared" ref="L134:L136" si="69">100-(F134/0.9899)*100</f>
        <v>33.215476310738453</v>
      </c>
    </row>
    <row r="135" spans="1:12" x14ac:dyDescent="0.25">
      <c r="A135" s="5" t="s">
        <v>2</v>
      </c>
      <c r="B135" s="7"/>
      <c r="C135" s="7">
        <v>0.43409999999999999</v>
      </c>
      <c r="D135" s="7">
        <v>0.70580000000000009</v>
      </c>
      <c r="E135" s="7">
        <v>0.90139999999999998</v>
      </c>
      <c r="F135" s="7">
        <v>0.63819999999999999</v>
      </c>
      <c r="I135">
        <f t="shared" si="66"/>
        <v>28.637185599210909</v>
      </c>
      <c r="J135">
        <f t="shared" si="67"/>
        <v>32.036591237361563</v>
      </c>
      <c r="K135">
        <f t="shared" si="68"/>
        <v>-63.415518491660634</v>
      </c>
      <c r="L135">
        <f t="shared" si="69"/>
        <v>35.528841297100726</v>
      </c>
    </row>
    <row r="136" spans="1:12" x14ac:dyDescent="0.25">
      <c r="A136" s="5" t="s">
        <v>3</v>
      </c>
      <c r="B136" s="7">
        <v>0.15870000000000001</v>
      </c>
      <c r="C136" s="7">
        <v>0.43640000000000001</v>
      </c>
      <c r="D136" s="7">
        <v>0.95140000000000002</v>
      </c>
      <c r="E136" s="7">
        <v>1.1685000000000001</v>
      </c>
      <c r="F136" s="7">
        <v>0.59370000000000001</v>
      </c>
      <c r="H136">
        <f t="shared" si="65"/>
        <v>-35.178875638841561</v>
      </c>
      <c r="I136">
        <f t="shared" si="66"/>
        <v>28.259082689462431</v>
      </c>
      <c r="J136">
        <f t="shared" si="67"/>
        <v>8.3870967741935516</v>
      </c>
      <c r="K136">
        <f t="shared" si="68"/>
        <v>-111.83828861493842</v>
      </c>
      <c r="L136">
        <f t="shared" si="69"/>
        <v>40.024244873219516</v>
      </c>
    </row>
    <row r="137" spans="1:12" x14ac:dyDescent="0.25">
      <c r="A137" s="4"/>
      <c r="B137" s="8"/>
      <c r="C137" s="8"/>
      <c r="D137" s="8"/>
      <c r="E137" s="8"/>
      <c r="F137" s="8"/>
    </row>
    <row r="138" spans="1:12" x14ac:dyDescent="0.25">
      <c r="A138" s="4"/>
      <c r="B138" s="5"/>
      <c r="C138" s="5"/>
      <c r="D138" s="5"/>
      <c r="E138" s="5"/>
      <c r="F138" s="5"/>
    </row>
    <row r="139" spans="1:12" x14ac:dyDescent="0.25">
      <c r="A139" s="4" t="s">
        <v>143</v>
      </c>
      <c r="B139" s="7">
        <v>0.11738</v>
      </c>
      <c r="C139" s="7">
        <v>0.60830000000000006</v>
      </c>
      <c r="D139" s="7">
        <v>1.0385</v>
      </c>
      <c r="E139" s="7">
        <v>0.55160000000000009</v>
      </c>
      <c r="F139" s="7">
        <v>0.9899</v>
      </c>
    </row>
    <row r="140" spans="1:12" x14ac:dyDescent="0.25">
      <c r="A140" s="5"/>
      <c r="B140" s="5"/>
      <c r="C140" s="5"/>
      <c r="D140" s="5"/>
      <c r="E140" s="5"/>
      <c r="F140" s="5"/>
    </row>
    <row r="141" spans="1:12" x14ac:dyDescent="0.25">
      <c r="A141" s="5" t="s">
        <v>18</v>
      </c>
      <c r="B141" s="5"/>
      <c r="C141" s="5"/>
      <c r="D141" s="5"/>
      <c r="E141" s="5"/>
      <c r="F141" s="5"/>
    </row>
    <row r="142" spans="1:12" x14ac:dyDescent="0.25">
      <c r="A142" s="5"/>
      <c r="B142" s="5" t="s">
        <v>67</v>
      </c>
      <c r="C142" s="5" t="s">
        <v>69</v>
      </c>
      <c r="D142" s="5" t="s">
        <v>70</v>
      </c>
      <c r="E142" s="5" t="s">
        <v>71</v>
      </c>
      <c r="F142" s="5" t="s">
        <v>72</v>
      </c>
    </row>
    <row r="143" spans="1:12" x14ac:dyDescent="0.25">
      <c r="A143" s="5" t="s">
        <v>0</v>
      </c>
      <c r="B143" s="7"/>
      <c r="C143" s="7">
        <v>0.4511</v>
      </c>
      <c r="D143" s="7"/>
      <c r="E143" s="7"/>
      <c r="F143" s="7">
        <v>0.6795000000000001</v>
      </c>
      <c r="I143">
        <f>100-(C143/0.6645)*100</f>
        <v>32.114371708051152</v>
      </c>
      <c r="L143">
        <f>100-(F143/1.0135)*100</f>
        <v>32.955106068080894</v>
      </c>
    </row>
    <row r="144" spans="1:12" x14ac:dyDescent="0.25">
      <c r="A144" s="5" t="s">
        <v>1</v>
      </c>
      <c r="B144" s="7">
        <v>0.21490000000000001</v>
      </c>
      <c r="C144" s="7">
        <v>0.41590000000000005</v>
      </c>
      <c r="D144" s="7">
        <v>0.77589999999999992</v>
      </c>
      <c r="E144" s="7">
        <v>0.95689999999999997</v>
      </c>
      <c r="F144" s="7">
        <v>0.7157</v>
      </c>
      <c r="H144">
        <f t="shared" ref="H144:H146" si="70">100-(B144/0.1162)*100</f>
        <v>-84.939759036144579</v>
      </c>
      <c r="I144">
        <f t="shared" ref="I144:I146" si="71">100-(C144/0.6645)*100</f>
        <v>37.41158765989465</v>
      </c>
      <c r="J144">
        <f t="shared" ref="J144:J146" si="72">100-(D144/1.0926)*100</f>
        <v>28.985905180303874</v>
      </c>
      <c r="K144">
        <f t="shared" ref="K144:K146" si="73">100-(E144/0.3953)*100</f>
        <v>-142.06931444472553</v>
      </c>
      <c r="L144">
        <f t="shared" ref="L144:L146" si="74">100-(F144/1.0135)*100</f>
        <v>29.383325111001483</v>
      </c>
    </row>
    <row r="145" spans="1:12" x14ac:dyDescent="0.25">
      <c r="A145" s="5" t="s">
        <v>2</v>
      </c>
      <c r="B145" s="5"/>
      <c r="C145" s="7">
        <v>0.4612</v>
      </c>
      <c r="D145" s="7">
        <v>0.71919999999999995</v>
      </c>
      <c r="E145" s="7">
        <v>0.83409999999999995</v>
      </c>
      <c r="F145" s="7">
        <v>0.62290000000000001</v>
      </c>
      <c r="I145">
        <f t="shared" si="71"/>
        <v>30.594431903686981</v>
      </c>
      <c r="J145">
        <f t="shared" si="72"/>
        <v>34.175361522972736</v>
      </c>
      <c r="K145">
        <f t="shared" si="73"/>
        <v>-111.00430053124208</v>
      </c>
      <c r="L145">
        <f t="shared" si="74"/>
        <v>38.539713862851514</v>
      </c>
    </row>
    <row r="146" spans="1:12" x14ac:dyDescent="0.25">
      <c r="A146" s="5" t="s">
        <v>3</v>
      </c>
      <c r="B146" s="7">
        <v>0.15279999999999999</v>
      </c>
      <c r="C146" s="7">
        <v>0.43120000000000003</v>
      </c>
      <c r="D146" s="7">
        <v>0.8931</v>
      </c>
      <c r="E146" s="7">
        <v>1.1178999999999999</v>
      </c>
      <c r="F146" s="7">
        <v>0.68099999999999994</v>
      </c>
      <c r="H146">
        <f t="shared" si="70"/>
        <v>-31.497418244406191</v>
      </c>
      <c r="I146">
        <f t="shared" si="71"/>
        <v>35.109104589917223</v>
      </c>
      <c r="J146">
        <f t="shared" si="72"/>
        <v>18.259198242723784</v>
      </c>
      <c r="K146">
        <f t="shared" si="73"/>
        <v>-182.79787503162152</v>
      </c>
      <c r="L146">
        <f t="shared" si="74"/>
        <v>32.807104094721268</v>
      </c>
    </row>
    <row r="147" spans="1:12" x14ac:dyDescent="0.25">
      <c r="A147" s="4"/>
      <c r="B147" s="8"/>
      <c r="C147" s="8"/>
      <c r="D147" s="8"/>
      <c r="E147" s="8"/>
      <c r="F147" s="8"/>
    </row>
    <row r="148" spans="1:12" x14ac:dyDescent="0.25">
      <c r="A148" s="4"/>
      <c r="B148" s="8"/>
      <c r="C148" s="8"/>
      <c r="D148" s="8"/>
      <c r="E148" s="8"/>
      <c r="F148" s="8"/>
    </row>
    <row r="149" spans="1:12" x14ac:dyDescent="0.25">
      <c r="A149" s="4" t="s">
        <v>143</v>
      </c>
      <c r="B149" s="7">
        <v>0.11623</v>
      </c>
      <c r="C149" s="7">
        <v>0.66449999999999998</v>
      </c>
      <c r="D149" s="7">
        <v>1.0926</v>
      </c>
      <c r="E149" s="7">
        <v>0.39529999999999998</v>
      </c>
      <c r="F149" s="7">
        <v>1.0135000000000001</v>
      </c>
    </row>
    <row r="150" spans="1:12" x14ac:dyDescent="0.25">
      <c r="A150" s="5"/>
      <c r="B150" s="5"/>
      <c r="C150" s="5"/>
      <c r="D150" s="5"/>
      <c r="E150" s="5"/>
      <c r="F150" s="5"/>
    </row>
    <row r="151" spans="1:12" x14ac:dyDescent="0.25">
      <c r="A151" s="5" t="s">
        <v>19</v>
      </c>
      <c r="B151" s="5"/>
      <c r="C151" s="5"/>
      <c r="D151" s="5"/>
      <c r="E151" s="5"/>
      <c r="F151" s="5"/>
    </row>
    <row r="152" spans="1:12" x14ac:dyDescent="0.25">
      <c r="A152" s="5"/>
      <c r="B152" s="5" t="s">
        <v>67</v>
      </c>
      <c r="C152" s="5" t="s">
        <v>69</v>
      </c>
      <c r="D152" s="5" t="s">
        <v>70</v>
      </c>
      <c r="E152" s="5" t="s">
        <v>71</v>
      </c>
      <c r="F152" s="5" t="s">
        <v>72</v>
      </c>
    </row>
    <row r="153" spans="1:12" x14ac:dyDescent="0.25">
      <c r="A153" s="5" t="s">
        <v>0</v>
      </c>
      <c r="B153" s="7"/>
      <c r="C153" s="7">
        <v>0.35420000000000001</v>
      </c>
      <c r="D153" s="5"/>
      <c r="E153" s="5"/>
      <c r="F153" s="7">
        <v>0.58460000000000001</v>
      </c>
      <c r="I153">
        <f>100-(C153/0.4405)*100</f>
        <v>19.591373439273553</v>
      </c>
      <c r="L153">
        <f>100-(F153/1.0057)*100</f>
        <v>41.871333399622159</v>
      </c>
    </row>
    <row r="154" spans="1:12" x14ac:dyDescent="0.25">
      <c r="A154" s="5" t="s">
        <v>1</v>
      </c>
      <c r="B154" s="7">
        <v>0.17460000000000001</v>
      </c>
      <c r="C154" s="7">
        <v>0.32800000000000001</v>
      </c>
      <c r="D154" s="7">
        <v>0.65910000000000002</v>
      </c>
      <c r="E154" s="7">
        <v>0.80179999999999996</v>
      </c>
      <c r="F154" s="7">
        <v>0.5716</v>
      </c>
      <c r="H154">
        <f t="shared" ref="H154:H156" si="75">100-(B154/0.12)*100</f>
        <v>-45.5</v>
      </c>
      <c r="I154">
        <f t="shared" ref="I154:I156" si="76">100-(C154/0.4405)*100</f>
        <v>25.539160045402951</v>
      </c>
      <c r="J154">
        <f t="shared" ref="J154:J156" si="77">100-(D154/0.9585)*100</f>
        <v>31.23630672926447</v>
      </c>
      <c r="K154">
        <f t="shared" ref="K154:K156" si="78">100-(E154/0.5968)*100</f>
        <v>-34.349865951742629</v>
      </c>
      <c r="L154">
        <f t="shared" ref="L154:L156" si="79">100-(F154/1.0057)*100</f>
        <v>43.163965397235756</v>
      </c>
    </row>
    <row r="155" spans="1:12" x14ac:dyDescent="0.25">
      <c r="A155" s="5" t="s">
        <v>2</v>
      </c>
      <c r="B155" s="7"/>
      <c r="C155" s="7">
        <v>0.35670000000000002</v>
      </c>
      <c r="D155" s="7">
        <v>0.58860000000000001</v>
      </c>
      <c r="E155" s="7">
        <v>0.66880000000000006</v>
      </c>
      <c r="F155" s="7">
        <v>0.59030000000000005</v>
      </c>
      <c r="I155">
        <f t="shared" si="76"/>
        <v>19.023836549375702</v>
      </c>
      <c r="J155">
        <f t="shared" si="77"/>
        <v>38.591549295774655</v>
      </c>
      <c r="K155">
        <f t="shared" si="78"/>
        <v>-12.064343163538879</v>
      </c>
      <c r="L155">
        <f t="shared" si="79"/>
        <v>41.304563985283885</v>
      </c>
    </row>
    <row r="156" spans="1:12" x14ac:dyDescent="0.25">
      <c r="A156" s="5" t="s">
        <v>3</v>
      </c>
      <c r="B156" s="7">
        <v>9.2600000000000002E-2</v>
      </c>
      <c r="C156" s="7">
        <v>0.32469999999999999</v>
      </c>
      <c r="D156" s="7">
        <v>0.77679999999999993</v>
      </c>
      <c r="E156" s="7">
        <v>0.96400000000000008</v>
      </c>
      <c r="F156" s="7">
        <v>0.56969999999999998</v>
      </c>
      <c r="H156">
        <f t="shared" si="75"/>
        <v>22.833333333333329</v>
      </c>
      <c r="I156">
        <f t="shared" si="76"/>
        <v>26.288308740068118</v>
      </c>
      <c r="J156">
        <f t="shared" si="77"/>
        <v>18.956703182055307</v>
      </c>
      <c r="K156">
        <f t="shared" si="78"/>
        <v>-61.528150134048275</v>
      </c>
      <c r="L156">
        <f t="shared" si="79"/>
        <v>43.352888535348519</v>
      </c>
    </row>
    <row r="157" spans="1:12" x14ac:dyDescent="0.25">
      <c r="A157" s="4"/>
      <c r="B157" s="8"/>
      <c r="C157" s="8"/>
      <c r="D157" s="8"/>
      <c r="E157" s="8"/>
      <c r="F157" s="8"/>
    </row>
    <row r="158" spans="1:12" x14ac:dyDescent="0.25">
      <c r="A158" s="4"/>
      <c r="B158" s="5"/>
      <c r="C158" s="5"/>
      <c r="D158" s="5"/>
      <c r="E158" s="5"/>
      <c r="F158" s="5"/>
    </row>
    <row r="159" spans="1:12" x14ac:dyDescent="0.25">
      <c r="A159" s="4" t="s">
        <v>143</v>
      </c>
      <c r="B159" s="7">
        <v>0.11996999999999999</v>
      </c>
      <c r="C159" s="7">
        <v>0.4405</v>
      </c>
      <c r="D159" s="7">
        <v>0.95850000000000002</v>
      </c>
      <c r="E159" s="7">
        <v>0.5968</v>
      </c>
      <c r="F159" s="7">
        <v>1.0057</v>
      </c>
    </row>
    <row r="160" spans="1:12" x14ac:dyDescent="0.25">
      <c r="A160" s="5"/>
      <c r="B160" s="5"/>
      <c r="C160" s="5"/>
      <c r="D160" s="5"/>
      <c r="E160" s="5"/>
      <c r="F160" s="5"/>
    </row>
    <row r="161" spans="1:12" x14ac:dyDescent="0.25">
      <c r="A161" s="5" t="s">
        <v>20</v>
      </c>
      <c r="B161" s="5"/>
      <c r="C161" s="5"/>
      <c r="D161" s="5"/>
      <c r="E161" s="5"/>
      <c r="F161" s="5"/>
    </row>
    <row r="162" spans="1:12" x14ac:dyDescent="0.25">
      <c r="A162" s="5"/>
      <c r="B162" s="5" t="s">
        <v>67</v>
      </c>
      <c r="C162" s="5" t="s">
        <v>69</v>
      </c>
      <c r="D162" s="5" t="s">
        <v>70</v>
      </c>
      <c r="E162" s="5" t="s">
        <v>71</v>
      </c>
      <c r="F162" s="5" t="s">
        <v>72</v>
      </c>
    </row>
    <row r="163" spans="1:12" x14ac:dyDescent="0.25">
      <c r="A163" s="5" t="s">
        <v>0</v>
      </c>
      <c r="B163" s="7"/>
      <c r="C163" s="7">
        <v>0.30299999999999999</v>
      </c>
      <c r="D163" s="5"/>
      <c r="E163" s="7"/>
      <c r="F163" s="7">
        <v>0.53439999999999999</v>
      </c>
      <c r="I163">
        <f>100-(C163/0.6096)*100</f>
        <v>50.295275590551185</v>
      </c>
      <c r="L163">
        <f>100-(F163/1.041)*100</f>
        <v>48.664745437079723</v>
      </c>
    </row>
    <row r="164" spans="1:12" x14ac:dyDescent="0.25">
      <c r="A164" s="5" t="s">
        <v>1</v>
      </c>
      <c r="B164" s="7">
        <v>0.1229</v>
      </c>
      <c r="C164" s="7">
        <v>0.27979999999999999</v>
      </c>
      <c r="D164" s="7">
        <v>0.39979999999999999</v>
      </c>
      <c r="E164" s="7">
        <v>0.48080000000000001</v>
      </c>
      <c r="F164" s="7">
        <v>0.47699999999999998</v>
      </c>
      <c r="H164">
        <f t="shared" ref="H164:H166" si="80">100-(B164/0.1283)*100</f>
        <v>4.2088854247856631</v>
      </c>
      <c r="I164">
        <f t="shared" ref="I164:I166" si="81">100-(C164/0.6096)*100</f>
        <v>54.10104986876641</v>
      </c>
      <c r="J164">
        <f t="shared" ref="J164:J166" si="82">100-(D164/1.1032)*100</f>
        <v>63.75997099347353</v>
      </c>
      <c r="K164">
        <f t="shared" ref="K164:K166" si="83">100-(E164/0.6738)*100</f>
        <v>28.643514395963194</v>
      </c>
      <c r="L164">
        <f t="shared" ref="L164:L166" si="84">100-(F164/1.041)*100</f>
        <v>54.178674351585016</v>
      </c>
    </row>
    <row r="165" spans="1:12" x14ac:dyDescent="0.25">
      <c r="A165" s="5" t="s">
        <v>2</v>
      </c>
      <c r="B165" s="7"/>
      <c r="C165" s="7">
        <v>0.28389999999999999</v>
      </c>
      <c r="D165" s="7">
        <v>0.43610000000000004</v>
      </c>
      <c r="E165" s="7">
        <v>0.3715</v>
      </c>
      <c r="F165" s="7">
        <v>0.33939999999999998</v>
      </c>
      <c r="I165">
        <f t="shared" si="81"/>
        <v>53.428477690288716</v>
      </c>
      <c r="J165">
        <f t="shared" si="82"/>
        <v>60.469543147208114</v>
      </c>
      <c r="K165">
        <f t="shared" si="83"/>
        <v>44.864945087563072</v>
      </c>
      <c r="L165">
        <f t="shared" si="84"/>
        <v>67.39673390970222</v>
      </c>
    </row>
    <row r="166" spans="1:12" x14ac:dyDescent="0.25">
      <c r="A166" s="5" t="s">
        <v>3</v>
      </c>
      <c r="B166" s="7">
        <v>0.16001000000000001</v>
      </c>
      <c r="C166" s="7">
        <v>0.29270000000000002</v>
      </c>
      <c r="D166" s="7">
        <v>0.52900000000000003</v>
      </c>
      <c r="E166" s="7">
        <v>0.6401</v>
      </c>
      <c r="F166" s="7">
        <v>0.44019999999999998</v>
      </c>
      <c r="H166">
        <f t="shared" si="80"/>
        <v>-24.715510522213563</v>
      </c>
      <c r="I166">
        <f t="shared" si="81"/>
        <v>51.984908136482936</v>
      </c>
      <c r="J166">
        <f t="shared" si="82"/>
        <v>52.048585931834658</v>
      </c>
      <c r="K166">
        <f t="shared" si="83"/>
        <v>5.0014841199168814</v>
      </c>
      <c r="L166">
        <f t="shared" si="84"/>
        <v>57.713736791546587</v>
      </c>
    </row>
    <row r="167" spans="1:12" x14ac:dyDescent="0.25">
      <c r="A167" s="4"/>
      <c r="B167" s="8"/>
      <c r="C167" s="8"/>
      <c r="D167" s="8"/>
      <c r="E167" s="8"/>
      <c r="F167" s="8"/>
    </row>
    <row r="168" spans="1:12" x14ac:dyDescent="0.25">
      <c r="A168" s="4"/>
      <c r="B168" s="5"/>
      <c r="C168" s="5"/>
      <c r="D168" s="5"/>
      <c r="E168" s="5"/>
      <c r="F168" s="5"/>
    </row>
    <row r="169" spans="1:12" x14ac:dyDescent="0.25">
      <c r="A169" s="4" t="s">
        <v>143</v>
      </c>
      <c r="B169" s="7">
        <v>0.12833</v>
      </c>
      <c r="C169" s="7">
        <v>0.60960000000000003</v>
      </c>
      <c r="D169" s="7">
        <v>1.1032</v>
      </c>
      <c r="E169" s="7">
        <v>0.67380000000000007</v>
      </c>
      <c r="F169" s="7">
        <v>1.0409999999999999</v>
      </c>
    </row>
    <row r="170" spans="1:12" x14ac:dyDescent="0.25">
      <c r="A170" s="5"/>
      <c r="B170" s="5"/>
      <c r="C170" s="5"/>
      <c r="D170" s="5"/>
      <c r="E170" s="5"/>
      <c r="F170" s="5"/>
    </row>
    <row r="171" spans="1:12" x14ac:dyDescent="0.25">
      <c r="A171" s="5" t="s">
        <v>21</v>
      </c>
      <c r="B171" s="5"/>
      <c r="C171" s="5"/>
      <c r="D171" s="5"/>
      <c r="E171" s="5"/>
      <c r="F171" s="5"/>
    </row>
    <row r="172" spans="1:12" x14ac:dyDescent="0.25">
      <c r="A172" s="5"/>
      <c r="B172" s="5" t="s">
        <v>67</v>
      </c>
      <c r="C172" s="5" t="s">
        <v>69</v>
      </c>
      <c r="D172" s="5" t="s">
        <v>70</v>
      </c>
      <c r="E172" s="5" t="s">
        <v>71</v>
      </c>
      <c r="F172" s="5" t="s">
        <v>72</v>
      </c>
    </row>
    <row r="173" spans="1:12" x14ac:dyDescent="0.25">
      <c r="A173" s="5" t="s">
        <v>0</v>
      </c>
      <c r="B173" s="7"/>
      <c r="C173" s="7">
        <v>0.3216</v>
      </c>
      <c r="D173" s="7"/>
      <c r="E173" s="7"/>
      <c r="F173" s="7">
        <v>0.31309999999999999</v>
      </c>
      <c r="I173">
        <f>100-(C173/0.8254)*100</f>
        <v>61.037072934334866</v>
      </c>
      <c r="L173">
        <f>100-(F173/1.1479)*100</f>
        <v>72.724104887185291</v>
      </c>
    </row>
    <row r="174" spans="1:12" x14ac:dyDescent="0.25">
      <c r="A174" s="5" t="s">
        <v>1</v>
      </c>
      <c r="B174" s="7">
        <v>0.13141</v>
      </c>
      <c r="C174" s="7">
        <v>0.31730000000000003</v>
      </c>
      <c r="D174" s="7">
        <v>0.27459999999999996</v>
      </c>
      <c r="E174" s="7">
        <v>0.3488</v>
      </c>
      <c r="F174" s="7">
        <v>0.51460000000000006</v>
      </c>
      <c r="H174">
        <f t="shared" ref="H174:H176" si="85">100-(B174/0.1343)*100</f>
        <v>2.1518987341772089</v>
      </c>
      <c r="I174">
        <f t="shared" ref="I174:I176" si="86">100-(C174/0.8254)*100</f>
        <v>61.558032469105882</v>
      </c>
      <c r="J174">
        <f t="shared" ref="J174:J176" si="87">100-(D174/1.256)*100</f>
        <v>78.136942675159247</v>
      </c>
      <c r="K174">
        <f t="shared" ref="K174:K176" si="88">100-(E174/0.6898)*100</f>
        <v>49.434618730066681</v>
      </c>
      <c r="L174">
        <f t="shared" ref="L174:L176" si="89">100-(F174/1.1479)*100</f>
        <v>55.170311002700579</v>
      </c>
    </row>
    <row r="175" spans="1:12" x14ac:dyDescent="0.25">
      <c r="A175" s="5" t="s">
        <v>2</v>
      </c>
      <c r="B175" s="7"/>
      <c r="C175" s="7">
        <v>0.33419999999999994</v>
      </c>
      <c r="D175" s="7">
        <v>0.25919999999999999</v>
      </c>
      <c r="E175" s="7">
        <v>0.25700000000000001</v>
      </c>
      <c r="F175" s="7">
        <v>0.27439999999999998</v>
      </c>
      <c r="I175">
        <f t="shared" si="86"/>
        <v>59.510540344075608</v>
      </c>
      <c r="J175">
        <f t="shared" si="87"/>
        <v>79.363057324840767</v>
      </c>
      <c r="K175">
        <f t="shared" si="88"/>
        <v>62.742824006958536</v>
      </c>
      <c r="L175">
        <f t="shared" si="89"/>
        <v>76.095478700235219</v>
      </c>
    </row>
    <row r="176" spans="1:12" x14ac:dyDescent="0.25">
      <c r="A176" s="5" t="s">
        <v>3</v>
      </c>
      <c r="B176" s="7">
        <v>0.18540000000000001</v>
      </c>
      <c r="C176" s="7">
        <v>0.32069999999999999</v>
      </c>
      <c r="D176" s="7">
        <v>0.31979999999999997</v>
      </c>
      <c r="E176" s="7">
        <v>0.44010000000000005</v>
      </c>
      <c r="F176" s="7">
        <v>0.44079999999999997</v>
      </c>
      <c r="H176">
        <f t="shared" si="85"/>
        <v>-38.049143708116162</v>
      </c>
      <c r="I176">
        <f t="shared" si="86"/>
        <v>61.146110976496246</v>
      </c>
      <c r="J176">
        <f t="shared" si="87"/>
        <v>74.538216560509554</v>
      </c>
      <c r="K176">
        <f t="shared" si="88"/>
        <v>36.198898231371402</v>
      </c>
      <c r="L176">
        <f t="shared" si="89"/>
        <v>61.599442460144608</v>
      </c>
    </row>
    <row r="177" spans="1:6" x14ac:dyDescent="0.25">
      <c r="A177" s="4"/>
      <c r="B177" s="8"/>
      <c r="C177" s="8"/>
      <c r="D177" s="8"/>
      <c r="E177" s="8"/>
      <c r="F177" s="8"/>
    </row>
    <row r="178" spans="1:6" x14ac:dyDescent="0.25">
      <c r="A178" s="4"/>
      <c r="B178" s="5"/>
      <c r="C178" s="5"/>
      <c r="D178" s="5"/>
      <c r="E178" s="5"/>
      <c r="F178" s="5"/>
    </row>
    <row r="179" spans="1:6" x14ac:dyDescent="0.25">
      <c r="A179" s="4" t="s">
        <v>143</v>
      </c>
      <c r="B179" s="7">
        <v>0.13431000000000001</v>
      </c>
      <c r="C179" s="7">
        <v>0.82540000000000002</v>
      </c>
      <c r="D179" s="7">
        <v>1.256</v>
      </c>
      <c r="E179" s="7">
        <v>0.68980000000000008</v>
      </c>
      <c r="F179" s="7">
        <v>1.1478999999999999</v>
      </c>
    </row>
  </sheetData>
  <sortState xmlns:xlrd2="http://schemas.microsoft.com/office/spreadsheetml/2017/richdata2" ref="S43:T46">
    <sortCondition descending="1" ref="S43:S46"/>
  </sortState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2DD74-8B15-4C6C-BC60-3C99B426C8B9}">
  <dimension ref="A1:AJ40"/>
  <sheetViews>
    <sheetView zoomScale="60" zoomScaleNormal="60" workbookViewId="0">
      <selection activeCell="H45" sqref="H45"/>
    </sheetView>
  </sheetViews>
  <sheetFormatPr defaultRowHeight="13.8" x14ac:dyDescent="0.25"/>
  <sheetData>
    <row r="1" spans="1:36" x14ac:dyDescent="0.25">
      <c r="S1" s="2"/>
      <c r="T1" s="2"/>
      <c r="U1" s="2"/>
      <c r="V1" s="2"/>
      <c r="W1" s="2"/>
      <c r="X1" s="2"/>
      <c r="Y1" s="2"/>
      <c r="Z1" s="2"/>
      <c r="AB1" s="2"/>
      <c r="AC1" s="2"/>
      <c r="AD1" s="2"/>
      <c r="AE1" s="2"/>
      <c r="AF1" s="2"/>
      <c r="AG1" s="2"/>
      <c r="AH1" s="2"/>
      <c r="AI1" s="2"/>
    </row>
    <row r="2" spans="1:36" x14ac:dyDescent="0.25">
      <c r="A2" t="s">
        <v>145</v>
      </c>
      <c r="S2" s="2"/>
      <c r="AB2" s="2"/>
    </row>
    <row r="3" spans="1:36" x14ac:dyDescent="0.25">
      <c r="S3" s="2"/>
      <c r="T3" t="s">
        <v>144</v>
      </c>
      <c r="AB3" s="2"/>
    </row>
    <row r="4" spans="1:36" x14ac:dyDescent="0.25">
      <c r="A4" s="2" t="s">
        <v>67</v>
      </c>
      <c r="B4" s="2" t="s">
        <v>54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59</v>
      </c>
      <c r="H4" s="2" t="s">
        <v>60</v>
      </c>
      <c r="J4" s="2" t="s">
        <v>69</v>
      </c>
      <c r="K4" s="2" t="s">
        <v>54</v>
      </c>
      <c r="L4" s="2" t="s">
        <v>55</v>
      </c>
      <c r="M4" s="2" t="s">
        <v>56</v>
      </c>
      <c r="N4" s="2" t="s">
        <v>57</v>
      </c>
      <c r="O4" s="2" t="s">
        <v>58</v>
      </c>
      <c r="P4" s="2" t="s">
        <v>59</v>
      </c>
      <c r="Q4" s="2" t="s">
        <v>60</v>
      </c>
      <c r="S4" s="2"/>
      <c r="AB4" s="2"/>
    </row>
    <row r="5" spans="1:36" x14ac:dyDescent="0.25">
      <c r="A5" s="2" t="s">
        <v>3</v>
      </c>
      <c r="B5">
        <v>625.09245568918607</v>
      </c>
      <c r="C5">
        <v>713.80580078081925</v>
      </c>
      <c r="D5">
        <v>819.6140056427613</v>
      </c>
      <c r="E5">
        <v>1014.7594739282403</v>
      </c>
      <c r="F5">
        <v>1288.3574557729632</v>
      </c>
      <c r="G5">
        <v>780.62102087165613</v>
      </c>
      <c r="H5">
        <v>968.78715810208223</v>
      </c>
      <c r="J5" s="2" t="s">
        <v>3</v>
      </c>
      <c r="K5">
        <v>660.75216341723842</v>
      </c>
      <c r="L5">
        <v>524.98096659940472</v>
      </c>
      <c r="M5">
        <v>552.77828771592976</v>
      </c>
      <c r="N5">
        <v>732.40090557436213</v>
      </c>
      <c r="O5">
        <v>1047.1310697842948</v>
      </c>
      <c r="P5">
        <v>1443.1921684682554</v>
      </c>
      <c r="Q5">
        <v>1468.4623310066791</v>
      </c>
      <c r="S5" s="2"/>
      <c r="T5" s="2" t="s">
        <v>67</v>
      </c>
      <c r="U5" s="2" t="s">
        <v>54</v>
      </c>
      <c r="V5" s="2" t="s">
        <v>55</v>
      </c>
      <c r="W5" s="2" t="s">
        <v>56</v>
      </c>
      <c r="X5" s="2" t="s">
        <v>57</v>
      </c>
      <c r="Y5" s="2" t="s">
        <v>58</v>
      </c>
      <c r="Z5" s="2" t="s">
        <v>59</v>
      </c>
      <c r="AA5" s="2" t="s">
        <v>60</v>
      </c>
      <c r="AC5" s="2" t="s">
        <v>69</v>
      </c>
      <c r="AD5" s="2" t="s">
        <v>54</v>
      </c>
      <c r="AE5" s="2" t="s">
        <v>55</v>
      </c>
      <c r="AF5" s="2" t="s">
        <v>56</v>
      </c>
      <c r="AG5" s="2" t="s">
        <v>57</v>
      </c>
      <c r="AH5" s="2" t="s">
        <v>58</v>
      </c>
      <c r="AI5" s="2" t="s">
        <v>59</v>
      </c>
      <c r="AJ5" s="2" t="s">
        <v>60</v>
      </c>
    </row>
    <row r="6" spans="1:36" x14ac:dyDescent="0.25">
      <c r="A6" s="2" t="s">
        <v>2</v>
      </c>
      <c r="J6" s="2" t="s">
        <v>2</v>
      </c>
      <c r="L6">
        <v>521.3322862076061</v>
      </c>
      <c r="N6">
        <v>778.16639176946842</v>
      </c>
      <c r="O6">
        <v>1045.8731140296682</v>
      </c>
      <c r="P6">
        <v>1427.7467434725691</v>
      </c>
      <c r="Q6">
        <v>1502.3262425058008</v>
      </c>
      <c r="S6" s="1"/>
      <c r="T6" s="2" t="s">
        <v>3</v>
      </c>
      <c r="U6">
        <v>0</v>
      </c>
      <c r="V6">
        <v>88.713345091633187</v>
      </c>
      <c r="W6">
        <v>194.52154995357523</v>
      </c>
      <c r="X6">
        <v>389.66701823905419</v>
      </c>
      <c r="Y6">
        <v>663.26500008377718</v>
      </c>
      <c r="Z6">
        <v>155.52856518247006</v>
      </c>
      <c r="AA6">
        <v>343.69470241289616</v>
      </c>
      <c r="AC6" s="2" t="s">
        <v>3</v>
      </c>
      <c r="AD6">
        <v>0</v>
      </c>
      <c r="AE6">
        <v>-135.7711968178337</v>
      </c>
      <c r="AF6">
        <v>-107.97387570130866</v>
      </c>
      <c r="AG6">
        <v>71.648742157123706</v>
      </c>
      <c r="AH6">
        <v>386.3789063670564</v>
      </c>
      <c r="AI6">
        <v>782.44000505101701</v>
      </c>
      <c r="AJ6">
        <v>807.71016758944063</v>
      </c>
    </row>
    <row r="7" spans="1:36" x14ac:dyDescent="0.25">
      <c r="A7" s="2" t="s">
        <v>1</v>
      </c>
      <c r="C7">
        <v>746.07449649041928</v>
      </c>
      <c r="D7">
        <v>783.62309441642776</v>
      </c>
      <c r="E7">
        <v>934.2823694547094</v>
      </c>
      <c r="F7">
        <v>1818.6537771614094</v>
      </c>
      <c r="G7">
        <v>1170.9494248266578</v>
      </c>
      <c r="H7">
        <v>1030.9022695923757</v>
      </c>
      <c r="J7" s="2" t="s">
        <v>1</v>
      </c>
      <c r="L7">
        <v>589.36334071411829</v>
      </c>
      <c r="M7">
        <v>636.48173633742897</v>
      </c>
      <c r="N7">
        <v>735.17335349311031</v>
      </c>
      <c r="O7">
        <v>1148.5551780252729</v>
      </c>
      <c r="P7">
        <v>1413.7978072672045</v>
      </c>
      <c r="Q7">
        <v>1588.9933000516476</v>
      </c>
      <c r="S7" s="1"/>
      <c r="T7" s="2" t="s">
        <v>2</v>
      </c>
      <c r="AC7" s="2" t="s">
        <v>2</v>
      </c>
      <c r="AE7">
        <v>-139.41987720963232</v>
      </c>
      <c r="AG7">
        <v>117.41422835223</v>
      </c>
      <c r="AH7">
        <v>385.12095061242974</v>
      </c>
      <c r="AI7">
        <v>766.99458005533063</v>
      </c>
      <c r="AJ7">
        <v>841.57407908856237</v>
      </c>
    </row>
    <row r="8" spans="1:36" x14ac:dyDescent="0.25">
      <c r="A8" s="2" t="s">
        <v>0</v>
      </c>
      <c r="C8">
        <v>773.09804131314354</v>
      </c>
      <c r="J8" s="2" t="s">
        <v>0</v>
      </c>
      <c r="L8">
        <v>527.46677947289913</v>
      </c>
      <c r="M8">
        <v>636.4394220221335</v>
      </c>
      <c r="N8">
        <v>769.18192497481323</v>
      </c>
      <c r="O8">
        <v>1036.8063432568815</v>
      </c>
      <c r="P8">
        <v>1751.9898289739308</v>
      </c>
      <c r="Q8">
        <v>1482.8497694422056</v>
      </c>
      <c r="T8" s="2" t="s">
        <v>1</v>
      </c>
      <c r="V8">
        <v>120.98204080123321</v>
      </c>
      <c r="W8">
        <v>158.53063872724169</v>
      </c>
      <c r="X8">
        <v>309.18991376552333</v>
      </c>
      <c r="Y8">
        <v>1193.5613214722234</v>
      </c>
      <c r="Z8">
        <v>545.85696913747176</v>
      </c>
      <c r="AA8">
        <v>405.80981390318959</v>
      </c>
      <c r="AC8" s="2" t="s">
        <v>1</v>
      </c>
      <c r="AE8">
        <v>-71.388822703120127</v>
      </c>
      <c r="AF8">
        <v>-24.270427079809451</v>
      </c>
      <c r="AG8">
        <v>74.421190075871891</v>
      </c>
      <c r="AH8">
        <v>487.80301460803446</v>
      </c>
      <c r="AI8">
        <v>753.04564384996604</v>
      </c>
      <c r="AJ8">
        <v>928.24113663440914</v>
      </c>
    </row>
    <row r="9" spans="1:36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S9" s="2"/>
      <c r="T9" s="2" t="s">
        <v>0</v>
      </c>
      <c r="V9">
        <v>148.00558562395747</v>
      </c>
      <c r="AC9" s="2" t="s">
        <v>0</v>
      </c>
      <c r="AE9">
        <v>-133.28538394433929</v>
      </c>
      <c r="AF9">
        <v>-24.312741395104922</v>
      </c>
      <c r="AG9">
        <v>108.42976155757481</v>
      </c>
      <c r="AH9">
        <v>376.0541798396431</v>
      </c>
      <c r="AI9">
        <v>1091.2376655566923</v>
      </c>
      <c r="AJ9">
        <v>822.09760602496715</v>
      </c>
    </row>
    <row r="10" spans="1:36" x14ac:dyDescent="0.25">
      <c r="A10" s="1"/>
      <c r="S10" s="2"/>
      <c r="T10" s="1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x14ac:dyDescent="0.25">
      <c r="S11" s="2"/>
      <c r="T11" s="1"/>
    </row>
    <row r="12" spans="1:36" x14ac:dyDescent="0.25">
      <c r="A12" s="2" t="s">
        <v>70</v>
      </c>
      <c r="B12" s="2" t="s">
        <v>54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2" t="s">
        <v>60</v>
      </c>
      <c r="J12" s="2" t="s">
        <v>71</v>
      </c>
      <c r="K12" s="2" t="s">
        <v>54</v>
      </c>
      <c r="L12" s="2" t="s">
        <v>55</v>
      </c>
      <c r="M12" s="2" t="s">
        <v>56</v>
      </c>
      <c r="N12" s="2" t="s">
        <v>57</v>
      </c>
      <c r="O12" s="2" t="s">
        <v>58</v>
      </c>
      <c r="P12" s="2" t="s">
        <v>59</v>
      </c>
      <c r="Q12" s="2" t="s">
        <v>60</v>
      </c>
      <c r="S12" s="2"/>
    </row>
    <row r="13" spans="1:36" x14ac:dyDescent="0.25">
      <c r="A13" s="2" t="s">
        <v>3</v>
      </c>
      <c r="B13">
        <v>603.87704698080336</v>
      </c>
      <c r="C13">
        <v>473.92747491637493</v>
      </c>
      <c r="D13">
        <v>476.90914100781339</v>
      </c>
      <c r="E13">
        <v>538.05062058052272</v>
      </c>
      <c r="F13">
        <v>516.06301622627723</v>
      </c>
      <c r="G13">
        <v>577.37707288397621</v>
      </c>
      <c r="H13">
        <v>626.26404141286343</v>
      </c>
      <c r="J13" s="2" t="s">
        <v>3</v>
      </c>
      <c r="K13">
        <v>631.83673771518272</v>
      </c>
      <c r="L13">
        <v>452.77649092638637</v>
      </c>
      <c r="M13">
        <v>484.65377285588465</v>
      </c>
      <c r="N13">
        <v>514.80421943906367</v>
      </c>
      <c r="O13">
        <v>483.41401040794807</v>
      </c>
      <c r="P13">
        <v>655.31248000186247</v>
      </c>
      <c r="Q13">
        <v>615.53470904837957</v>
      </c>
      <c r="S13" s="2"/>
      <c r="T13" s="2" t="s">
        <v>70</v>
      </c>
      <c r="U13" s="2" t="s">
        <v>54</v>
      </c>
      <c r="V13" s="2" t="s">
        <v>55</v>
      </c>
      <c r="W13" s="2" t="s">
        <v>56</v>
      </c>
      <c r="X13" s="2" t="s">
        <v>57</v>
      </c>
      <c r="Y13" s="2" t="s">
        <v>58</v>
      </c>
      <c r="Z13" s="2" t="s">
        <v>59</v>
      </c>
      <c r="AA13" s="2" t="s">
        <v>60</v>
      </c>
      <c r="AC13" s="2" t="s">
        <v>71</v>
      </c>
      <c r="AD13" s="2" t="s">
        <v>54</v>
      </c>
      <c r="AE13" s="2" t="s">
        <v>55</v>
      </c>
      <c r="AF13" s="2" t="s">
        <v>56</v>
      </c>
      <c r="AG13" s="2" t="s">
        <v>57</v>
      </c>
      <c r="AH13" s="2" t="s">
        <v>58</v>
      </c>
      <c r="AI13" s="2" t="s">
        <v>59</v>
      </c>
      <c r="AJ13" s="2" t="s">
        <v>60</v>
      </c>
    </row>
    <row r="14" spans="1:36" x14ac:dyDescent="0.25">
      <c r="A14" s="2" t="s">
        <v>2</v>
      </c>
      <c r="C14">
        <v>461.51465351581237</v>
      </c>
      <c r="D14">
        <v>467.63922011155233</v>
      </c>
      <c r="E14">
        <v>499.40545901470028</v>
      </c>
      <c r="F14">
        <v>507.78545112256819</v>
      </c>
      <c r="G14">
        <v>607.13827261312781</v>
      </c>
      <c r="H14">
        <v>693.11948214979452</v>
      </c>
      <c r="J14" s="2" t="s">
        <v>2</v>
      </c>
      <c r="L14">
        <v>506.60443501197432</v>
      </c>
      <c r="M14">
        <v>550.44062621733576</v>
      </c>
      <c r="N14">
        <v>493.8526915358068</v>
      </c>
      <c r="O14">
        <v>476.87733424846306</v>
      </c>
      <c r="P14">
        <v>695.33635461217204</v>
      </c>
      <c r="Q14">
        <v>687.78778912333144</v>
      </c>
      <c r="S14" s="1"/>
      <c r="T14" s="2" t="s">
        <v>3</v>
      </c>
      <c r="U14">
        <v>0</v>
      </c>
      <c r="V14">
        <v>-129.94957206442842</v>
      </c>
      <c r="W14">
        <v>-126.96790597298997</v>
      </c>
      <c r="X14">
        <v>-65.826426400280639</v>
      </c>
      <c r="Y14">
        <v>-87.814030754526129</v>
      </c>
      <c r="Z14">
        <v>-26.499974096827145</v>
      </c>
      <c r="AA14">
        <v>22.386994432060078</v>
      </c>
      <c r="AC14" s="2" t="s">
        <v>3</v>
      </c>
      <c r="AD14">
        <v>0</v>
      </c>
      <c r="AE14">
        <v>-179.06024678879635</v>
      </c>
      <c r="AF14">
        <v>-147.18296485929807</v>
      </c>
      <c r="AG14">
        <v>-117.03251827611905</v>
      </c>
      <c r="AH14">
        <v>-148.42272730723465</v>
      </c>
      <c r="AI14">
        <v>23.475742286679747</v>
      </c>
      <c r="AJ14">
        <v>-16.302028666803153</v>
      </c>
    </row>
    <row r="15" spans="1:36" x14ac:dyDescent="0.25">
      <c r="A15" s="2" t="s">
        <v>1</v>
      </c>
      <c r="C15">
        <v>432.07874379970383</v>
      </c>
      <c r="D15">
        <v>496.83775459316507</v>
      </c>
      <c r="E15">
        <v>545.554450237673</v>
      </c>
      <c r="F15">
        <v>480.36630837709004</v>
      </c>
      <c r="G15">
        <v>589.13020934038332</v>
      </c>
      <c r="H15">
        <v>682.96898894285334</v>
      </c>
      <c r="J15" s="2" t="s">
        <v>1</v>
      </c>
      <c r="L15">
        <v>504.47602553301169</v>
      </c>
      <c r="M15">
        <v>552.66491306115529</v>
      </c>
      <c r="O15">
        <v>510.13782561454707</v>
      </c>
      <c r="P15">
        <v>712.76205775911285</v>
      </c>
      <c r="Q15">
        <v>661.99297438924953</v>
      </c>
      <c r="S15" s="1"/>
      <c r="T15" s="2" t="s">
        <v>2</v>
      </c>
      <c r="V15">
        <v>-142.36239346499099</v>
      </c>
      <c r="W15">
        <v>-136.23782686925102</v>
      </c>
      <c r="X15">
        <v>-104.47158796610307</v>
      </c>
      <c r="Y15">
        <v>-96.091595858235166</v>
      </c>
      <c r="Z15">
        <v>3.2612256323244537</v>
      </c>
      <c r="AA15">
        <v>89.242435168991165</v>
      </c>
      <c r="AC15" s="2" t="s">
        <v>2</v>
      </c>
      <c r="AE15">
        <v>-125.2323027032084</v>
      </c>
      <c r="AF15">
        <v>-81.39611149784696</v>
      </c>
      <c r="AG15">
        <v>-137.98404617937592</v>
      </c>
      <c r="AH15">
        <v>-154.95940346671966</v>
      </c>
      <c r="AI15">
        <v>63.499616896989323</v>
      </c>
      <c r="AJ15">
        <v>55.951051408148714</v>
      </c>
    </row>
    <row r="16" spans="1:36" x14ac:dyDescent="0.25">
      <c r="A16" s="2" t="s">
        <v>0</v>
      </c>
      <c r="J16" s="2" t="s">
        <v>0</v>
      </c>
      <c r="L16">
        <v>506.63739866973049</v>
      </c>
      <c r="T16" s="2" t="s">
        <v>1</v>
      </c>
      <c r="V16">
        <v>-171.79830318109953</v>
      </c>
      <c r="W16">
        <v>-107.03929238763828</v>
      </c>
      <c r="X16">
        <v>-58.322596743130362</v>
      </c>
      <c r="Y16">
        <v>-123.51073860371332</v>
      </c>
      <c r="Z16">
        <v>-14.74683764042004</v>
      </c>
      <c r="AA16">
        <v>79.091941962049987</v>
      </c>
      <c r="AC16" s="2" t="s">
        <v>1</v>
      </c>
      <c r="AE16">
        <v>-127.36071218217103</v>
      </c>
      <c r="AF16">
        <v>-79.171824654027432</v>
      </c>
      <c r="AH16">
        <v>-121.69891210063565</v>
      </c>
      <c r="AI16">
        <v>80.925320043930128</v>
      </c>
      <c r="AJ16">
        <v>30.156236674066804</v>
      </c>
    </row>
    <row r="17" spans="1:36" x14ac:dyDescent="0.2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S17" s="2"/>
      <c r="T17" s="2" t="s">
        <v>0</v>
      </c>
      <c r="AC17" s="2" t="s">
        <v>0</v>
      </c>
      <c r="AE17">
        <v>506.63739866973049</v>
      </c>
    </row>
    <row r="18" spans="1:36" x14ac:dyDescent="0.25">
      <c r="A18" s="1"/>
      <c r="S18" s="2"/>
      <c r="T18" s="1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x14ac:dyDescent="0.25">
      <c r="S19" s="2"/>
      <c r="T19" s="1"/>
    </row>
    <row r="20" spans="1:36" x14ac:dyDescent="0.25">
      <c r="A20" s="2" t="s">
        <v>72</v>
      </c>
      <c r="B20" s="2" t="s">
        <v>54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59</v>
      </c>
      <c r="H20" s="2" t="s">
        <v>60</v>
      </c>
      <c r="J20" s="2"/>
      <c r="K20" s="2"/>
      <c r="L20" s="2"/>
      <c r="M20" s="2"/>
      <c r="N20" s="2"/>
      <c r="O20" s="2"/>
      <c r="P20" s="2"/>
      <c r="Q20" s="2"/>
      <c r="S20" s="2"/>
    </row>
    <row r="21" spans="1:36" x14ac:dyDescent="0.25">
      <c r="A21" s="2" t="s">
        <v>3</v>
      </c>
      <c r="B21">
        <v>614.60136288502974</v>
      </c>
      <c r="C21">
        <v>508.11827410444943</v>
      </c>
      <c r="D21">
        <v>723.53225796684603</v>
      </c>
      <c r="E21">
        <v>961.92208690664654</v>
      </c>
      <c r="F21">
        <v>970.78920014736002</v>
      </c>
      <c r="G21">
        <v>1133.7273441523741</v>
      </c>
      <c r="H21">
        <v>1237.8347848475555</v>
      </c>
      <c r="J21" s="2"/>
      <c r="S21" s="2"/>
      <c r="T21" s="2" t="s">
        <v>72</v>
      </c>
      <c r="U21" s="2" t="s">
        <v>54</v>
      </c>
      <c r="V21" s="2" t="s">
        <v>55</v>
      </c>
      <c r="W21" s="2" t="s">
        <v>56</v>
      </c>
      <c r="X21" s="2" t="s">
        <v>57</v>
      </c>
      <c r="Y21" s="2" t="s">
        <v>58</v>
      </c>
      <c r="Z21" s="2" t="s">
        <v>59</v>
      </c>
      <c r="AA21" s="2" t="s">
        <v>60</v>
      </c>
      <c r="AC21" s="2"/>
      <c r="AD21" s="2"/>
      <c r="AE21" s="2"/>
      <c r="AF21" s="2"/>
      <c r="AG21" s="2"/>
      <c r="AH21" s="2"/>
      <c r="AI21" s="2"/>
      <c r="AJ21" s="2"/>
    </row>
    <row r="22" spans="1:36" x14ac:dyDescent="0.25">
      <c r="A22" s="2" t="s">
        <v>2</v>
      </c>
      <c r="C22">
        <v>493.15335829771965</v>
      </c>
      <c r="D22">
        <v>762.34720337272859</v>
      </c>
      <c r="F22">
        <v>870.39769397198882</v>
      </c>
      <c r="G22">
        <v>1572.0198374215829</v>
      </c>
      <c r="H22">
        <v>1479.3620575805626</v>
      </c>
      <c r="J22" s="2"/>
      <c r="S22" s="1"/>
      <c r="T22" s="2" t="s">
        <v>3</v>
      </c>
      <c r="U22">
        <v>0</v>
      </c>
      <c r="V22">
        <v>-106.48308878058032</v>
      </c>
      <c r="W22">
        <v>108.93089508181629</v>
      </c>
      <c r="X22">
        <v>347.3207240216168</v>
      </c>
      <c r="Y22">
        <v>356.18783726233028</v>
      </c>
      <c r="Z22">
        <v>519.1259812673444</v>
      </c>
      <c r="AA22">
        <v>623.23342196252577</v>
      </c>
      <c r="AC22" s="2"/>
    </row>
    <row r="23" spans="1:36" x14ac:dyDescent="0.25">
      <c r="A23" s="2" t="s">
        <v>1</v>
      </c>
      <c r="C23">
        <v>493.17863722363165</v>
      </c>
      <c r="D23">
        <v>695.02856177838646</v>
      </c>
      <c r="F23">
        <v>931.11173701941266</v>
      </c>
      <c r="G23">
        <v>1118.015803699132</v>
      </c>
      <c r="H23">
        <v>1478.445793322981</v>
      </c>
      <c r="J23" s="2"/>
      <c r="S23" s="1"/>
      <c r="T23" s="2" t="s">
        <v>2</v>
      </c>
      <c r="V23">
        <v>-121.44800458731009</v>
      </c>
      <c r="W23">
        <v>147.74584048769884</v>
      </c>
      <c r="Y23">
        <v>255.79633108695907</v>
      </c>
      <c r="Z23">
        <v>957.41847453655316</v>
      </c>
      <c r="AA23">
        <v>864.76069469553283</v>
      </c>
      <c r="AC23" s="2"/>
    </row>
    <row r="24" spans="1:36" x14ac:dyDescent="0.25">
      <c r="A24" s="2" t="s">
        <v>0</v>
      </c>
      <c r="C24">
        <v>604.12374023683833</v>
      </c>
      <c r="D24">
        <v>603.23743910543976</v>
      </c>
      <c r="E24">
        <v>779.14380943759522</v>
      </c>
      <c r="F24">
        <v>1023.6914065265196</v>
      </c>
      <c r="G24">
        <v>1261.4191751383973</v>
      </c>
      <c r="H24">
        <v>1480.6913704734661</v>
      </c>
      <c r="J24" s="2"/>
      <c r="T24" s="2" t="s">
        <v>1</v>
      </c>
      <c r="V24">
        <v>-121.42272566139809</v>
      </c>
      <c r="W24">
        <v>80.427198893356717</v>
      </c>
      <c r="Y24">
        <v>316.51037413438291</v>
      </c>
      <c r="Z24">
        <v>503.41444081410225</v>
      </c>
      <c r="AA24">
        <v>863.84443043795125</v>
      </c>
      <c r="AC24" s="2"/>
    </row>
    <row r="25" spans="1:36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T25" s="2" t="s">
        <v>0</v>
      </c>
      <c r="V25">
        <v>-10.477622648191414</v>
      </c>
      <c r="W25">
        <v>-11.363923779589982</v>
      </c>
      <c r="X25">
        <v>164.54244655256548</v>
      </c>
      <c r="Y25">
        <v>409.09004364148984</v>
      </c>
      <c r="Z25">
        <v>646.81781225336761</v>
      </c>
      <c r="AA25">
        <v>866.09000758843638</v>
      </c>
      <c r="AC25" s="2"/>
    </row>
    <row r="26" spans="1:36" x14ac:dyDescent="0.25">
      <c r="T26" s="1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30" spans="1:36" x14ac:dyDescent="0.25">
      <c r="T30" s="15" t="s">
        <v>78</v>
      </c>
      <c r="U30">
        <v>0</v>
      </c>
      <c r="V30">
        <v>2</v>
      </c>
      <c r="W30">
        <v>4</v>
      </c>
      <c r="X30">
        <v>7</v>
      </c>
      <c r="Y30">
        <v>10</v>
      </c>
      <c r="Z30">
        <v>15</v>
      </c>
      <c r="AA30">
        <v>21</v>
      </c>
    </row>
    <row r="31" spans="1:36" x14ac:dyDescent="0.25">
      <c r="C31">
        <v>625.09245568918607</v>
      </c>
      <c r="D31">
        <v>968.78715810208223</v>
      </c>
      <c r="H31">
        <v>603.87704698080336</v>
      </c>
      <c r="I31">
        <v>626.26404141286343</v>
      </c>
      <c r="T31" t="s">
        <v>67</v>
      </c>
      <c r="U31" s="15">
        <v>0</v>
      </c>
      <c r="V31" s="15">
        <v>119.23365720000004</v>
      </c>
      <c r="W31" s="15">
        <v>185.36032360000002</v>
      </c>
      <c r="X31" s="15">
        <v>349.42846600000007</v>
      </c>
      <c r="Y31" s="15">
        <v>709.92709230000003</v>
      </c>
      <c r="Z31" s="15">
        <v>350.69276710000008</v>
      </c>
      <c r="AA31" s="15">
        <v>374.75225810000006</v>
      </c>
    </row>
    <row r="32" spans="1:36" x14ac:dyDescent="0.25">
      <c r="C32">
        <v>660.75216341723842</v>
      </c>
      <c r="D32">
        <v>1030.9022695923757</v>
      </c>
      <c r="H32">
        <v>631.83673771518272</v>
      </c>
      <c r="I32">
        <v>693.11948214979452</v>
      </c>
      <c r="T32" s="15" t="s">
        <v>69</v>
      </c>
      <c r="U32" s="15">
        <v>0</v>
      </c>
      <c r="V32" s="15">
        <v>-119.96632019999993</v>
      </c>
      <c r="W32" s="15">
        <v>-42.087501599999996</v>
      </c>
      <c r="X32" s="15">
        <v>92.978480600000012</v>
      </c>
      <c r="Y32" s="15">
        <v>408.83926259999998</v>
      </c>
      <c r="Z32" s="15">
        <v>766.52142359999993</v>
      </c>
      <c r="AA32" s="15">
        <v>887.46290160000012</v>
      </c>
    </row>
    <row r="33" spans="3:27" x14ac:dyDescent="0.25">
      <c r="C33">
        <v>614.60136288502974</v>
      </c>
      <c r="D33">
        <v>1468.4623310066791</v>
      </c>
      <c r="I33">
        <v>682.96898894285334</v>
      </c>
      <c r="T33" t="s">
        <v>70</v>
      </c>
      <c r="U33">
        <v>0</v>
      </c>
      <c r="V33">
        <v>-147.30957789999997</v>
      </c>
      <c r="W33">
        <v>-123.41500839999992</v>
      </c>
      <c r="X33">
        <v>-76.206870399999957</v>
      </c>
      <c r="Y33">
        <v>-102.47212179999997</v>
      </c>
      <c r="Z33">
        <v>-12.661862099999894</v>
      </c>
      <c r="AA33">
        <v>63.573790500000086</v>
      </c>
    </row>
    <row r="34" spans="3:27" x14ac:dyDescent="0.25">
      <c r="D34">
        <v>1502.3262425058008</v>
      </c>
      <c r="I34">
        <v>615.53470904837957</v>
      </c>
      <c r="T34" s="15" t="s">
        <v>71</v>
      </c>
      <c r="U34">
        <v>0</v>
      </c>
      <c r="V34">
        <v>-139.21315019999997</v>
      </c>
      <c r="W34">
        <v>-102.58363369999995</v>
      </c>
      <c r="X34">
        <v>-127.50828219999994</v>
      </c>
      <c r="Y34">
        <v>-111.9741679</v>
      </c>
      <c r="Z34">
        <v>103.49808150000001</v>
      </c>
      <c r="AA34">
        <v>49.897082700000055</v>
      </c>
    </row>
    <row r="35" spans="3:27" x14ac:dyDescent="0.25">
      <c r="D35">
        <v>1588.9933000516476</v>
      </c>
      <c r="I35">
        <v>687.78778912333144</v>
      </c>
      <c r="T35" t="s">
        <v>72</v>
      </c>
      <c r="U35">
        <v>0</v>
      </c>
      <c r="V35">
        <v>-81.890354699999989</v>
      </c>
      <c r="W35">
        <v>81.435002699999927</v>
      </c>
      <c r="X35">
        <v>280.52528919999997</v>
      </c>
      <c r="Y35">
        <v>334.39614649999999</v>
      </c>
      <c r="Z35">
        <v>593.00283209999986</v>
      </c>
      <c r="AA35">
        <v>904.02791409999998</v>
      </c>
    </row>
    <row r="36" spans="3:27" x14ac:dyDescent="0.25">
      <c r="D36">
        <v>1482.8497694422056</v>
      </c>
      <c r="I36">
        <v>661.99297438924953</v>
      </c>
    </row>
    <row r="37" spans="3:27" x14ac:dyDescent="0.25">
      <c r="D37">
        <v>1237.8347848475555</v>
      </c>
    </row>
    <row r="38" spans="3:27" x14ac:dyDescent="0.25">
      <c r="D38">
        <v>1479.3620575805626</v>
      </c>
    </row>
    <row r="39" spans="3:27" x14ac:dyDescent="0.25">
      <c r="D39">
        <v>1478.445793322981</v>
      </c>
    </row>
    <row r="40" spans="3:27" x14ac:dyDescent="0.25">
      <c r="D40">
        <v>1480.6913704734661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E4FE0-B09F-47D4-ADCF-92B85CF0890B}">
  <dimension ref="A1:AF49"/>
  <sheetViews>
    <sheetView zoomScale="70" zoomScaleNormal="70" workbookViewId="0">
      <selection activeCell="P8" sqref="P8"/>
    </sheetView>
  </sheetViews>
  <sheetFormatPr defaultRowHeight="13.8" x14ac:dyDescent="0.25"/>
  <sheetData>
    <row r="1" spans="1:32" x14ac:dyDescent="0.25">
      <c r="A1" t="s">
        <v>67</v>
      </c>
      <c r="B1" s="5"/>
      <c r="C1" s="5" t="s">
        <v>148</v>
      </c>
      <c r="D1" s="5"/>
      <c r="E1" s="5"/>
      <c r="F1" s="5"/>
      <c r="G1" s="5"/>
      <c r="H1" s="5"/>
      <c r="I1" s="5"/>
    </row>
    <row r="2" spans="1:32" x14ac:dyDescent="0.25">
      <c r="C2" s="3">
        <v>6.97</v>
      </c>
      <c r="D2" s="6">
        <v>5.5600000000000005</v>
      </c>
      <c r="E2" s="6">
        <v>5.74</v>
      </c>
      <c r="F2" s="6">
        <v>5.62</v>
      </c>
      <c r="G2" s="6">
        <v>5.37</v>
      </c>
      <c r="H2" s="6">
        <v>5.44</v>
      </c>
      <c r="I2">
        <v>6.96</v>
      </c>
      <c r="J2" s="3">
        <v>6.88</v>
      </c>
      <c r="K2" s="6">
        <v>5.44</v>
      </c>
      <c r="L2" s="6">
        <v>5.23</v>
      </c>
      <c r="M2" s="6">
        <v>5.32</v>
      </c>
      <c r="N2" s="6">
        <v>5.25</v>
      </c>
      <c r="O2" s="6">
        <v>5.52</v>
      </c>
      <c r="P2" s="3">
        <v>6.91</v>
      </c>
      <c r="Q2" s="6">
        <v>5.49</v>
      </c>
      <c r="T2" s="6"/>
    </row>
    <row r="3" spans="1:32" x14ac:dyDescent="0.25">
      <c r="C3" s="3">
        <v>253.84615384615398</v>
      </c>
      <c r="D3">
        <v>-112.70270270270274</v>
      </c>
      <c r="E3">
        <v>-22.162162162162161</v>
      </c>
      <c r="F3">
        <v>-36.15686274509801</v>
      </c>
      <c r="G3">
        <v>-24.715510522213563</v>
      </c>
      <c r="H3">
        <v>-38.049143708116162</v>
      </c>
      <c r="I3">
        <v>23.076923076923009</v>
      </c>
      <c r="J3" s="3">
        <v>269.23076923076928</v>
      </c>
      <c r="K3">
        <v>-196.75675675675677</v>
      </c>
      <c r="L3">
        <v>-20.360360360360346</v>
      </c>
      <c r="M3">
        <v>-8.0784313725490193</v>
      </c>
      <c r="N3">
        <v>4.2088854247856631</v>
      </c>
      <c r="O3">
        <v>2.1518987341772089</v>
      </c>
      <c r="P3" s="3">
        <v>499.99999999999972</v>
      </c>
      <c r="Q3">
        <v>-172.43243243243245</v>
      </c>
      <c r="T3" s="6"/>
    </row>
    <row r="4" spans="1:32" x14ac:dyDescent="0.25">
      <c r="T4" s="6"/>
      <c r="AF4" s="6"/>
    </row>
    <row r="5" spans="1:32" x14ac:dyDescent="0.25">
      <c r="T5" s="6"/>
    </row>
    <row r="6" spans="1:32" x14ac:dyDescent="0.25">
      <c r="A6" t="s">
        <v>69</v>
      </c>
      <c r="B6" t="s">
        <v>42</v>
      </c>
      <c r="AF6" s="6"/>
    </row>
    <row r="7" spans="1:32" x14ac:dyDescent="0.25">
      <c r="AF7" s="6"/>
    </row>
    <row r="8" spans="1:32" x14ac:dyDescent="0.25">
      <c r="C8">
        <v>4.42</v>
      </c>
      <c r="D8" s="6">
        <v>4.45</v>
      </c>
      <c r="E8" s="6">
        <v>4.57</v>
      </c>
      <c r="F8" s="6">
        <v>4.6500000000000004</v>
      </c>
      <c r="G8" s="6">
        <v>4.46</v>
      </c>
      <c r="H8" s="6">
        <v>4.46</v>
      </c>
      <c r="I8" s="6">
        <v>4.22</v>
      </c>
      <c r="J8" s="6">
        <v>4.4400000000000004</v>
      </c>
      <c r="K8" s="6">
        <v>4.2300000000000004</v>
      </c>
      <c r="L8" s="6">
        <v>4.34</v>
      </c>
      <c r="M8" s="6">
        <v>4.37</v>
      </c>
      <c r="N8">
        <v>4.4800000000000004</v>
      </c>
      <c r="O8" s="6">
        <v>4.3099999999999996</v>
      </c>
      <c r="P8" s="6">
        <v>4.17</v>
      </c>
      <c r="Q8" s="6">
        <v>4.71</v>
      </c>
      <c r="R8" s="6">
        <v>4.51</v>
      </c>
      <c r="S8" s="6">
        <v>4.4800000000000004</v>
      </c>
      <c r="T8">
        <v>4.24</v>
      </c>
      <c r="U8" s="6">
        <v>4.37</v>
      </c>
      <c r="V8" s="6">
        <v>4.07</v>
      </c>
      <c r="W8" s="6">
        <v>4.55</v>
      </c>
      <c r="X8" s="6">
        <v>4.2300000000000004</v>
      </c>
      <c r="Y8" s="6">
        <v>4.2699999999999996</v>
      </c>
      <c r="AF8" s="10"/>
    </row>
    <row r="9" spans="1:32" x14ac:dyDescent="0.25">
      <c r="C9">
        <v>12.349045578496302</v>
      </c>
      <c r="D9">
        <v>0.21588946459412739</v>
      </c>
      <c r="E9">
        <v>33.903452685421996</v>
      </c>
      <c r="F9">
        <v>36.041979010494764</v>
      </c>
      <c r="G9">
        <v>51.984908136482936</v>
      </c>
      <c r="H9">
        <v>61.146110976496246</v>
      </c>
      <c r="I9">
        <v>12.046632124352328</v>
      </c>
      <c r="J9">
        <v>34.382992327365741</v>
      </c>
      <c r="K9">
        <v>34.407796101949032</v>
      </c>
      <c r="L9">
        <v>53.428477690288716</v>
      </c>
      <c r="M9">
        <v>59.510540344075608</v>
      </c>
      <c r="N9">
        <v>3.4281262173743698</v>
      </c>
      <c r="O9">
        <v>18.631260794473221</v>
      </c>
      <c r="P9">
        <v>36.90856777493606</v>
      </c>
      <c r="Q9">
        <v>37.511244377811096</v>
      </c>
      <c r="R9">
        <v>54.10104986876641</v>
      </c>
      <c r="S9">
        <v>61.558032469105882</v>
      </c>
      <c r="T9">
        <v>2.6490066225165521</v>
      </c>
      <c r="U9">
        <v>14.658894645941274</v>
      </c>
      <c r="V9">
        <v>33.663682864450124</v>
      </c>
      <c r="W9">
        <v>37.001499250374813</v>
      </c>
      <c r="X9">
        <v>50.295275590551185</v>
      </c>
      <c r="Y9">
        <v>61.037072934334866</v>
      </c>
      <c r="AF9" s="6"/>
    </row>
    <row r="10" spans="1:32" x14ac:dyDescent="0.25">
      <c r="AF10" s="6"/>
    </row>
    <row r="11" spans="1:32" x14ac:dyDescent="0.25">
      <c r="A11" t="s">
        <v>70</v>
      </c>
      <c r="B11" t="s">
        <v>43</v>
      </c>
    </row>
    <row r="12" spans="1:32" x14ac:dyDescent="0.25">
      <c r="AE12" s="6"/>
    </row>
    <row r="13" spans="1:32" x14ac:dyDescent="0.25">
      <c r="B13" s="6">
        <v>6.915</v>
      </c>
      <c r="C13">
        <v>5.19</v>
      </c>
      <c r="D13" s="6">
        <v>7.63</v>
      </c>
      <c r="E13" s="6">
        <v>7.18</v>
      </c>
      <c r="F13" s="6">
        <v>8.3800000000000008</v>
      </c>
      <c r="G13" s="10">
        <v>8.3000000000000007</v>
      </c>
      <c r="H13" s="6">
        <v>8.26</v>
      </c>
      <c r="I13" s="6">
        <v>6.915</v>
      </c>
      <c r="J13">
        <v>5.23</v>
      </c>
      <c r="K13" s="12">
        <v>7.65</v>
      </c>
      <c r="L13" s="6">
        <v>7.25</v>
      </c>
      <c r="M13" s="6">
        <v>8.11</v>
      </c>
      <c r="N13" s="6">
        <v>8.2200000000000006</v>
      </c>
      <c r="O13" s="6">
        <v>8.2200000000000006</v>
      </c>
      <c r="P13" s="6">
        <v>6.915</v>
      </c>
      <c r="Q13">
        <v>5.18</v>
      </c>
      <c r="R13" s="12">
        <v>7.76</v>
      </c>
      <c r="S13" s="6">
        <v>7.44</v>
      </c>
      <c r="T13" s="6">
        <v>8.27</v>
      </c>
      <c r="U13" s="6">
        <v>8.41</v>
      </c>
      <c r="V13" s="6">
        <v>8.42</v>
      </c>
      <c r="W13" s="6">
        <v>6.915</v>
      </c>
      <c r="X13">
        <v>5.25</v>
      </c>
      <c r="AE13" s="6"/>
    </row>
    <row r="14" spans="1:32" x14ac:dyDescent="0.25">
      <c r="B14">
        <v>53.124999999999957</v>
      </c>
      <c r="C14">
        <v>29.115744069015108</v>
      </c>
      <c r="D14">
        <v>-124.45625906234898</v>
      </c>
      <c r="E14">
        <v>13.985798085828961</v>
      </c>
      <c r="F14">
        <v>15.682261208577003</v>
      </c>
      <c r="G14">
        <v>52.048585931834658</v>
      </c>
      <c r="H14">
        <v>74.538216560509554</v>
      </c>
      <c r="I14">
        <v>47.916666666666622</v>
      </c>
      <c r="J14">
        <v>32.997843278217118</v>
      </c>
      <c r="K14">
        <v>-7.0082165297244927</v>
      </c>
      <c r="L14">
        <v>13.358032314500363</v>
      </c>
      <c r="M14">
        <v>25.26315789473685</v>
      </c>
      <c r="N14">
        <v>60.469543147208114</v>
      </c>
      <c r="O14">
        <v>79.363057324840767</v>
      </c>
      <c r="P14">
        <v>57.291666666666671</v>
      </c>
      <c r="Q14">
        <v>44.931703810208489</v>
      </c>
      <c r="R14">
        <v>-36.249395843402624</v>
      </c>
      <c r="S14">
        <v>20.026757229597621</v>
      </c>
      <c r="T14">
        <v>26.111111111111114</v>
      </c>
      <c r="U14">
        <v>63.75997099347353</v>
      </c>
      <c r="V14">
        <v>78.136942675159247</v>
      </c>
      <c r="W14">
        <v>22.9166666666667</v>
      </c>
      <c r="X14">
        <v>75.988497483824602</v>
      </c>
      <c r="AE14" s="6"/>
    </row>
    <row r="15" spans="1:32" x14ac:dyDescent="0.25">
      <c r="AE15" s="6"/>
    </row>
    <row r="16" spans="1:32" x14ac:dyDescent="0.25">
      <c r="A16" t="s">
        <v>71</v>
      </c>
      <c r="B16" t="s">
        <v>150</v>
      </c>
      <c r="AE16" s="6"/>
      <c r="AF16" s="6"/>
    </row>
    <row r="17" spans="1:32" x14ac:dyDescent="0.25">
      <c r="AE17" s="6"/>
    </row>
    <row r="18" spans="1:32" x14ac:dyDescent="0.25">
      <c r="B18" s="6">
        <v>6.915</v>
      </c>
      <c r="C18">
        <v>5.09</v>
      </c>
      <c r="D18" s="6">
        <v>7.5600000000000005</v>
      </c>
      <c r="E18" s="6">
        <v>8.36</v>
      </c>
      <c r="F18" s="6">
        <v>8.84</v>
      </c>
      <c r="G18" s="6">
        <v>7.48</v>
      </c>
      <c r="H18" s="6">
        <v>7.03</v>
      </c>
      <c r="I18" s="6">
        <v>6.915</v>
      </c>
      <c r="J18">
        <v>5.04</v>
      </c>
      <c r="K18" s="6">
        <v>7.23</v>
      </c>
      <c r="L18" s="6">
        <v>8.11</v>
      </c>
      <c r="M18" s="6">
        <v>8.5399999999999991</v>
      </c>
      <c r="N18" s="6">
        <v>7.62</v>
      </c>
      <c r="O18" s="6">
        <v>7.11</v>
      </c>
      <c r="P18" s="6">
        <v>6.915</v>
      </c>
      <c r="Q18">
        <v>5</v>
      </c>
      <c r="R18" s="6">
        <v>7.11</v>
      </c>
      <c r="S18" s="6">
        <v>7.87</v>
      </c>
      <c r="T18" s="6">
        <v>8.33</v>
      </c>
      <c r="U18" s="6">
        <v>7.23</v>
      </c>
      <c r="V18" s="6">
        <v>6.98</v>
      </c>
      <c r="W18" s="6">
        <v>6.915</v>
      </c>
      <c r="X18">
        <v>5.1100000000000003</v>
      </c>
      <c r="Y18" s="6">
        <v>7.27</v>
      </c>
      <c r="AE18" s="6"/>
      <c r="AF18" s="6"/>
    </row>
    <row r="19" spans="1:32" x14ac:dyDescent="0.25">
      <c r="B19">
        <v>-65.048543689320411</v>
      </c>
      <c r="C19">
        <v>10.692019950124688</v>
      </c>
      <c r="D19">
        <v>-58.989123480486228</v>
      </c>
      <c r="E19">
        <v>-221.97940216026126</v>
      </c>
      <c r="F19">
        <v>-197.80891719745222</v>
      </c>
      <c r="G19">
        <v>5.0014841199168814</v>
      </c>
      <c r="H19">
        <v>36.198898231371402</v>
      </c>
      <c r="I19">
        <v>-1.941747572815558</v>
      </c>
      <c r="J19">
        <v>2.3690773067331747</v>
      </c>
      <c r="K19">
        <v>-78.012369375133289</v>
      </c>
      <c r="L19">
        <v>-186.23461441848781</v>
      </c>
      <c r="M19">
        <v>-126.11464968152865</v>
      </c>
      <c r="N19">
        <v>44.864945087563072</v>
      </c>
      <c r="O19">
        <v>62.742824006958536</v>
      </c>
      <c r="P19">
        <v>0</v>
      </c>
      <c r="Q19">
        <v>11.720698254364081</v>
      </c>
      <c r="R19">
        <v>-49.584133077415231</v>
      </c>
      <c r="S19">
        <v>-195.88043205224818</v>
      </c>
      <c r="T19">
        <v>-161.42675159235671</v>
      </c>
      <c r="U19">
        <v>28.643514395963194</v>
      </c>
      <c r="V19">
        <v>49.434618730066681</v>
      </c>
      <c r="W19">
        <v>0</v>
      </c>
      <c r="X19">
        <v>21.602244389027447</v>
      </c>
      <c r="Y19">
        <v>-65.451055662188111</v>
      </c>
      <c r="AE19" s="6"/>
      <c r="AF19" s="6"/>
    </row>
    <row r="20" spans="1:32" x14ac:dyDescent="0.25">
      <c r="AE20" s="6"/>
      <c r="AF20" s="6"/>
    </row>
    <row r="21" spans="1:32" x14ac:dyDescent="0.25">
      <c r="A21" t="s">
        <v>72</v>
      </c>
      <c r="B21" t="s">
        <v>149</v>
      </c>
      <c r="AE21" s="6"/>
      <c r="AF21" s="6"/>
    </row>
    <row r="22" spans="1:32" x14ac:dyDescent="0.25">
      <c r="AE22" s="6"/>
    </row>
    <row r="23" spans="1:32" x14ac:dyDescent="0.25">
      <c r="B23" s="6">
        <v>6.915</v>
      </c>
      <c r="C23">
        <v>4.3099999999999996</v>
      </c>
      <c r="D23" s="6">
        <v>4.22</v>
      </c>
      <c r="E23" s="6">
        <v>4.29</v>
      </c>
      <c r="F23" s="10">
        <v>4.3600000000000003</v>
      </c>
      <c r="G23" s="6">
        <v>4.21</v>
      </c>
      <c r="H23" s="6">
        <v>4.37</v>
      </c>
      <c r="I23" s="6">
        <v>6.915</v>
      </c>
      <c r="J23">
        <v>4.38</v>
      </c>
      <c r="K23" s="6">
        <v>4.17</v>
      </c>
      <c r="L23" s="6">
        <v>4.24</v>
      </c>
      <c r="M23" s="6">
        <v>4.17</v>
      </c>
      <c r="N23" s="6">
        <v>4.42</v>
      </c>
      <c r="O23" s="6">
        <v>4.24</v>
      </c>
      <c r="P23" s="6">
        <v>6.915</v>
      </c>
      <c r="Q23">
        <v>4.38</v>
      </c>
      <c r="R23" s="6">
        <v>4.32</v>
      </c>
      <c r="S23" s="6">
        <v>4.43</v>
      </c>
      <c r="T23" s="6">
        <v>4.22</v>
      </c>
      <c r="U23" s="6">
        <v>4.37</v>
      </c>
      <c r="V23" s="6">
        <v>4.3499999999999996</v>
      </c>
      <c r="W23" s="6">
        <v>6.915</v>
      </c>
      <c r="X23">
        <v>4.2699999999999996</v>
      </c>
      <c r="Y23" s="6">
        <v>4.21</v>
      </c>
      <c r="Z23" s="6">
        <v>4.32</v>
      </c>
      <c r="AA23" s="6">
        <v>4.51</v>
      </c>
      <c r="AB23" s="6">
        <v>4.22</v>
      </c>
      <c r="AC23" s="6">
        <v>4.42</v>
      </c>
    </row>
    <row r="24" spans="1:32" x14ac:dyDescent="0.25">
      <c r="B24">
        <v>-23.107569721115539</v>
      </c>
      <c r="C24">
        <v>4.7175088569830308</v>
      </c>
      <c r="D24">
        <v>59.873728516310067</v>
      </c>
      <c r="E24">
        <v>38.176784249384745</v>
      </c>
      <c r="F24">
        <v>39.309094571457351</v>
      </c>
      <c r="G24">
        <v>57.713736791546587</v>
      </c>
      <c r="H24">
        <v>61.599442460144608</v>
      </c>
      <c r="I24">
        <v>-21.115537848605584</v>
      </c>
      <c r="J24">
        <v>13.071042327055764</v>
      </c>
      <c r="K24">
        <v>57.137846369694842</v>
      </c>
      <c r="L24">
        <v>44.237079573420822</v>
      </c>
      <c r="M24">
        <v>47.44687279685769</v>
      </c>
      <c r="N24">
        <v>67.39673390970222</v>
      </c>
      <c r="O24">
        <v>76.095478700235219</v>
      </c>
      <c r="P24">
        <v>-34.860557768924281</v>
      </c>
      <c r="Q24">
        <v>9.2858474734290581</v>
      </c>
      <c r="R24">
        <v>60.551853150941184</v>
      </c>
      <c r="S24">
        <v>29.891304347826093</v>
      </c>
      <c r="T24">
        <v>38.221371739349372</v>
      </c>
      <c r="U24">
        <v>54.178674351585016</v>
      </c>
      <c r="V24">
        <v>55.170311002700579</v>
      </c>
      <c r="W24">
        <v>-59.760956175298787</v>
      </c>
      <c r="X24">
        <v>9.7333581950400827</v>
      </c>
      <c r="Y24">
        <v>33.438559569741599</v>
      </c>
      <c r="Z24">
        <v>26.045939294503697</v>
      </c>
      <c r="AA24">
        <v>35.844495921039382</v>
      </c>
      <c r="AB24">
        <v>48.664745437079723</v>
      </c>
      <c r="AC24">
        <v>72.724104887185291</v>
      </c>
      <c r="AE24" s="6"/>
    </row>
    <row r="25" spans="1:32" x14ac:dyDescent="0.25">
      <c r="AE25" s="6"/>
    </row>
    <row r="26" spans="1:32" x14ac:dyDescent="0.25">
      <c r="AE26" s="10"/>
    </row>
    <row r="27" spans="1:32" x14ac:dyDescent="0.25">
      <c r="B27" s="6"/>
      <c r="C27" s="6"/>
      <c r="AE27" s="6"/>
    </row>
    <row r="28" spans="1:32" x14ac:dyDescent="0.25">
      <c r="B28" s="6"/>
      <c r="AE28" s="6"/>
    </row>
    <row r="29" spans="1:32" x14ac:dyDescent="0.25">
      <c r="B29" s="6"/>
      <c r="D29" s="6"/>
      <c r="E29" s="6"/>
      <c r="F29" s="6"/>
      <c r="G29" s="6"/>
      <c r="H29" s="6"/>
      <c r="AE29" s="6"/>
    </row>
    <row r="30" spans="1:32" x14ac:dyDescent="0.25">
      <c r="B30" s="6"/>
    </row>
    <row r="31" spans="1:32" x14ac:dyDescent="0.25">
      <c r="B31" s="6"/>
      <c r="E31" s="6"/>
      <c r="F31" s="6"/>
      <c r="G31" s="6"/>
      <c r="H31" s="6"/>
      <c r="AE31" s="6"/>
    </row>
    <row r="32" spans="1:32" x14ac:dyDescent="0.25">
      <c r="B32" s="6"/>
      <c r="AE32" s="6"/>
    </row>
    <row r="33" spans="1:31" x14ac:dyDescent="0.25">
      <c r="B33" s="6"/>
      <c r="AE33" s="6"/>
    </row>
    <row r="34" spans="1:31" x14ac:dyDescent="0.25">
      <c r="B34" s="6"/>
      <c r="AE34" s="6"/>
    </row>
    <row r="35" spans="1:31" x14ac:dyDescent="0.25">
      <c r="B35" s="6"/>
      <c r="AE35" s="6"/>
    </row>
    <row r="36" spans="1:31" x14ac:dyDescent="0.25">
      <c r="A36" s="6"/>
      <c r="B36" s="6"/>
      <c r="AE36" s="6"/>
    </row>
    <row r="37" spans="1:31" x14ac:dyDescent="0.25">
      <c r="B37" s="6"/>
    </row>
    <row r="38" spans="1:31" x14ac:dyDescent="0.25">
      <c r="AE38" s="6"/>
    </row>
    <row r="39" spans="1:31" x14ac:dyDescent="0.25">
      <c r="AE39" s="6"/>
    </row>
    <row r="40" spans="1:31" x14ac:dyDescent="0.25">
      <c r="AE40" s="6"/>
    </row>
    <row r="41" spans="1:31" x14ac:dyDescent="0.25">
      <c r="AE41" s="6"/>
    </row>
    <row r="42" spans="1:31" x14ac:dyDescent="0.25">
      <c r="B42" s="6"/>
      <c r="AE42" s="6"/>
    </row>
    <row r="43" spans="1:31" x14ac:dyDescent="0.25">
      <c r="AE43" s="6"/>
    </row>
    <row r="45" spans="1:31" x14ac:dyDescent="0.25">
      <c r="AE45" s="6"/>
    </row>
    <row r="46" spans="1:31" x14ac:dyDescent="0.25">
      <c r="E46" s="6"/>
      <c r="AE46" s="6"/>
    </row>
    <row r="47" spans="1:31" x14ac:dyDescent="0.25">
      <c r="B47" s="6"/>
      <c r="AE47" s="6"/>
    </row>
    <row r="48" spans="1:31" x14ac:dyDescent="0.25">
      <c r="AE48" s="6"/>
    </row>
    <row r="49" spans="31:31" x14ac:dyDescent="0.25">
      <c r="AE49" s="6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4934B-A5FE-48DB-AF3C-662B7EEF8D5A}">
  <dimension ref="A1:AD77"/>
  <sheetViews>
    <sheetView topLeftCell="A10" zoomScale="72" zoomScaleNormal="72" workbookViewId="0">
      <selection activeCell="Q14" sqref="Q14"/>
    </sheetView>
  </sheetViews>
  <sheetFormatPr defaultRowHeight="13.8" x14ac:dyDescent="0.25"/>
  <sheetData>
    <row r="1" spans="1:30" ht="20.399999999999999" x14ac:dyDescent="0.35">
      <c r="A1" s="13"/>
      <c r="B1" s="14"/>
      <c r="C1" s="14"/>
      <c r="D1" s="14"/>
      <c r="E1" s="14"/>
    </row>
    <row r="2" spans="1:30" x14ac:dyDescent="0.25">
      <c r="A2" t="s">
        <v>67</v>
      </c>
      <c r="B2" s="6"/>
      <c r="C2" s="6" t="s">
        <v>50</v>
      </c>
      <c r="R2" s="5"/>
      <c r="S2" s="5"/>
      <c r="U2" s="5"/>
      <c r="V2" s="5"/>
      <c r="AD2" s="6"/>
    </row>
    <row r="3" spans="1:30" x14ac:dyDescent="0.25">
      <c r="C3" s="6">
        <v>1.9559999999999997</v>
      </c>
      <c r="D3">
        <v>1.9559999999999997</v>
      </c>
      <c r="E3">
        <v>2.7959999999999998</v>
      </c>
      <c r="F3">
        <v>4.5960000000000001</v>
      </c>
      <c r="G3">
        <v>4.476</v>
      </c>
      <c r="H3">
        <v>4.5960000000000001</v>
      </c>
      <c r="I3" s="6">
        <v>2.1959999999999997</v>
      </c>
      <c r="J3">
        <v>1.7159999999999997</v>
      </c>
      <c r="K3">
        <v>2.7959999999999998</v>
      </c>
      <c r="L3">
        <v>3.8759999999999994</v>
      </c>
      <c r="M3">
        <v>4.1159999999999997</v>
      </c>
      <c r="N3">
        <v>4.1159999999999997</v>
      </c>
      <c r="O3" s="6">
        <v>2.7959999999999998</v>
      </c>
      <c r="P3">
        <v>1.8359999999999996</v>
      </c>
    </row>
    <row r="4" spans="1:30" x14ac:dyDescent="0.25">
      <c r="C4">
        <v>0.39603960396038929</v>
      </c>
      <c r="D4">
        <v>-20.833333333333329</v>
      </c>
      <c r="E4">
        <v>-36.15686274509801</v>
      </c>
      <c r="F4">
        <v>22.833333333333329</v>
      </c>
      <c r="G4">
        <v>-24.715510522213563</v>
      </c>
      <c r="H4">
        <v>-38.049143708116162</v>
      </c>
      <c r="I4">
        <v>-93.861386138613881</v>
      </c>
      <c r="J4">
        <v>-32.127192982456108</v>
      </c>
      <c r="K4">
        <v>-8.0784313725490193</v>
      </c>
      <c r="L4">
        <v>-45.5</v>
      </c>
      <c r="M4">
        <v>4.2088854247856631</v>
      </c>
      <c r="N4">
        <v>2.1518987341772089</v>
      </c>
      <c r="O4">
        <v>-55.247524752475243</v>
      </c>
      <c r="P4">
        <v>-32.456140350877206</v>
      </c>
    </row>
    <row r="5" spans="1:30" x14ac:dyDescent="0.25">
      <c r="I5" s="5"/>
    </row>
    <row r="6" spans="1:30" x14ac:dyDescent="0.25">
      <c r="I6" s="5"/>
    </row>
    <row r="7" spans="1:30" x14ac:dyDescent="0.25">
      <c r="A7" t="s">
        <v>69</v>
      </c>
      <c r="B7" s="6"/>
      <c r="C7" t="s">
        <v>41</v>
      </c>
      <c r="I7" s="5"/>
    </row>
    <row r="8" spans="1:30" x14ac:dyDescent="0.25">
      <c r="C8" s="6">
        <v>2.1959999999999997</v>
      </c>
      <c r="D8">
        <v>2.4359999999999995</v>
      </c>
      <c r="E8">
        <v>2.5559999999999996</v>
      </c>
      <c r="F8">
        <v>4.2359999999999998</v>
      </c>
      <c r="G8">
        <v>3.7559999999999998</v>
      </c>
      <c r="H8">
        <v>4.7159999999999993</v>
      </c>
      <c r="I8" s="6">
        <v>3.5159999999999996</v>
      </c>
      <c r="J8">
        <v>3.7559999999999998</v>
      </c>
      <c r="K8" s="14">
        <v>4.476</v>
      </c>
      <c r="L8">
        <v>4.3559999999999999</v>
      </c>
      <c r="M8">
        <v>4.2359999999999998</v>
      </c>
      <c r="N8" s="6">
        <v>2.6759999999999997</v>
      </c>
      <c r="O8">
        <v>2.6759999999999997</v>
      </c>
      <c r="P8">
        <v>2.5559999999999996</v>
      </c>
      <c r="Q8">
        <v>4.2359999999999998</v>
      </c>
      <c r="R8">
        <v>3.6359999999999997</v>
      </c>
      <c r="S8">
        <v>5.1959999999999988</v>
      </c>
      <c r="T8" s="6">
        <v>2.5559999999999996</v>
      </c>
      <c r="U8">
        <v>2.7959999999999998</v>
      </c>
      <c r="V8">
        <v>3.5159999999999996</v>
      </c>
      <c r="W8">
        <v>3.9959999999999996</v>
      </c>
      <c r="X8">
        <v>4.1159999999999997</v>
      </c>
      <c r="Y8">
        <v>4.7159999999999993</v>
      </c>
      <c r="AD8" s="6"/>
    </row>
    <row r="9" spans="1:30" x14ac:dyDescent="0.25">
      <c r="C9">
        <v>6.0033484812245916</v>
      </c>
      <c r="D9">
        <v>28.087932943223151</v>
      </c>
      <c r="E9">
        <v>36.041979010494764</v>
      </c>
      <c r="F9">
        <v>26.288308740068118</v>
      </c>
      <c r="G9">
        <v>51.984908136482936</v>
      </c>
      <c r="H9">
        <v>61.146110976496246</v>
      </c>
      <c r="I9">
        <v>10.356374073188235</v>
      </c>
      <c r="J9">
        <v>34.407796101949032</v>
      </c>
      <c r="K9" s="14">
        <v>19.023836549375702</v>
      </c>
      <c r="L9">
        <v>53.428477690288716</v>
      </c>
      <c r="M9">
        <v>59.510540344075608</v>
      </c>
      <c r="N9">
        <v>20.951925376704139</v>
      </c>
      <c r="O9">
        <v>29.906689862407077</v>
      </c>
      <c r="P9">
        <v>37.511244377811096</v>
      </c>
      <c r="Q9">
        <v>25.539160045402951</v>
      </c>
      <c r="R9">
        <v>54.10104986876641</v>
      </c>
      <c r="S9">
        <v>61.558032469105882</v>
      </c>
      <c r="T9">
        <v>5.5728294666347864</v>
      </c>
      <c r="U9">
        <v>30.55511624229004</v>
      </c>
      <c r="V9">
        <v>37.001499250374813</v>
      </c>
      <c r="W9">
        <v>19.591373439273553</v>
      </c>
      <c r="X9">
        <v>50.295275590551185</v>
      </c>
      <c r="Y9">
        <v>61.037072934334866</v>
      </c>
    </row>
    <row r="11" spans="1:30" x14ac:dyDescent="0.25">
      <c r="A11" s="6"/>
      <c r="I11" s="5"/>
    </row>
    <row r="12" spans="1:30" x14ac:dyDescent="0.25">
      <c r="A12" t="s">
        <v>70</v>
      </c>
      <c r="B12" s="6"/>
      <c r="C12" t="s">
        <v>149</v>
      </c>
      <c r="I12" s="5"/>
    </row>
    <row r="13" spans="1:30" x14ac:dyDescent="0.25">
      <c r="C13" s="6">
        <v>2.3159999999999998</v>
      </c>
      <c r="D13">
        <v>1.7159999999999997</v>
      </c>
      <c r="E13">
        <v>2.4359999999999995</v>
      </c>
      <c r="F13">
        <v>3.8759999999999994</v>
      </c>
      <c r="G13">
        <v>4.1159999999999997</v>
      </c>
      <c r="H13">
        <v>4.3559999999999999</v>
      </c>
      <c r="I13" s="6">
        <v>2.5559999999999996</v>
      </c>
      <c r="J13">
        <v>2.1959999999999997</v>
      </c>
      <c r="K13">
        <v>3.0359999999999996</v>
      </c>
      <c r="L13">
        <v>3.9959999999999996</v>
      </c>
      <c r="M13">
        <v>3.8759999999999994</v>
      </c>
      <c r="N13">
        <v>4.5960000000000001</v>
      </c>
      <c r="O13" s="6">
        <v>2.6759999999999997</v>
      </c>
      <c r="P13">
        <v>2.5559999999999996</v>
      </c>
      <c r="Q13">
        <v>2.6759999999999997</v>
      </c>
      <c r="R13">
        <v>3.5159999999999996</v>
      </c>
      <c r="S13">
        <v>4.1159999999999997</v>
      </c>
      <c r="T13">
        <v>5.0759999999999996</v>
      </c>
    </row>
    <row r="14" spans="1:30" x14ac:dyDescent="0.25">
      <c r="C14">
        <v>14.859568909209671</v>
      </c>
      <c r="D14">
        <v>2.97134397800572</v>
      </c>
      <c r="E14">
        <v>15.682261208577003</v>
      </c>
      <c r="F14">
        <v>18.956703182055307</v>
      </c>
      <c r="G14">
        <v>52.048585931834658</v>
      </c>
      <c r="H14">
        <v>74.538216560509554</v>
      </c>
      <c r="I14">
        <v>39.875898105813199</v>
      </c>
      <c r="J14">
        <v>27.725494342814855</v>
      </c>
      <c r="K14">
        <v>25.26315789473685</v>
      </c>
      <c r="L14">
        <v>38.591549295774655</v>
      </c>
      <c r="M14">
        <v>60.469543147208114</v>
      </c>
      <c r="N14">
        <v>79.363057324840767</v>
      </c>
      <c r="O14">
        <v>46.47289353363815</v>
      </c>
      <c r="P14">
        <v>12.012266046314906</v>
      </c>
      <c r="Q14">
        <v>26.111111111111114</v>
      </c>
      <c r="R14">
        <v>31.23630672926447</v>
      </c>
      <c r="S14">
        <v>63.75997099347353</v>
      </c>
      <c r="T14">
        <v>78.136942675159247</v>
      </c>
      <c r="AD14" s="6"/>
    </row>
    <row r="15" spans="1:30" x14ac:dyDescent="0.25">
      <c r="I15" s="5"/>
    </row>
    <row r="17" spans="1:25" x14ac:dyDescent="0.25">
      <c r="A17" t="s">
        <v>71</v>
      </c>
      <c r="B17" s="6"/>
      <c r="C17" t="s">
        <v>51</v>
      </c>
      <c r="I17" s="5"/>
    </row>
    <row r="18" spans="1:25" x14ac:dyDescent="0.25">
      <c r="B18" s="6"/>
      <c r="C18" s="6">
        <v>2.1959999999999997</v>
      </c>
      <c r="D18">
        <v>1.5959999999999996</v>
      </c>
      <c r="E18" s="3">
        <v>2.5559999999999996</v>
      </c>
      <c r="F18">
        <v>3.8759999999999994</v>
      </c>
      <c r="G18">
        <v>3.9959999999999996</v>
      </c>
      <c r="H18">
        <v>4.7159999999999993</v>
      </c>
      <c r="I18" s="6">
        <v>1.9559999999999997</v>
      </c>
      <c r="J18">
        <v>1.8359999999999996</v>
      </c>
      <c r="K18">
        <v>2.5559999999999996</v>
      </c>
      <c r="L18">
        <v>3.8759999999999994</v>
      </c>
      <c r="M18">
        <v>4.3559999999999999</v>
      </c>
      <c r="N18">
        <v>4.5960000000000001</v>
      </c>
      <c r="O18" s="6">
        <v>2.5559999999999996</v>
      </c>
      <c r="P18">
        <v>1.5959999999999996</v>
      </c>
      <c r="Q18">
        <v>4.1159999999999997</v>
      </c>
      <c r="R18">
        <v>4.7159999999999993</v>
      </c>
      <c r="S18">
        <v>4.476</v>
      </c>
      <c r="T18" s="6">
        <v>2.1959999999999997</v>
      </c>
    </row>
    <row r="19" spans="1:25" x14ac:dyDescent="0.25">
      <c r="B19" s="6"/>
      <c r="C19">
        <v>-55.094679891794414</v>
      </c>
      <c r="D19">
        <v>-40.29212682579265</v>
      </c>
      <c r="E19" s="3">
        <v>-197.80891719745222</v>
      </c>
      <c r="F19">
        <v>-61.528150134048275</v>
      </c>
      <c r="G19">
        <v>5.0014841199168814</v>
      </c>
      <c r="H19">
        <v>36.198898231371402</v>
      </c>
      <c r="I19">
        <v>-64.697926059513065</v>
      </c>
      <c r="J19">
        <v>-34.093338083363022</v>
      </c>
      <c r="K19">
        <v>-126.11464968152865</v>
      </c>
      <c r="L19">
        <v>-12.064343163538879</v>
      </c>
      <c r="M19">
        <v>44.864945087563072</v>
      </c>
      <c r="N19">
        <v>62.742824006958536</v>
      </c>
      <c r="O19">
        <v>-57.642019837691606</v>
      </c>
      <c r="P19">
        <v>-38.807742548390934</v>
      </c>
      <c r="Q19">
        <v>-34.349865951742629</v>
      </c>
      <c r="R19">
        <v>28.643514395963194</v>
      </c>
      <c r="S19">
        <v>49.434618730066681</v>
      </c>
      <c r="T19">
        <v>-68.101893597835897</v>
      </c>
    </row>
    <row r="20" spans="1:25" x14ac:dyDescent="0.25">
      <c r="B20" s="6"/>
    </row>
    <row r="21" spans="1:25" x14ac:dyDescent="0.25">
      <c r="B21" s="6"/>
      <c r="D21" s="6"/>
      <c r="E21" s="6"/>
    </row>
    <row r="22" spans="1:25" x14ac:dyDescent="0.25">
      <c r="A22" t="s">
        <v>72</v>
      </c>
      <c r="B22" s="6"/>
      <c r="C22" t="s">
        <v>52</v>
      </c>
    </row>
    <row r="23" spans="1:25" x14ac:dyDescent="0.25">
      <c r="B23" s="6"/>
      <c r="C23" s="6">
        <v>2.1959999999999997</v>
      </c>
      <c r="D23">
        <v>3.0359999999999996</v>
      </c>
      <c r="E23">
        <v>2.9159999999999995</v>
      </c>
      <c r="F23">
        <v>3.7559999999999998</v>
      </c>
      <c r="G23">
        <v>4.3559999999999999</v>
      </c>
      <c r="H23">
        <v>5.1959999999999988</v>
      </c>
      <c r="I23" s="6">
        <v>2.6759999999999997</v>
      </c>
      <c r="J23">
        <v>2.6759999999999997</v>
      </c>
      <c r="K23">
        <v>2.9159999999999995</v>
      </c>
      <c r="L23">
        <v>4.3559999999999999</v>
      </c>
      <c r="M23">
        <v>4.9559999999999995</v>
      </c>
      <c r="N23">
        <v>4.5960000000000001</v>
      </c>
      <c r="O23" s="6">
        <v>2.6759999999999997</v>
      </c>
      <c r="P23">
        <v>2.7959999999999998</v>
      </c>
      <c r="Q23">
        <v>4.9559999999999995</v>
      </c>
      <c r="R23">
        <v>4.476</v>
      </c>
      <c r="S23">
        <v>5.3159999999999989</v>
      </c>
      <c r="T23">
        <v>2.7959999999999998</v>
      </c>
      <c r="U23">
        <v>1.4759999999999998</v>
      </c>
      <c r="V23">
        <v>3.5159999999999996</v>
      </c>
      <c r="W23">
        <v>4.3559999999999999</v>
      </c>
      <c r="X23">
        <v>5.4359999999999991</v>
      </c>
      <c r="Y23">
        <v>5.3159999999999989</v>
      </c>
    </row>
    <row r="24" spans="1:25" x14ac:dyDescent="0.25">
      <c r="B24" s="6"/>
      <c r="C24">
        <v>68.654738237243208</v>
      </c>
      <c r="D24">
        <v>44.07170562952092</v>
      </c>
      <c r="E24">
        <v>39.309094571457351</v>
      </c>
      <c r="F24">
        <v>43.352888535348519</v>
      </c>
      <c r="G24">
        <v>57.713736791546587</v>
      </c>
      <c r="H24">
        <v>61.599442460144608</v>
      </c>
      <c r="I24">
        <v>61.210514689639943</v>
      </c>
      <c r="J24">
        <v>31.135339134081136</v>
      </c>
      <c r="K24">
        <v>47.44687279685769</v>
      </c>
      <c r="L24">
        <v>41.304563985283885</v>
      </c>
      <c r="M24">
        <v>67.39673390970222</v>
      </c>
      <c r="N24">
        <v>76.095478700235219</v>
      </c>
      <c r="O24">
        <v>73.878948531036002</v>
      </c>
      <c r="P24">
        <v>70.04927141209771</v>
      </c>
      <c r="Q24">
        <v>43.163965397235756</v>
      </c>
      <c r="R24">
        <v>54.178674351585016</v>
      </c>
      <c r="S24">
        <v>55.170311002700579</v>
      </c>
      <c r="T24">
        <v>85.730064060083947</v>
      </c>
      <c r="U24">
        <v>43.285459691791594</v>
      </c>
      <c r="V24">
        <v>35.844495921039382</v>
      </c>
      <c r="W24">
        <v>41.871333399622159</v>
      </c>
      <c r="X24">
        <v>48.664745437079723</v>
      </c>
      <c r="Y24">
        <v>72.724104887185291</v>
      </c>
    </row>
    <row r="25" spans="1:25" x14ac:dyDescent="0.25">
      <c r="B25" s="6"/>
    </row>
    <row r="26" spans="1:25" x14ac:dyDescent="0.25">
      <c r="B26" s="6"/>
    </row>
    <row r="29" spans="1:25" x14ac:dyDescent="0.25">
      <c r="B29" s="5"/>
      <c r="C29" s="5"/>
      <c r="D29" s="5"/>
      <c r="E29" s="5"/>
      <c r="F29" s="5"/>
      <c r="G29" s="5"/>
      <c r="H29" s="5"/>
    </row>
    <row r="60" spans="8:9" x14ac:dyDescent="0.25">
      <c r="H60" s="6">
        <v>2.3159999999999998</v>
      </c>
      <c r="I60">
        <v>14.859568909209671</v>
      </c>
    </row>
    <row r="61" spans="8:9" x14ac:dyDescent="0.25">
      <c r="H61">
        <v>1.7159999999999997</v>
      </c>
      <c r="I61">
        <v>2.97134397800572</v>
      </c>
    </row>
    <row r="62" spans="8:9" x14ac:dyDescent="0.25">
      <c r="H62">
        <v>2.4359999999999995</v>
      </c>
      <c r="I62">
        <v>15.682261208577003</v>
      </c>
    </row>
    <row r="63" spans="8:9" x14ac:dyDescent="0.25">
      <c r="H63">
        <v>3.8759999999999994</v>
      </c>
      <c r="I63">
        <v>18.956703182055307</v>
      </c>
    </row>
    <row r="64" spans="8:9" x14ac:dyDescent="0.25">
      <c r="H64">
        <v>4.1159999999999997</v>
      </c>
      <c r="I64">
        <v>52.048585931834658</v>
      </c>
    </row>
    <row r="65" spans="8:9" x14ac:dyDescent="0.25">
      <c r="H65">
        <v>4.3559999999999999</v>
      </c>
      <c r="I65">
        <v>74.538216560509554</v>
      </c>
    </row>
    <row r="66" spans="8:9" x14ac:dyDescent="0.25">
      <c r="H66" s="6">
        <v>2.5559999999999996</v>
      </c>
      <c r="I66">
        <v>39.875898105813199</v>
      </c>
    </row>
    <row r="67" spans="8:9" x14ac:dyDescent="0.25">
      <c r="H67">
        <v>2.1959999999999997</v>
      </c>
      <c r="I67">
        <v>27.725494342814855</v>
      </c>
    </row>
    <row r="68" spans="8:9" x14ac:dyDescent="0.25">
      <c r="H68">
        <v>3.0359999999999996</v>
      </c>
      <c r="I68">
        <v>25.26315789473685</v>
      </c>
    </row>
    <row r="69" spans="8:9" x14ac:dyDescent="0.25">
      <c r="H69">
        <v>3.9959999999999996</v>
      </c>
      <c r="I69">
        <v>38.591549295774655</v>
      </c>
    </row>
    <row r="70" spans="8:9" x14ac:dyDescent="0.25">
      <c r="H70">
        <v>3.8759999999999994</v>
      </c>
      <c r="I70">
        <v>60.469543147208114</v>
      </c>
    </row>
    <row r="71" spans="8:9" x14ac:dyDescent="0.25">
      <c r="H71">
        <v>4.5960000000000001</v>
      </c>
      <c r="I71">
        <v>79.363057324840767</v>
      </c>
    </row>
    <row r="72" spans="8:9" x14ac:dyDescent="0.25">
      <c r="H72" s="6">
        <v>2.6759999999999997</v>
      </c>
      <c r="I72">
        <v>46.47289353363815</v>
      </c>
    </row>
    <row r="73" spans="8:9" x14ac:dyDescent="0.25">
      <c r="H73">
        <v>2.5559999999999996</v>
      </c>
      <c r="I73">
        <v>12.012266046314906</v>
      </c>
    </row>
    <row r="74" spans="8:9" x14ac:dyDescent="0.25">
      <c r="H74">
        <v>2.6759999999999997</v>
      </c>
      <c r="I74">
        <v>26.111111111111114</v>
      </c>
    </row>
    <row r="75" spans="8:9" x14ac:dyDescent="0.25">
      <c r="H75">
        <v>3.5159999999999996</v>
      </c>
      <c r="I75">
        <v>31.23630672926447</v>
      </c>
    </row>
    <row r="76" spans="8:9" x14ac:dyDescent="0.25">
      <c r="H76">
        <v>4.1159999999999997</v>
      </c>
      <c r="I76">
        <v>63.75997099347353</v>
      </c>
    </row>
    <row r="77" spans="8:9" x14ac:dyDescent="0.25">
      <c r="H77">
        <v>5.0759999999999996</v>
      </c>
      <c r="I77">
        <v>78.136942675159247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6D051-AFB7-41A8-8EA7-8BC2858BBA46}">
  <dimension ref="A1:Q38"/>
  <sheetViews>
    <sheetView workbookViewId="0">
      <selection activeCell="D29" sqref="D29"/>
    </sheetView>
  </sheetViews>
  <sheetFormatPr defaultRowHeight="13.8" x14ac:dyDescent="0.25"/>
  <cols>
    <col min="1" max="1" width="12.88671875" style="15" customWidth="1"/>
    <col min="2" max="16384" width="8.88671875" style="15"/>
  </cols>
  <sheetData>
    <row r="1" spans="1:17" x14ac:dyDescent="0.25">
      <c r="A1" s="15" t="s">
        <v>62</v>
      </c>
      <c r="B1" s="15" t="s">
        <v>63</v>
      </c>
    </row>
    <row r="2" spans="1:17" x14ac:dyDescent="0.25">
      <c r="B2" s="15" t="s">
        <v>153</v>
      </c>
      <c r="C2" s="15" t="s">
        <v>154</v>
      </c>
      <c r="D2" s="15" t="s">
        <v>155</v>
      </c>
      <c r="E2" s="15" t="s">
        <v>156</v>
      </c>
      <c r="F2" s="15" t="s">
        <v>157</v>
      </c>
      <c r="G2" s="15" t="s">
        <v>159</v>
      </c>
      <c r="H2" s="15" t="s">
        <v>158</v>
      </c>
    </row>
    <row r="3" spans="1:17" x14ac:dyDescent="0.25">
      <c r="A3" s="15" t="s">
        <v>160</v>
      </c>
      <c r="B3" s="15">
        <v>8.4875000000000007</v>
      </c>
      <c r="C3" s="15">
        <v>3.9350000000000001</v>
      </c>
      <c r="D3" s="15">
        <v>7.5</v>
      </c>
      <c r="E3" s="15">
        <v>1.115</v>
      </c>
      <c r="F3" s="15">
        <v>0.79400000000000004</v>
      </c>
      <c r="G3" s="15">
        <v>0.497</v>
      </c>
      <c r="H3" s="15">
        <v>0.16900000000000001</v>
      </c>
    </row>
    <row r="4" spans="1:17" x14ac:dyDescent="0.25">
      <c r="A4" s="15" t="s">
        <v>161</v>
      </c>
      <c r="B4" s="15">
        <v>8.7025000000000006</v>
      </c>
      <c r="C4" s="15">
        <v>4.17</v>
      </c>
      <c r="D4" s="15">
        <v>4.2</v>
      </c>
      <c r="E4" s="15">
        <v>0.94799999999999995</v>
      </c>
      <c r="F4" s="15">
        <v>0.44</v>
      </c>
      <c r="G4" s="15">
        <v>0.56200000000000006</v>
      </c>
      <c r="H4" s="15">
        <v>0.13700000000000001</v>
      </c>
    </row>
    <row r="5" spans="1:17" x14ac:dyDescent="0.25">
      <c r="A5" s="15" t="s">
        <v>162</v>
      </c>
      <c r="B5" s="15">
        <v>8.120000000000001</v>
      </c>
      <c r="C5" s="15">
        <v>3.65</v>
      </c>
      <c r="D5" s="15">
        <v>7.9749999999999996</v>
      </c>
      <c r="E5" s="15">
        <v>1.167</v>
      </c>
      <c r="F5" s="15">
        <v>0.79400000000000004</v>
      </c>
      <c r="G5" s="15">
        <v>0.52900000000000003</v>
      </c>
      <c r="H5" s="15">
        <v>0.17299999999999999</v>
      </c>
    </row>
    <row r="6" spans="1:17" x14ac:dyDescent="0.25">
      <c r="A6" s="15" t="s">
        <v>163</v>
      </c>
      <c r="B6" s="15">
        <v>8.0888888888888886</v>
      </c>
      <c r="C6" s="15">
        <v>5.6400000000000006</v>
      </c>
      <c r="D6" s="15">
        <v>7.6428571428571432</v>
      </c>
      <c r="E6" s="15">
        <v>0.51935483870967736</v>
      </c>
      <c r="F6" s="15">
        <v>0.45638297872340433</v>
      </c>
      <c r="G6" s="15">
        <v>0.22267605633802817</v>
      </c>
      <c r="H6" s="15">
        <v>0.10845070422535212</v>
      </c>
    </row>
    <row r="7" spans="1:17" x14ac:dyDescent="0.25">
      <c r="A7" s="15" t="s">
        <v>61</v>
      </c>
      <c r="B7" s="15">
        <v>8.8277777777777775</v>
      </c>
      <c r="C7" s="15">
        <v>4.3920000000000003</v>
      </c>
      <c r="D7" s="15">
        <v>5.1785714285714288</v>
      </c>
      <c r="E7" s="15">
        <v>2.737741935483871</v>
      </c>
      <c r="F7" s="15">
        <v>1.1451063829787234</v>
      </c>
      <c r="G7" s="15">
        <v>0.55887323943661971</v>
      </c>
      <c r="H7" s="15">
        <v>0.14718309859154929</v>
      </c>
    </row>
    <row r="16" spans="1:17" x14ac:dyDescent="0.25">
      <c r="L16" s="16"/>
      <c r="M16" s="17"/>
      <c r="N16" s="17"/>
      <c r="O16" s="17"/>
      <c r="P16" s="18"/>
      <c r="Q16" s="16"/>
    </row>
    <row r="17" spans="1:12" x14ac:dyDescent="0.25">
      <c r="A17" s="15" t="s">
        <v>64</v>
      </c>
      <c r="B17" s="15" t="s">
        <v>65</v>
      </c>
    </row>
    <row r="18" spans="1:12" x14ac:dyDescent="0.25">
      <c r="B18" s="15" t="s">
        <v>74</v>
      </c>
    </row>
    <row r="19" spans="1:12" x14ac:dyDescent="0.25">
      <c r="B19" s="16" t="s">
        <v>68</v>
      </c>
      <c r="C19" s="17" t="s">
        <v>69</v>
      </c>
      <c r="D19" s="17" t="s">
        <v>70</v>
      </c>
      <c r="E19" s="17" t="s">
        <v>71</v>
      </c>
      <c r="F19" s="18" t="s">
        <v>72</v>
      </c>
      <c r="G19" s="16" t="s">
        <v>73</v>
      </c>
    </row>
    <row r="20" spans="1:12" x14ac:dyDescent="0.25">
      <c r="A20" s="15" t="s">
        <v>75</v>
      </c>
      <c r="B20" s="15">
        <v>14.033457249070628</v>
      </c>
      <c r="C20" s="15">
        <v>17.750929368029738</v>
      </c>
      <c r="D20" s="15">
        <v>15.985130111524164</v>
      </c>
      <c r="E20" s="15">
        <v>10.594795539033459</v>
      </c>
      <c r="F20" s="15">
        <v>77.323420074349443</v>
      </c>
      <c r="G20" s="15">
        <v>10.687732342007438</v>
      </c>
    </row>
    <row r="21" spans="1:12" x14ac:dyDescent="0.25">
      <c r="A21" s="15" t="s">
        <v>76</v>
      </c>
      <c r="B21" s="15">
        <v>15.148698884758366</v>
      </c>
      <c r="C21" s="15">
        <v>19.052044609665426</v>
      </c>
      <c r="D21" s="15">
        <v>16.542750929368026</v>
      </c>
      <c r="E21" s="15">
        <v>13.475836431226766</v>
      </c>
      <c r="F21" s="15">
        <v>62.174721189591061</v>
      </c>
      <c r="G21" s="15">
        <v>11.059479553903348</v>
      </c>
    </row>
    <row r="22" spans="1:12" x14ac:dyDescent="0.25">
      <c r="A22" s="15" t="s">
        <v>77</v>
      </c>
      <c r="B22" s="15">
        <v>16.171003717472118</v>
      </c>
      <c r="C22" s="15">
        <v>46.74721189591078</v>
      </c>
      <c r="D22" s="15">
        <v>14.962825278810406</v>
      </c>
      <c r="E22" s="15">
        <v>25</v>
      </c>
      <c r="F22" s="15">
        <v>45.353159851301115</v>
      </c>
      <c r="G22" s="15">
        <v>9.5724907063197051</v>
      </c>
      <c r="L22" s="16"/>
    </row>
    <row r="23" spans="1:12" x14ac:dyDescent="0.25">
      <c r="A23" s="15" t="s">
        <v>78</v>
      </c>
      <c r="B23" s="15">
        <v>15.117719950433704</v>
      </c>
      <c r="C23" s="15">
        <v>27.850061957868647</v>
      </c>
      <c r="D23" s="15">
        <v>15.830235439900866</v>
      </c>
      <c r="E23" s="15">
        <v>16.356877323420075</v>
      </c>
      <c r="F23" s="15">
        <v>61.617100371747206</v>
      </c>
      <c r="G23" s="15">
        <v>10.439900867410165</v>
      </c>
    </row>
    <row r="24" spans="1:12" x14ac:dyDescent="0.25">
      <c r="A24" s="15" t="s">
        <v>79</v>
      </c>
      <c r="B24" s="15">
        <f>STDEVP(B20:B22)</f>
        <v>0.87292458510566262</v>
      </c>
      <c r="C24" s="15">
        <f t="shared" ref="C24:G24" si="0">STDEVP(C20:C22)</f>
        <v>13.372856390306412</v>
      </c>
      <c r="D24" s="15">
        <f t="shared" si="0"/>
        <v>0.65423519460789559</v>
      </c>
      <c r="E24" s="15">
        <f t="shared" si="0"/>
        <v>6.2237596546048248</v>
      </c>
      <c r="F24" s="15">
        <f t="shared" si="0"/>
        <v>13.057758623764029</v>
      </c>
      <c r="G24" s="15">
        <f t="shared" si="0"/>
        <v>0.63184876252698685</v>
      </c>
    </row>
    <row r="25" spans="1:12" x14ac:dyDescent="0.25">
      <c r="B25" s="16" t="s">
        <v>66</v>
      </c>
    </row>
    <row r="26" spans="1:12" x14ac:dyDescent="0.25">
      <c r="A26" s="15" t="s">
        <v>75</v>
      </c>
      <c r="B26" s="15">
        <v>92.379182156133837</v>
      </c>
      <c r="C26" s="15">
        <v>129.18215613382901</v>
      </c>
      <c r="D26" s="15">
        <v>52.973977695167285</v>
      </c>
      <c r="E26" s="15">
        <v>65.14869888475836</v>
      </c>
      <c r="F26" s="15">
        <v>261.05947955390332</v>
      </c>
      <c r="G26" s="15">
        <v>11.895910780669142</v>
      </c>
    </row>
    <row r="27" spans="1:12" x14ac:dyDescent="0.25">
      <c r="A27" s="15" t="s">
        <v>76</v>
      </c>
      <c r="B27" s="15">
        <v>105.8550185873606</v>
      </c>
      <c r="C27" s="15">
        <v>120.63197026022306</v>
      </c>
      <c r="D27" s="15">
        <v>44.330855018587357</v>
      </c>
      <c r="E27" s="15">
        <v>65.241635687732355</v>
      </c>
      <c r="F27" s="15">
        <v>282.80669144981414</v>
      </c>
      <c r="G27" s="15">
        <v>12.453531598513013</v>
      </c>
    </row>
    <row r="28" spans="1:12" x14ac:dyDescent="0.25">
      <c r="A28" s="15" t="s">
        <v>77</v>
      </c>
      <c r="B28" s="15">
        <v>82.80669144981411</v>
      </c>
      <c r="C28" s="15">
        <v>107.89962825278812</v>
      </c>
      <c r="D28" s="15">
        <v>51.208178438661719</v>
      </c>
      <c r="E28" s="15">
        <v>61.617100371747213</v>
      </c>
      <c r="F28" s="15">
        <v>274.72118959107809</v>
      </c>
      <c r="G28" s="15">
        <v>11.33828996282528</v>
      </c>
    </row>
    <row r="29" spans="1:12" x14ac:dyDescent="0.25">
      <c r="A29" s="15" t="s">
        <v>78</v>
      </c>
      <c r="B29" s="15">
        <v>93.680297397769507</v>
      </c>
      <c r="C29" s="15">
        <v>119.23791821561339</v>
      </c>
      <c r="D29" s="15">
        <v>49.504337050805454</v>
      </c>
      <c r="E29" s="15">
        <v>64.002478314745971</v>
      </c>
      <c r="F29" s="15">
        <v>272.86245353159853</v>
      </c>
      <c r="G29" s="15">
        <v>11.895910780669146</v>
      </c>
    </row>
    <row r="30" spans="1:12" x14ac:dyDescent="0.25">
      <c r="A30" s="15" t="s">
        <v>79</v>
      </c>
      <c r="B30" s="15">
        <f>STDEVP(B26:B28)</f>
        <v>9.4543119479545386</v>
      </c>
      <c r="C30" s="15">
        <f t="shared" ref="C30:G30" si="1">STDEVP(C26:C28)</f>
        <v>8.7442946763067937</v>
      </c>
      <c r="D30" s="15">
        <f t="shared" si="1"/>
        <v>3.7285563789784666</v>
      </c>
      <c r="E30" s="15">
        <f t="shared" si="1"/>
        <v>1.687143594075603</v>
      </c>
      <c r="F30" s="15">
        <f t="shared" si="1"/>
        <v>8.9750201899686939</v>
      </c>
      <c r="G30" s="15">
        <f t="shared" si="1"/>
        <v>0.45529549122363927</v>
      </c>
    </row>
    <row r="33" spans="11:17" x14ac:dyDescent="0.25">
      <c r="K33" s="16"/>
      <c r="Q33" s="16"/>
    </row>
    <row r="34" spans="11:17" x14ac:dyDescent="0.25">
      <c r="K34" s="17"/>
    </row>
    <row r="35" spans="11:17" x14ac:dyDescent="0.25">
      <c r="K35" s="17"/>
    </row>
    <row r="36" spans="11:17" x14ac:dyDescent="0.25">
      <c r="K36" s="17"/>
    </row>
    <row r="37" spans="11:17" x14ac:dyDescent="0.25">
      <c r="K37" s="18"/>
    </row>
    <row r="38" spans="11:17" x14ac:dyDescent="0.25">
      <c r="K38" s="1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C72A5-03F0-441F-B0BA-8C6C3B70FD09}">
  <dimension ref="A1:AL57"/>
  <sheetViews>
    <sheetView topLeftCell="A10" zoomScale="68" zoomScaleNormal="68" workbookViewId="0">
      <selection activeCell="B17" sqref="B17:T17"/>
    </sheetView>
  </sheetViews>
  <sheetFormatPr defaultRowHeight="13.8" x14ac:dyDescent="0.25"/>
  <sheetData>
    <row r="1" spans="1:26" x14ac:dyDescent="0.25">
      <c r="A1" s="2" t="s">
        <v>67</v>
      </c>
      <c r="B1" s="2" t="s">
        <v>149</v>
      </c>
      <c r="C1" s="2"/>
      <c r="D1" s="2"/>
      <c r="E1" s="2"/>
      <c r="F1" s="2"/>
      <c r="G1" s="2"/>
      <c r="H1" s="2"/>
    </row>
    <row r="2" spans="1:26" x14ac:dyDescent="0.25">
      <c r="A2" s="2" t="s">
        <v>3</v>
      </c>
    </row>
    <row r="3" spans="1:26" x14ac:dyDescent="0.25">
      <c r="A3" s="2" t="s">
        <v>2</v>
      </c>
      <c r="B3">
        <v>36.931234107717053</v>
      </c>
      <c r="C3">
        <v>7.3066110353677871</v>
      </c>
      <c r="D3">
        <v>16.548197244838189</v>
      </c>
      <c r="E3">
        <v>44.059464598571509</v>
      </c>
      <c r="F3">
        <v>131.90225562275637</v>
      </c>
      <c r="G3">
        <v>23.555819907655067</v>
      </c>
      <c r="H3">
        <v>129.08210340297748</v>
      </c>
      <c r="I3">
        <v>28.159849761318075</v>
      </c>
      <c r="J3">
        <v>5.9325992558959992</v>
      </c>
      <c r="K3">
        <v>76.094389102724861</v>
      </c>
      <c r="L3">
        <v>568.87439244954385</v>
      </c>
      <c r="M3">
        <v>276.63185259396221</v>
      </c>
      <c r="N3">
        <v>114.11821499470132</v>
      </c>
      <c r="O3">
        <v>17.233578291306262</v>
      </c>
    </row>
    <row r="4" spans="1:26" x14ac:dyDescent="0.25">
      <c r="A4" s="2" t="s">
        <v>3</v>
      </c>
      <c r="B4">
        <v>0</v>
      </c>
      <c r="C4">
        <v>88.713345091633187</v>
      </c>
      <c r="D4">
        <v>194.52154995357523</v>
      </c>
      <c r="E4">
        <v>389.66701823905419</v>
      </c>
      <c r="F4">
        <v>663.26500008377718</v>
      </c>
      <c r="G4">
        <v>155.52856518247006</v>
      </c>
      <c r="H4">
        <v>343.69470241289616</v>
      </c>
      <c r="I4">
        <v>120.98204080123321</v>
      </c>
      <c r="J4">
        <v>158.53063872724169</v>
      </c>
      <c r="K4">
        <v>309.18991376552333</v>
      </c>
      <c r="L4">
        <v>1193.5613214722234</v>
      </c>
      <c r="M4">
        <v>545.85696913747176</v>
      </c>
      <c r="N4">
        <v>405.80981390318959</v>
      </c>
      <c r="O4">
        <v>148.00558562395747</v>
      </c>
    </row>
    <row r="5" spans="1:26" x14ac:dyDescent="0.25">
      <c r="A5" s="2" t="s">
        <v>0</v>
      </c>
    </row>
    <row r="6" spans="1:26" x14ac:dyDescent="0.25">
      <c r="A6" s="1"/>
      <c r="B6" s="2"/>
      <c r="C6" s="2"/>
      <c r="D6" s="2"/>
      <c r="E6" s="2"/>
      <c r="F6" s="2"/>
      <c r="G6" s="2"/>
      <c r="H6" s="2"/>
      <c r="I6" s="2"/>
    </row>
    <row r="7" spans="1:26" x14ac:dyDescent="0.25">
      <c r="A7" s="1"/>
    </row>
    <row r="8" spans="1:26" x14ac:dyDescent="0.25">
      <c r="A8" s="2" t="s">
        <v>69</v>
      </c>
      <c r="B8" s="2" t="s">
        <v>149</v>
      </c>
      <c r="C8" s="2"/>
      <c r="D8" s="2"/>
      <c r="E8" s="2"/>
      <c r="F8" s="2"/>
      <c r="G8" s="2"/>
      <c r="H8" s="2"/>
    </row>
    <row r="9" spans="1:26" x14ac:dyDescent="0.25">
      <c r="A9" s="2" t="s">
        <v>3</v>
      </c>
    </row>
    <row r="10" spans="1:26" x14ac:dyDescent="0.25">
      <c r="A10" s="2" t="s">
        <v>2</v>
      </c>
      <c r="B10">
        <v>50.464910142360523</v>
      </c>
      <c r="C10">
        <v>19.684914503157113</v>
      </c>
      <c r="D10">
        <v>-14.750263966765381</v>
      </c>
      <c r="E10">
        <v>4.7921230440802276</v>
      </c>
      <c r="F10">
        <v>213.54831731332942</v>
      </c>
      <c r="G10">
        <v>425.67347791234408</v>
      </c>
      <c r="H10">
        <v>416.13857987385609</v>
      </c>
      <c r="I10">
        <v>11.740135329658994</v>
      </c>
      <c r="J10">
        <v>18.773029489571908</v>
      </c>
      <c r="K10">
        <v>180.73338119184729</v>
      </c>
      <c r="L10">
        <v>477.58343611558359</v>
      </c>
      <c r="M10">
        <v>290.40204685486304</v>
      </c>
      <c r="N10">
        <v>22.226907142819979</v>
      </c>
      <c r="O10">
        <v>0.82153471331356265</v>
      </c>
      <c r="P10">
        <v>34.907197990889053</v>
      </c>
      <c r="Q10">
        <v>275.505563135898</v>
      </c>
      <c r="R10">
        <v>475.01349675942527</v>
      </c>
      <c r="S10">
        <v>420.18161405226385</v>
      </c>
      <c r="T10">
        <v>19.550913369241215</v>
      </c>
      <c r="U10">
        <v>30.267016202384795</v>
      </c>
      <c r="V10">
        <v>45.510286551507861</v>
      </c>
      <c r="W10">
        <v>105.63547374400258</v>
      </c>
      <c r="X10">
        <v>887.75218324080708</v>
      </c>
      <c r="Y10">
        <v>357.13342237166313</v>
      </c>
    </row>
    <row r="11" spans="1:26" x14ac:dyDescent="0.25">
      <c r="A11" s="2" t="s">
        <v>1</v>
      </c>
      <c r="B11">
        <v>0</v>
      </c>
      <c r="C11">
        <v>-135.7711968178337</v>
      </c>
      <c r="D11">
        <v>-107.97387570130866</v>
      </c>
      <c r="E11">
        <v>71.648742157123706</v>
      </c>
      <c r="F11">
        <v>386.3789063670564</v>
      </c>
      <c r="G11">
        <v>782.44000505101701</v>
      </c>
      <c r="H11">
        <v>807.71016758944063</v>
      </c>
      <c r="I11">
        <v>-139.41987720963232</v>
      </c>
      <c r="J11">
        <v>117.41422835223</v>
      </c>
      <c r="K11">
        <v>385.12095061242974</v>
      </c>
      <c r="L11">
        <v>766.99458005533063</v>
      </c>
      <c r="M11">
        <v>841.57407908856237</v>
      </c>
      <c r="N11">
        <v>-71.388822703120127</v>
      </c>
      <c r="O11">
        <v>-24.270427079809451</v>
      </c>
      <c r="P11">
        <v>74.421190075871891</v>
      </c>
      <c r="Q11">
        <v>487.80301460803446</v>
      </c>
      <c r="R11">
        <v>753.04564384996604</v>
      </c>
      <c r="S11">
        <v>928.24113663440914</v>
      </c>
      <c r="T11">
        <v>-133.28538394433929</v>
      </c>
      <c r="U11">
        <v>-24.312741395104922</v>
      </c>
      <c r="V11">
        <v>108.42976155757481</v>
      </c>
      <c r="W11">
        <v>376.0541798396431</v>
      </c>
      <c r="X11">
        <v>1091.2376655566923</v>
      </c>
      <c r="Y11">
        <v>822.09760602496715</v>
      </c>
      <c r="Z11" s="2"/>
    </row>
    <row r="12" spans="1:26" x14ac:dyDescent="0.25">
      <c r="A12" s="2" t="s">
        <v>0</v>
      </c>
    </row>
    <row r="13" spans="1:26" x14ac:dyDescent="0.25">
      <c r="A13" s="2"/>
      <c r="B13" s="2"/>
      <c r="C13" s="2"/>
      <c r="D13" s="2"/>
      <c r="E13" s="2"/>
      <c r="F13" s="2"/>
      <c r="G13" s="2"/>
      <c r="H13" s="2"/>
    </row>
    <row r="15" spans="1:26" x14ac:dyDescent="0.25">
      <c r="A15" s="2" t="s">
        <v>70</v>
      </c>
      <c r="B15" s="2" t="s">
        <v>149</v>
      </c>
      <c r="C15" s="2"/>
      <c r="D15" s="2"/>
      <c r="E15" s="2"/>
      <c r="F15" s="2"/>
      <c r="G15" s="2"/>
      <c r="H15" s="2"/>
    </row>
    <row r="16" spans="1:26" x14ac:dyDescent="0.25">
      <c r="A16" s="2" t="s">
        <v>3</v>
      </c>
    </row>
    <row r="17" spans="1:38" x14ac:dyDescent="0.25">
      <c r="A17" s="2" t="s">
        <v>2</v>
      </c>
      <c r="B17">
        <v>26.445669895143702</v>
      </c>
      <c r="C17">
        <v>-0.14749783708916042</v>
      </c>
      <c r="D17">
        <v>11.322953038312962</v>
      </c>
      <c r="E17">
        <v>12.297902151900994</v>
      </c>
      <c r="F17">
        <v>30.279711918072334</v>
      </c>
      <c r="G17">
        <v>15.711400252318203</v>
      </c>
      <c r="H17">
        <v>14.041937635957778</v>
      </c>
      <c r="I17">
        <v>0.99140156538889446</v>
      </c>
      <c r="J17">
        <v>16.33531228968215</v>
      </c>
      <c r="K17">
        <v>12.034855345208493</v>
      </c>
      <c r="L17">
        <v>10.862096459215294</v>
      </c>
      <c r="M17">
        <v>21.582267524923342</v>
      </c>
      <c r="N17">
        <v>44.505293749859369</v>
      </c>
      <c r="O17">
        <v>3.0766731861167864</v>
      </c>
      <c r="P17">
        <v>24.22106331274415</v>
      </c>
      <c r="Q17">
        <v>11.612271432345516</v>
      </c>
      <c r="R17">
        <v>15.167945189824415</v>
      </c>
      <c r="S17">
        <v>20.327845740834821</v>
      </c>
      <c r="T17">
        <v>36.274737948087363</v>
      </c>
    </row>
    <row r="18" spans="1:38" x14ac:dyDescent="0.25">
      <c r="A18" s="2" t="s">
        <v>1</v>
      </c>
      <c r="B18">
        <v>0</v>
      </c>
      <c r="C18">
        <v>-129.94957206442842</v>
      </c>
      <c r="D18">
        <v>-126.96790597298997</v>
      </c>
      <c r="E18">
        <v>-65.826426400280639</v>
      </c>
      <c r="F18">
        <v>-87.814030754526129</v>
      </c>
      <c r="G18">
        <v>-26.499974096827145</v>
      </c>
      <c r="H18">
        <v>22.386994432060078</v>
      </c>
      <c r="I18">
        <v>-142.36239346499099</v>
      </c>
      <c r="J18">
        <v>-136.23782686925102</v>
      </c>
      <c r="K18">
        <v>-104.47158796610307</v>
      </c>
      <c r="L18">
        <v>-96.091595858235166</v>
      </c>
      <c r="M18">
        <v>3.2612256323244537</v>
      </c>
      <c r="N18">
        <v>89.242435168991165</v>
      </c>
      <c r="O18">
        <v>-171.79830318109953</v>
      </c>
      <c r="P18">
        <v>-107.03929238763828</v>
      </c>
      <c r="Q18">
        <v>-58.322596743130362</v>
      </c>
      <c r="R18">
        <v>-123.51073860371332</v>
      </c>
      <c r="S18">
        <v>-14.74683764042004</v>
      </c>
      <c r="T18">
        <v>79.091941962049987</v>
      </c>
    </row>
    <row r="21" spans="1:38" x14ac:dyDescent="0.25">
      <c r="A21" s="2" t="s">
        <v>71</v>
      </c>
      <c r="B21" s="2" t="s">
        <v>149</v>
      </c>
      <c r="C21" s="2"/>
      <c r="D21" s="2"/>
      <c r="E21" s="2"/>
      <c r="F21" s="2"/>
      <c r="G21" s="2"/>
      <c r="H21" s="2"/>
      <c r="AL21" s="1"/>
    </row>
    <row r="22" spans="1:38" x14ac:dyDescent="0.25">
      <c r="A22" s="2" t="s">
        <v>3</v>
      </c>
    </row>
    <row r="23" spans="1:38" x14ac:dyDescent="0.25">
      <c r="A23" s="2" t="s">
        <v>2</v>
      </c>
      <c r="B23">
        <v>37.131285703491002</v>
      </c>
      <c r="C23">
        <v>6.196900274165186</v>
      </c>
      <c r="D23">
        <v>5.972234089644644</v>
      </c>
      <c r="E23">
        <v>10.994134656022705</v>
      </c>
      <c r="F23">
        <v>20.3798111353649</v>
      </c>
      <c r="G23">
        <v>56.91814587184782</v>
      </c>
      <c r="H23">
        <v>5.8459665272539088</v>
      </c>
      <c r="I23">
        <v>2.8140788434869486</v>
      </c>
      <c r="J23">
        <v>12.228665015164498</v>
      </c>
      <c r="K23">
        <v>9.6835402982030736</v>
      </c>
      <c r="L23">
        <v>29.435419688232866</v>
      </c>
      <c r="M23">
        <v>78.645389794184069</v>
      </c>
      <c r="N23">
        <v>37.926597344076832</v>
      </c>
      <c r="O23">
        <v>9.8258459740694661</v>
      </c>
      <c r="P23">
        <v>9.9435162101635992</v>
      </c>
      <c r="Q23">
        <v>36.129973708088642</v>
      </c>
      <c r="R23">
        <v>89.329640947731605</v>
      </c>
      <c r="S23">
        <v>16.522381556896416</v>
      </c>
      <c r="T23">
        <v>7.2298637331510074</v>
      </c>
    </row>
    <row r="24" spans="1:38" x14ac:dyDescent="0.25">
      <c r="A24" s="2" t="s">
        <v>1</v>
      </c>
      <c r="B24">
        <v>0</v>
      </c>
      <c r="C24">
        <v>-179.06024678879635</v>
      </c>
      <c r="D24">
        <v>-147.18296485929807</v>
      </c>
      <c r="E24">
        <v>-117.03251827611905</v>
      </c>
      <c r="F24">
        <v>-148.42272730723465</v>
      </c>
      <c r="G24">
        <v>23.475742286679747</v>
      </c>
      <c r="H24">
        <v>-16.302028666803153</v>
      </c>
      <c r="I24">
        <v>-125.2323027032084</v>
      </c>
      <c r="J24">
        <v>-81.39611149784696</v>
      </c>
      <c r="K24">
        <v>-137.98404617937592</v>
      </c>
      <c r="L24">
        <v>-154.95940346671966</v>
      </c>
      <c r="M24">
        <v>63.499616896989323</v>
      </c>
      <c r="N24">
        <v>55.951051408148714</v>
      </c>
      <c r="O24">
        <v>-127.36071218217103</v>
      </c>
      <c r="P24">
        <v>-79.171824654027432</v>
      </c>
      <c r="Q24">
        <v>-121.69891210063565</v>
      </c>
      <c r="R24">
        <v>80.925320043930128</v>
      </c>
      <c r="S24">
        <v>30.156236674066804</v>
      </c>
      <c r="T24">
        <v>-125.19933904545223</v>
      </c>
    </row>
    <row r="25" spans="1:38" x14ac:dyDescent="0.25">
      <c r="A25" s="2" t="s">
        <v>0</v>
      </c>
      <c r="J25" s="1"/>
    </row>
    <row r="26" spans="1:38" x14ac:dyDescent="0.25">
      <c r="J26" s="2"/>
    </row>
    <row r="27" spans="1:38" x14ac:dyDescent="0.25">
      <c r="J27" s="2"/>
    </row>
    <row r="28" spans="1:38" x14ac:dyDescent="0.25">
      <c r="A28" s="2" t="s">
        <v>72</v>
      </c>
      <c r="B28" s="2" t="s">
        <v>149</v>
      </c>
      <c r="C28" s="2"/>
      <c r="D28" s="2"/>
      <c r="E28" s="2"/>
      <c r="F28" s="2"/>
      <c r="G28" s="2"/>
      <c r="H28" s="2"/>
      <c r="J28" s="2"/>
    </row>
    <row r="29" spans="1:38" x14ac:dyDescent="0.25">
      <c r="A29" s="2" t="s">
        <v>3</v>
      </c>
    </row>
    <row r="30" spans="1:38" x14ac:dyDescent="0.25">
      <c r="A30" s="2" t="s">
        <v>2</v>
      </c>
      <c r="B30">
        <v>26.496557812703422</v>
      </c>
      <c r="C30">
        <v>34.690961910558585</v>
      </c>
      <c r="D30">
        <v>57.800775135185212</v>
      </c>
      <c r="E30">
        <v>119.80295881861862</v>
      </c>
      <c r="F30">
        <v>117.38305323164013</v>
      </c>
      <c r="G30">
        <v>135.78967028808356</v>
      </c>
      <c r="H30">
        <v>162.44041726267218</v>
      </c>
      <c r="I30">
        <v>-0.27603985031358186</v>
      </c>
      <c r="J30">
        <v>34.473196381193134</v>
      </c>
      <c r="K30">
        <v>76.463241853690633</v>
      </c>
      <c r="L30">
        <v>482.63148858101459</v>
      </c>
      <c r="M30">
        <v>407.40558370603242</v>
      </c>
      <c r="N30">
        <v>27.84585479630724</v>
      </c>
      <c r="O30">
        <v>60.466614471741998</v>
      </c>
      <c r="P30">
        <v>104.76381160046603</v>
      </c>
      <c r="Q30">
        <v>163.32478646784321</v>
      </c>
      <c r="R30">
        <v>450.54254824099314</v>
      </c>
      <c r="S30">
        <v>33.445132960121704</v>
      </c>
      <c r="T30">
        <v>-16.707187202536893</v>
      </c>
      <c r="U30">
        <v>114.01001612913487</v>
      </c>
      <c r="V30">
        <v>186.46724531617082</v>
      </c>
      <c r="W30">
        <v>384.48386777993829</v>
      </c>
      <c r="X30">
        <v>345.16645420924249</v>
      </c>
    </row>
    <row r="31" spans="1:38" x14ac:dyDescent="0.25">
      <c r="A31" s="2" t="s">
        <v>1</v>
      </c>
      <c r="B31">
        <v>0</v>
      </c>
      <c r="C31">
        <v>-92.714275925550567</v>
      </c>
      <c r="D31">
        <v>122.69970793684604</v>
      </c>
      <c r="E31">
        <v>361.08953687664655</v>
      </c>
      <c r="F31">
        <v>369.95665011736003</v>
      </c>
      <c r="G31">
        <v>532.89479412237415</v>
      </c>
      <c r="H31">
        <v>637.00223481755552</v>
      </c>
      <c r="I31">
        <v>-121.44800458731009</v>
      </c>
      <c r="J31">
        <v>147.74584048769884</v>
      </c>
      <c r="K31">
        <v>255.79633108695907</v>
      </c>
      <c r="L31">
        <v>957.41847453655316</v>
      </c>
      <c r="M31">
        <v>864.76069469553283</v>
      </c>
      <c r="N31">
        <v>-121.42272566139809</v>
      </c>
      <c r="O31">
        <v>80.427198893356717</v>
      </c>
      <c r="P31">
        <v>316.51037413438291</v>
      </c>
      <c r="Q31">
        <v>503.41444081410225</v>
      </c>
      <c r="R31">
        <v>863.84443043795125</v>
      </c>
      <c r="S31">
        <v>-10.477622648191414</v>
      </c>
      <c r="T31">
        <v>-11.363923779589982</v>
      </c>
      <c r="U31">
        <v>164.54244655256548</v>
      </c>
      <c r="V31">
        <v>409.09004364148984</v>
      </c>
      <c r="W31">
        <v>646.81781225336761</v>
      </c>
      <c r="X31">
        <v>866.09000758843638</v>
      </c>
    </row>
    <row r="32" spans="1:38" x14ac:dyDescent="0.25">
      <c r="A32" s="2" t="s">
        <v>0</v>
      </c>
    </row>
    <row r="34" spans="1:27" x14ac:dyDescent="0.25">
      <c r="A34" s="1"/>
    </row>
    <row r="35" spans="1:27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T35" s="2"/>
      <c r="U35" s="2"/>
      <c r="V35" s="2"/>
      <c r="W35" s="2"/>
      <c r="X35" s="2"/>
      <c r="Y35" s="2"/>
      <c r="Z35" s="2"/>
      <c r="AA35" s="2"/>
    </row>
    <row r="36" spans="1:27" x14ac:dyDescent="0.25">
      <c r="A36" s="2"/>
      <c r="B36" s="2"/>
    </row>
    <row r="37" spans="1:27" x14ac:dyDescent="0.25">
      <c r="A37" s="2"/>
      <c r="B37" s="2"/>
      <c r="J37" s="2"/>
      <c r="K37" s="2"/>
      <c r="T37" s="2"/>
    </row>
    <row r="38" spans="1:27" x14ac:dyDescent="0.25">
      <c r="A38" s="2"/>
      <c r="B38" s="2"/>
      <c r="J38" s="2"/>
      <c r="K38" s="2"/>
      <c r="T38" s="2"/>
    </row>
    <row r="39" spans="1:27" x14ac:dyDescent="0.25">
      <c r="A39" s="2"/>
      <c r="B39" s="2"/>
      <c r="J39" s="2"/>
      <c r="K39" s="2"/>
      <c r="T39" s="2"/>
    </row>
    <row r="40" spans="1:27" x14ac:dyDescent="0.25">
      <c r="A40" s="1"/>
      <c r="B40" s="1"/>
      <c r="C40" s="2"/>
      <c r="E40" s="2"/>
      <c r="F40" s="2"/>
      <c r="G40" s="2"/>
      <c r="H40" s="2"/>
      <c r="I40" s="2"/>
      <c r="J40" s="2"/>
      <c r="K40" s="1"/>
      <c r="L40" s="2"/>
      <c r="M40" s="2"/>
      <c r="N40" s="2"/>
      <c r="O40" s="2"/>
      <c r="P40" s="2"/>
      <c r="Q40" s="2"/>
      <c r="R40" s="2"/>
      <c r="T40" s="1"/>
      <c r="U40" s="2"/>
      <c r="V40" s="2"/>
      <c r="W40" s="2"/>
      <c r="X40" s="2"/>
      <c r="Y40" s="2"/>
      <c r="Z40" s="2"/>
      <c r="AA40" s="2"/>
    </row>
    <row r="41" spans="1:27" x14ac:dyDescent="0.25">
      <c r="A41" s="1"/>
      <c r="B41" s="1"/>
      <c r="K41" s="1"/>
      <c r="T41" s="1"/>
    </row>
    <row r="43" spans="1:27" x14ac:dyDescent="0.25">
      <c r="A43" s="2"/>
      <c r="B43" s="2"/>
      <c r="C43" s="2"/>
      <c r="D43" s="2"/>
      <c r="E43" s="2"/>
      <c r="F43" s="2"/>
      <c r="G43" s="2"/>
      <c r="H43" s="2"/>
      <c r="J43" s="2"/>
      <c r="K43" s="2"/>
      <c r="L43" s="2"/>
      <c r="M43" s="2"/>
      <c r="N43" s="2"/>
      <c r="O43" s="2"/>
      <c r="P43" s="2"/>
      <c r="Q43" s="2"/>
    </row>
    <row r="44" spans="1:27" x14ac:dyDescent="0.25">
      <c r="A44" s="2"/>
      <c r="J44" s="2"/>
    </row>
    <row r="45" spans="1:27" x14ac:dyDescent="0.25">
      <c r="A45" s="2"/>
      <c r="J45" s="2"/>
    </row>
    <row r="46" spans="1:27" x14ac:dyDescent="0.25">
      <c r="A46" s="2"/>
      <c r="J46" s="2"/>
    </row>
    <row r="47" spans="1:27" x14ac:dyDescent="0.25">
      <c r="A47" s="2"/>
      <c r="J47" s="2"/>
    </row>
    <row r="48" spans="1:27" x14ac:dyDescent="0.2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0" x14ac:dyDescent="0.25">
      <c r="A49" s="1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J51" s="1"/>
    </row>
    <row r="52" spans="1:10" x14ac:dyDescent="0.25">
      <c r="A52" s="2"/>
      <c r="J52" s="2"/>
    </row>
    <row r="53" spans="1:10" x14ac:dyDescent="0.25">
      <c r="A53" s="2"/>
      <c r="J53" s="2"/>
    </row>
    <row r="54" spans="1:10" x14ac:dyDescent="0.25">
      <c r="A54" s="2"/>
      <c r="J54" s="2"/>
    </row>
    <row r="55" spans="1:10" x14ac:dyDescent="0.25">
      <c r="A55" s="2"/>
      <c r="J55" s="2"/>
    </row>
    <row r="56" spans="1:10" x14ac:dyDescent="0.25">
      <c r="A56" s="1"/>
      <c r="B56" s="2"/>
      <c r="C56" s="2"/>
      <c r="D56" s="2"/>
      <c r="E56" s="2"/>
      <c r="F56" s="2"/>
      <c r="G56" s="2"/>
      <c r="H56" s="2"/>
      <c r="J56" s="2"/>
    </row>
    <row r="57" spans="1:10" x14ac:dyDescent="0.25">
      <c r="A57" s="1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44686-A364-4FD7-BCC7-2B94FDDD2644}">
  <dimension ref="A1:M25"/>
  <sheetViews>
    <sheetView workbookViewId="0">
      <selection activeCell="J1" sqref="J1"/>
    </sheetView>
  </sheetViews>
  <sheetFormatPr defaultRowHeight="13.8" x14ac:dyDescent="0.25"/>
  <sheetData>
    <row r="1" spans="1:11" x14ac:dyDescent="0.25">
      <c r="A1" t="s">
        <v>67</v>
      </c>
      <c r="B1" s="6">
        <v>0</v>
      </c>
      <c r="C1" s="6">
        <v>10</v>
      </c>
      <c r="D1">
        <v>60</v>
      </c>
      <c r="E1">
        <v>120</v>
      </c>
      <c r="F1">
        <v>168</v>
      </c>
      <c r="G1">
        <v>360</v>
      </c>
      <c r="H1">
        <v>504</v>
      </c>
      <c r="J1" t="s">
        <v>53</v>
      </c>
      <c r="K1" t="s">
        <v>118</v>
      </c>
    </row>
    <row r="2" spans="1:11" x14ac:dyDescent="0.25">
      <c r="A2" t="s">
        <v>23</v>
      </c>
      <c r="B2" s="6">
        <v>6.915</v>
      </c>
      <c r="C2">
        <v>6.97</v>
      </c>
      <c r="D2" s="6">
        <v>5.5600000000000005</v>
      </c>
      <c r="E2" s="6">
        <v>5.74</v>
      </c>
      <c r="F2" s="6">
        <v>5.62</v>
      </c>
      <c r="G2" s="6">
        <v>5.37</v>
      </c>
      <c r="H2" s="6">
        <v>5.44</v>
      </c>
      <c r="J2">
        <v>5.4766666669999999</v>
      </c>
      <c r="K2">
        <v>663.26500008377718</v>
      </c>
    </row>
    <row r="3" spans="1:11" x14ac:dyDescent="0.25">
      <c r="A3" t="s">
        <v>25</v>
      </c>
      <c r="B3" s="6">
        <v>6.915</v>
      </c>
      <c r="C3">
        <v>6.96</v>
      </c>
      <c r="D3" s="6"/>
      <c r="E3" s="6"/>
      <c r="F3" s="6"/>
      <c r="G3" s="6"/>
      <c r="H3" s="6"/>
    </row>
    <row r="4" spans="1:11" x14ac:dyDescent="0.25">
      <c r="A4" t="s">
        <v>27</v>
      </c>
      <c r="B4" s="6">
        <v>6.915</v>
      </c>
      <c r="C4">
        <v>6.88</v>
      </c>
      <c r="D4" s="6">
        <v>5.44</v>
      </c>
      <c r="E4" s="6">
        <v>5.23</v>
      </c>
      <c r="F4" s="6">
        <v>5.32</v>
      </c>
      <c r="G4" s="6">
        <v>5.25</v>
      </c>
      <c r="H4" s="6">
        <v>5.52</v>
      </c>
      <c r="J4">
        <v>5.3633333329999999</v>
      </c>
      <c r="K4">
        <v>1193.5613214722234</v>
      </c>
    </row>
    <row r="5" spans="1:11" x14ac:dyDescent="0.25">
      <c r="A5" t="s">
        <v>29</v>
      </c>
      <c r="B5" s="6">
        <v>6.915</v>
      </c>
      <c r="C5">
        <v>6.91</v>
      </c>
      <c r="D5" s="6">
        <v>5.49</v>
      </c>
      <c r="E5" s="6"/>
      <c r="F5" s="6"/>
      <c r="G5" s="6"/>
      <c r="H5" s="6"/>
      <c r="J5" s="6"/>
    </row>
    <row r="6" spans="1:11" x14ac:dyDescent="0.25">
      <c r="A6" t="s">
        <v>69</v>
      </c>
      <c r="B6" s="6"/>
    </row>
    <row r="7" spans="1:11" x14ac:dyDescent="0.25">
      <c r="A7" t="s">
        <v>23</v>
      </c>
      <c r="B7" s="6">
        <v>6.915</v>
      </c>
      <c r="C7">
        <v>4.42</v>
      </c>
      <c r="D7" s="6">
        <v>4.45</v>
      </c>
      <c r="E7" s="6">
        <v>4.57</v>
      </c>
      <c r="F7" s="6">
        <v>4.6500000000000004</v>
      </c>
      <c r="G7" s="6">
        <v>4.46</v>
      </c>
      <c r="H7" s="6">
        <v>4.46</v>
      </c>
      <c r="J7">
        <f>AVERAGE(F7:H7)</f>
        <v>4.5233333333333334</v>
      </c>
      <c r="K7">
        <f>1468.46233100668-(646.3845017-0.00289287)</f>
        <v>822.08072217667996</v>
      </c>
    </row>
    <row r="8" spans="1:11" x14ac:dyDescent="0.25">
      <c r="A8" t="s">
        <v>25</v>
      </c>
      <c r="B8" s="6">
        <v>6.915</v>
      </c>
      <c r="C8">
        <v>4.3499999999999996</v>
      </c>
      <c r="D8" s="6">
        <v>4.22</v>
      </c>
      <c r="E8" s="6">
        <v>4.4400000000000004</v>
      </c>
      <c r="F8" s="6">
        <v>4.2300000000000004</v>
      </c>
      <c r="G8" s="6">
        <v>4.34</v>
      </c>
      <c r="H8" s="6">
        <v>4.37</v>
      </c>
      <c r="J8">
        <f t="shared" ref="J8:J25" si="0">AVERAGE(F8:H8)</f>
        <v>4.3133333333333335</v>
      </c>
      <c r="K8">
        <v>841.57407908856237</v>
      </c>
    </row>
    <row r="9" spans="1:11" x14ac:dyDescent="0.25">
      <c r="A9" t="s">
        <v>27</v>
      </c>
      <c r="B9" s="6">
        <v>6.915</v>
      </c>
      <c r="C9">
        <v>4.4800000000000004</v>
      </c>
      <c r="D9" s="6">
        <v>4.3099999999999996</v>
      </c>
      <c r="E9" s="6">
        <v>4.17</v>
      </c>
      <c r="F9" s="6">
        <v>4.71</v>
      </c>
      <c r="G9" s="6">
        <v>4.51</v>
      </c>
      <c r="H9" s="6">
        <v>4.4800000000000004</v>
      </c>
      <c r="J9">
        <f t="shared" si="0"/>
        <v>4.5666666666666664</v>
      </c>
      <c r="K9">
        <v>928.24113663440914</v>
      </c>
    </row>
    <row r="10" spans="1:11" x14ac:dyDescent="0.25">
      <c r="A10" s="6" t="s">
        <v>29</v>
      </c>
      <c r="B10" s="6">
        <v>6.915</v>
      </c>
      <c r="C10">
        <v>4.24</v>
      </c>
      <c r="D10" s="6">
        <v>4.37</v>
      </c>
      <c r="E10" s="6">
        <v>4.07</v>
      </c>
      <c r="F10" s="6">
        <v>4.55</v>
      </c>
      <c r="G10" s="6">
        <v>4.2300000000000004</v>
      </c>
      <c r="H10" s="6">
        <v>4.2699999999999996</v>
      </c>
      <c r="J10">
        <f t="shared" si="0"/>
        <v>4.3500000000000005</v>
      </c>
      <c r="K10">
        <v>822.09760602496715</v>
      </c>
    </row>
    <row r="11" spans="1:11" x14ac:dyDescent="0.25">
      <c r="A11" t="s">
        <v>70</v>
      </c>
      <c r="B11" s="6"/>
    </row>
    <row r="12" spans="1:11" x14ac:dyDescent="0.25">
      <c r="A12" t="s">
        <v>23</v>
      </c>
      <c r="B12" s="6">
        <v>6.915</v>
      </c>
      <c r="C12">
        <v>5.19</v>
      </c>
      <c r="D12" s="6">
        <v>7.63</v>
      </c>
      <c r="E12" s="6">
        <v>7.18</v>
      </c>
      <c r="F12" s="6">
        <v>8.3800000000000008</v>
      </c>
      <c r="G12" s="10">
        <v>8.3000000000000007</v>
      </c>
      <c r="H12" s="6">
        <v>8.26</v>
      </c>
      <c r="J12">
        <f t="shared" si="0"/>
        <v>8.3133333333333326</v>
      </c>
      <c r="K12">
        <v>22.386994432060078</v>
      </c>
    </row>
    <row r="13" spans="1:11" x14ac:dyDescent="0.25">
      <c r="A13" t="s">
        <v>25</v>
      </c>
      <c r="B13" s="6">
        <v>6.915</v>
      </c>
      <c r="C13">
        <v>5.23</v>
      </c>
      <c r="D13" s="12">
        <v>7.65</v>
      </c>
      <c r="E13" s="6">
        <v>7.25</v>
      </c>
      <c r="F13" s="6">
        <v>8.11</v>
      </c>
      <c r="G13" s="6">
        <v>8.2200000000000006</v>
      </c>
      <c r="H13" s="6">
        <v>8.2200000000000006</v>
      </c>
      <c r="J13">
        <f t="shared" si="0"/>
        <v>8.1833333333333318</v>
      </c>
      <c r="K13">
        <v>89.242435168991165</v>
      </c>
    </row>
    <row r="14" spans="1:11" x14ac:dyDescent="0.25">
      <c r="A14" t="s">
        <v>27</v>
      </c>
      <c r="B14" s="6">
        <v>6.915</v>
      </c>
      <c r="C14">
        <v>5.18</v>
      </c>
      <c r="D14" s="12">
        <v>7.76</v>
      </c>
      <c r="E14" s="6">
        <v>7.44</v>
      </c>
      <c r="F14" s="6">
        <v>8.27</v>
      </c>
      <c r="G14" s="6">
        <v>8.41</v>
      </c>
      <c r="H14" s="6">
        <v>8.42</v>
      </c>
      <c r="J14">
        <f t="shared" si="0"/>
        <v>8.3666666666666671</v>
      </c>
      <c r="K14">
        <v>79.091941962049987</v>
      </c>
    </row>
    <row r="15" spans="1:11" x14ac:dyDescent="0.25">
      <c r="A15" t="s">
        <v>29</v>
      </c>
      <c r="B15" s="6">
        <v>6.915</v>
      </c>
      <c r="C15">
        <v>5.25</v>
      </c>
    </row>
    <row r="16" spans="1:11" x14ac:dyDescent="0.25">
      <c r="A16" t="s">
        <v>71</v>
      </c>
      <c r="B16" s="6"/>
    </row>
    <row r="17" spans="1:13" x14ac:dyDescent="0.25">
      <c r="A17" t="s">
        <v>23</v>
      </c>
      <c r="B17" s="6">
        <v>6.915</v>
      </c>
      <c r="C17">
        <v>5.09</v>
      </c>
      <c r="D17" s="6">
        <v>7.5600000000000005</v>
      </c>
      <c r="E17" s="6">
        <v>8.36</v>
      </c>
      <c r="F17" s="6">
        <v>8.84</v>
      </c>
      <c r="G17" s="6">
        <v>7.48</v>
      </c>
      <c r="H17" s="6">
        <v>7.03</v>
      </c>
      <c r="J17" s="14">
        <f t="shared" si="0"/>
        <v>7.7833333333333341</v>
      </c>
      <c r="K17">
        <v>-16.302028666803153</v>
      </c>
    </row>
    <row r="18" spans="1:13" x14ac:dyDescent="0.25">
      <c r="A18" t="s">
        <v>25</v>
      </c>
      <c r="B18" s="6">
        <v>6.915</v>
      </c>
      <c r="C18">
        <v>5.04</v>
      </c>
      <c r="D18" s="6">
        <v>7.23</v>
      </c>
      <c r="E18" s="6">
        <v>8.11</v>
      </c>
      <c r="F18" s="6">
        <v>8.5399999999999991</v>
      </c>
      <c r="G18" s="6">
        <v>7.62</v>
      </c>
      <c r="H18" s="6">
        <v>7.11</v>
      </c>
      <c r="J18">
        <f t="shared" si="0"/>
        <v>7.7566666666666668</v>
      </c>
      <c r="K18">
        <v>55.951051408148714</v>
      </c>
    </row>
    <row r="19" spans="1:13" x14ac:dyDescent="0.25">
      <c r="A19" t="s">
        <v>27</v>
      </c>
      <c r="B19" s="6">
        <v>6.915</v>
      </c>
      <c r="C19">
        <v>5</v>
      </c>
      <c r="D19" s="6">
        <v>7.11</v>
      </c>
      <c r="E19" s="6">
        <v>7.87</v>
      </c>
      <c r="F19" s="6">
        <v>8.33</v>
      </c>
      <c r="G19" s="6">
        <v>7.23</v>
      </c>
      <c r="H19" s="6">
        <v>6.98</v>
      </c>
      <c r="J19">
        <f t="shared" si="0"/>
        <v>7.5133333333333328</v>
      </c>
      <c r="K19">
        <v>30.156236674066804</v>
      </c>
      <c r="M19" t="s">
        <v>149</v>
      </c>
    </row>
    <row r="20" spans="1:13" x14ac:dyDescent="0.25">
      <c r="A20" t="s">
        <v>29</v>
      </c>
      <c r="B20" s="6">
        <v>6.915</v>
      </c>
      <c r="C20">
        <v>5.1100000000000003</v>
      </c>
      <c r="D20" s="6">
        <v>7.27</v>
      </c>
      <c r="E20" s="6">
        <v>8.0299999999999994</v>
      </c>
    </row>
    <row r="21" spans="1:13" x14ac:dyDescent="0.25">
      <c r="A21" t="s">
        <v>72</v>
      </c>
      <c r="B21" s="6"/>
    </row>
    <row r="22" spans="1:13" x14ac:dyDescent="0.25">
      <c r="A22" t="s">
        <v>23</v>
      </c>
      <c r="B22" s="6">
        <v>6.915</v>
      </c>
      <c r="C22">
        <v>4.3099999999999996</v>
      </c>
      <c r="D22" s="6">
        <v>4.22</v>
      </c>
      <c r="E22" s="6">
        <v>4.29</v>
      </c>
      <c r="F22" s="10">
        <v>4.3600000000000003</v>
      </c>
      <c r="G22" s="6">
        <v>4.21</v>
      </c>
      <c r="H22" s="6">
        <v>4.37</v>
      </c>
      <c r="J22">
        <f t="shared" si="0"/>
        <v>4.3133333333333335</v>
      </c>
      <c r="K22">
        <v>623.23342196252577</v>
      </c>
    </row>
    <row r="23" spans="1:13" x14ac:dyDescent="0.25">
      <c r="A23" t="s">
        <v>25</v>
      </c>
      <c r="B23" s="6">
        <v>6.915</v>
      </c>
      <c r="C23">
        <v>4.38</v>
      </c>
      <c r="D23" s="6">
        <v>4.17</v>
      </c>
      <c r="E23" s="6">
        <v>4.24</v>
      </c>
      <c r="F23" s="6">
        <v>4.17</v>
      </c>
      <c r="G23" s="6">
        <v>4.42</v>
      </c>
      <c r="H23" s="6">
        <v>4.24</v>
      </c>
      <c r="J23">
        <f t="shared" si="0"/>
        <v>4.2766666666666664</v>
      </c>
      <c r="K23">
        <v>864.76069469553283</v>
      </c>
    </row>
    <row r="24" spans="1:13" x14ac:dyDescent="0.25">
      <c r="A24" t="s">
        <v>27</v>
      </c>
      <c r="B24" s="6">
        <v>6.915</v>
      </c>
      <c r="C24">
        <v>4.38</v>
      </c>
      <c r="D24" s="6">
        <v>4.32</v>
      </c>
      <c r="E24" s="6">
        <v>4.43</v>
      </c>
      <c r="F24" s="6">
        <v>4.22</v>
      </c>
      <c r="G24" s="6">
        <v>4.37</v>
      </c>
      <c r="H24" s="6">
        <v>4.3499999999999996</v>
      </c>
      <c r="J24">
        <f t="shared" si="0"/>
        <v>4.3133333333333335</v>
      </c>
      <c r="K24">
        <v>863.84443043795125</v>
      </c>
    </row>
    <row r="25" spans="1:13" x14ac:dyDescent="0.25">
      <c r="A25" t="s">
        <v>29</v>
      </c>
      <c r="B25" s="6">
        <v>6.915</v>
      </c>
      <c r="C25">
        <v>4.2699999999999996</v>
      </c>
      <c r="D25" s="6">
        <v>4.21</v>
      </c>
      <c r="E25" s="6">
        <v>4.32</v>
      </c>
      <c r="F25" s="6">
        <v>4.51</v>
      </c>
      <c r="G25" s="6">
        <v>4.22</v>
      </c>
      <c r="H25" s="6">
        <v>4.42</v>
      </c>
      <c r="J25">
        <f t="shared" si="0"/>
        <v>4.3833333333333337</v>
      </c>
      <c r="K25">
        <v>866.09000758843638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575B-0371-4174-9DD4-C543BD59D16A}">
  <dimension ref="A1"/>
  <sheetViews>
    <sheetView workbookViewId="0"/>
  </sheetViews>
  <sheetFormatPr defaultRowHeight="13.8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6F9DC-4AD7-4886-AF63-F585051FCA8A}">
  <dimension ref="A1:S48"/>
  <sheetViews>
    <sheetView workbookViewId="0">
      <selection activeCell="G13" sqref="G13"/>
    </sheetView>
  </sheetViews>
  <sheetFormatPr defaultRowHeight="13.8" x14ac:dyDescent="0.25"/>
  <cols>
    <col min="1" max="16384" width="8.88671875" style="15"/>
  </cols>
  <sheetData>
    <row r="1" spans="1:19" x14ac:dyDescent="0.25">
      <c r="A1" s="15" t="s">
        <v>80</v>
      </c>
      <c r="B1" s="15" t="s">
        <v>84</v>
      </c>
    </row>
    <row r="3" spans="1:19" x14ac:dyDescent="0.25">
      <c r="A3" s="5" t="s">
        <v>85</v>
      </c>
      <c r="B3" s="16" t="s">
        <v>68</v>
      </c>
      <c r="C3" s="5" t="s">
        <v>86</v>
      </c>
      <c r="D3" s="5"/>
      <c r="E3" s="5" t="s">
        <v>85</v>
      </c>
      <c r="F3" s="17" t="s">
        <v>69</v>
      </c>
      <c r="G3" s="5" t="s">
        <v>86</v>
      </c>
      <c r="H3" s="5"/>
      <c r="I3" s="5" t="s">
        <v>85</v>
      </c>
      <c r="J3" s="17" t="s">
        <v>70</v>
      </c>
      <c r="K3" s="5" t="s">
        <v>86</v>
      </c>
      <c r="L3" s="5"/>
      <c r="M3" s="5" t="s">
        <v>85</v>
      </c>
      <c r="N3" s="17" t="s">
        <v>71</v>
      </c>
      <c r="O3" s="5" t="s">
        <v>86</v>
      </c>
      <c r="P3" s="5"/>
      <c r="Q3" s="5" t="s">
        <v>85</v>
      </c>
      <c r="R3" s="18" t="s">
        <v>72</v>
      </c>
      <c r="S3" s="5" t="s">
        <v>86</v>
      </c>
    </row>
    <row r="4" spans="1:19" x14ac:dyDescent="0.25">
      <c r="A4" s="5">
        <v>0</v>
      </c>
      <c r="B4" s="5">
        <v>4.550000000000002E-3</v>
      </c>
      <c r="C4" s="7">
        <v>6.9999999999999923E-4</v>
      </c>
      <c r="D4" s="5"/>
      <c r="E4" s="5">
        <v>0</v>
      </c>
      <c r="F4" s="5">
        <v>5.6749999999999978E-3</v>
      </c>
      <c r="G4" s="7">
        <v>6.9999999999999923E-4</v>
      </c>
      <c r="H4" s="5"/>
      <c r="I4" s="5">
        <v>0</v>
      </c>
      <c r="J4" s="5">
        <v>5.2500000000000012E-3</v>
      </c>
      <c r="K4" s="7">
        <v>9.5999999999999974E-3</v>
      </c>
      <c r="L4" s="5"/>
      <c r="M4" s="5">
        <v>0</v>
      </c>
      <c r="N4" s="5">
        <v>1.2025000000000001E-2</v>
      </c>
      <c r="O4" s="7">
        <v>1.0300000000000004E-2</v>
      </c>
      <c r="P4" s="5"/>
      <c r="Q4" s="5">
        <v>0</v>
      </c>
      <c r="R4" s="5">
        <v>6.7624999999999991E-2</v>
      </c>
      <c r="S4" s="7">
        <v>5.0199999999999995E-2</v>
      </c>
    </row>
    <row r="5" spans="1:19" x14ac:dyDescent="0.25">
      <c r="A5" s="5">
        <v>10</v>
      </c>
      <c r="B5" s="5">
        <v>2.0999999999999994E-3</v>
      </c>
      <c r="C5" s="7">
        <v>-1.2999999999999956E-3</v>
      </c>
      <c r="D5" s="5"/>
      <c r="E5" s="5">
        <v>10</v>
      </c>
      <c r="F5" s="5">
        <v>0.48186666666666667</v>
      </c>
      <c r="G5" s="7">
        <v>0.51339999999999997</v>
      </c>
      <c r="H5" s="5"/>
      <c r="I5" s="5">
        <v>10</v>
      </c>
      <c r="J5" s="5">
        <v>7.5449999999999989E-2</v>
      </c>
      <c r="K5" s="7">
        <v>0.1391</v>
      </c>
      <c r="L5" s="5"/>
      <c r="M5" s="5">
        <v>10</v>
      </c>
      <c r="N5" s="5">
        <v>0.28359999999999996</v>
      </c>
      <c r="O5" s="7">
        <v>0.32079999999999997</v>
      </c>
      <c r="P5" s="5"/>
      <c r="Q5" s="5">
        <v>10</v>
      </c>
      <c r="R5" s="5">
        <v>0.48694999999999999</v>
      </c>
      <c r="S5" s="7">
        <v>0.5363</v>
      </c>
    </row>
    <row r="6" spans="1:19" x14ac:dyDescent="0.25">
      <c r="A6" s="5">
        <v>17</v>
      </c>
      <c r="B6" s="7">
        <f>AVERAGE(B2:B5)</f>
        <v>3.3250000000000007E-3</v>
      </c>
      <c r="C6" s="7">
        <v>2.1000000000000046E-3</v>
      </c>
      <c r="D6" s="5"/>
      <c r="E6" s="5">
        <v>17</v>
      </c>
      <c r="F6" s="7">
        <v>0.50182499999999997</v>
      </c>
      <c r="G6" s="7">
        <v>0.55249999999999999</v>
      </c>
      <c r="H6" s="5"/>
      <c r="I6" s="5">
        <v>17</v>
      </c>
      <c r="J6" s="7">
        <f>AVERAGE(J2:J5)</f>
        <v>4.0349999999999997E-2</v>
      </c>
      <c r="K6" s="7">
        <v>0.14119999999999999</v>
      </c>
      <c r="L6" s="5"/>
      <c r="M6" s="5">
        <v>17</v>
      </c>
      <c r="N6" s="7">
        <f>AVERAGE(N2:N5)</f>
        <v>0.14781249999999999</v>
      </c>
      <c r="O6" s="7">
        <v>0.30149999999999999</v>
      </c>
      <c r="P6" s="5"/>
      <c r="Q6" s="5">
        <v>17</v>
      </c>
      <c r="R6" s="7">
        <f>AVERAGE(R2:R5)</f>
        <v>0.27728750000000002</v>
      </c>
      <c r="S6" s="7">
        <v>0.64880000000000004</v>
      </c>
    </row>
    <row r="7" spans="1:19" x14ac:dyDescent="0.25">
      <c r="A7" s="5">
        <v>26</v>
      </c>
      <c r="B7" s="5">
        <v>1.3125000000000001E-2</v>
      </c>
      <c r="C7" s="7">
        <v>-1.04E-2</v>
      </c>
      <c r="D7" s="5"/>
      <c r="E7" s="5">
        <v>26</v>
      </c>
      <c r="F7" s="5">
        <v>0.51305000000000001</v>
      </c>
      <c r="G7" s="7">
        <v>0.54669999999999996</v>
      </c>
      <c r="H7" s="5"/>
      <c r="I7" s="5">
        <v>26</v>
      </c>
      <c r="J7" s="5">
        <v>3.1774999999999998E-2</v>
      </c>
      <c r="K7" s="7">
        <v>2.7099999999999999E-2</v>
      </c>
      <c r="L7" s="5"/>
      <c r="M7" s="5">
        <v>26</v>
      </c>
      <c r="N7" s="5">
        <v>0.27684999999999998</v>
      </c>
      <c r="O7" s="7">
        <v>0.17750000000000002</v>
      </c>
      <c r="P7" s="5"/>
      <c r="Q7" s="5">
        <v>26</v>
      </c>
      <c r="R7" s="5">
        <v>0.61814999999999998</v>
      </c>
      <c r="S7" s="7">
        <v>0.7399</v>
      </c>
    </row>
    <row r="8" spans="1:19" x14ac:dyDescent="0.25">
      <c r="A8" s="5">
        <v>32</v>
      </c>
      <c r="B8" s="5">
        <v>2.6074999999999997E-2</v>
      </c>
      <c r="C8" s="7">
        <v>1.0000000000000009E-3</v>
      </c>
      <c r="D8" s="5"/>
      <c r="E8" s="5">
        <v>32</v>
      </c>
      <c r="F8" s="5">
        <v>0.51900000000000002</v>
      </c>
      <c r="G8" s="7">
        <v>0.42730000000000001</v>
      </c>
      <c r="H8" s="5"/>
      <c r="I8" s="5">
        <v>32</v>
      </c>
      <c r="J8" s="8">
        <v>2.7033333333333329E-2</v>
      </c>
      <c r="K8" s="7">
        <v>2.2599999999999995E-2</v>
      </c>
      <c r="L8" s="5"/>
      <c r="M8" s="5">
        <v>32</v>
      </c>
      <c r="N8" s="5">
        <v>0.34557499999999997</v>
      </c>
      <c r="O8" s="7">
        <v>0.25840000000000002</v>
      </c>
      <c r="P8" s="5"/>
      <c r="Q8" s="5">
        <v>32</v>
      </c>
      <c r="R8" s="5">
        <v>0.505575</v>
      </c>
      <c r="S8" s="7">
        <v>0.88690000000000002</v>
      </c>
    </row>
    <row r="9" spans="1:19" x14ac:dyDescent="0.25">
      <c r="A9" s="5">
        <v>48</v>
      </c>
      <c r="B9" s="5">
        <v>7.5533333333333341E-2</v>
      </c>
      <c r="C9" s="7">
        <v>5.0500000000000003E-2</v>
      </c>
      <c r="D9" s="5"/>
      <c r="E9" s="5">
        <v>48</v>
      </c>
      <c r="F9" s="5">
        <v>0.37327500000000002</v>
      </c>
      <c r="G9" s="7">
        <v>0.41809999999999997</v>
      </c>
      <c r="H9" s="5"/>
      <c r="I9" s="5">
        <v>48</v>
      </c>
      <c r="J9" s="5">
        <v>0.2029</v>
      </c>
      <c r="K9" s="7">
        <v>0.30620000000000003</v>
      </c>
      <c r="L9" s="5"/>
      <c r="M9" s="5">
        <v>48</v>
      </c>
      <c r="N9" s="5">
        <v>0.71590000000000009</v>
      </c>
      <c r="O9" s="7">
        <v>0.44359999999999999</v>
      </c>
      <c r="P9" s="5"/>
      <c r="Q9" s="5">
        <v>48</v>
      </c>
      <c r="R9" s="5">
        <v>0.25017499999999998</v>
      </c>
      <c r="S9" s="7">
        <v>0.90539999999999998</v>
      </c>
    </row>
    <row r="10" spans="1:19" x14ac:dyDescent="0.25">
      <c r="A10" s="5">
        <v>60</v>
      </c>
      <c r="B10" s="5">
        <v>9.6433333333333329E-2</v>
      </c>
      <c r="C10" s="7">
        <v>3.7000000000000005E-2</v>
      </c>
      <c r="D10" s="5"/>
      <c r="E10" s="5">
        <v>60</v>
      </c>
      <c r="F10" s="5">
        <v>0.41044999999999998</v>
      </c>
      <c r="G10" s="7">
        <v>0.4632</v>
      </c>
      <c r="H10" s="5"/>
      <c r="I10" s="5">
        <v>60</v>
      </c>
      <c r="J10" s="5">
        <v>0.32256666666666672</v>
      </c>
      <c r="K10" s="7">
        <v>0.20689999999999997</v>
      </c>
      <c r="L10" s="5"/>
      <c r="M10" s="5">
        <v>60</v>
      </c>
      <c r="N10" s="5">
        <v>0.76434999999999997</v>
      </c>
      <c r="O10" s="7">
        <v>0.46889999999999998</v>
      </c>
      <c r="P10" s="5"/>
      <c r="Q10" s="5">
        <v>60</v>
      </c>
      <c r="R10" s="5">
        <v>0.40412500000000001</v>
      </c>
      <c r="S10" s="7">
        <v>0.85530000000000006</v>
      </c>
    </row>
    <row r="11" spans="1:19" x14ac:dyDescent="0.25">
      <c r="A11" s="5">
        <v>72</v>
      </c>
      <c r="B11" s="5">
        <v>9.1200000000000017E-2</v>
      </c>
      <c r="C11" s="7">
        <v>7.0699999999999999E-2</v>
      </c>
      <c r="D11" s="5"/>
      <c r="E11" s="5">
        <v>72</v>
      </c>
      <c r="F11" s="5">
        <v>0.34555000000000002</v>
      </c>
      <c r="G11" s="7">
        <v>0.48520000000000002</v>
      </c>
      <c r="H11" s="5"/>
      <c r="I11" s="5">
        <v>72</v>
      </c>
      <c r="J11" s="5">
        <v>0.60863333333333325</v>
      </c>
      <c r="K11" s="7">
        <v>0.70679999999999998</v>
      </c>
      <c r="L11" s="5"/>
      <c r="M11" s="5">
        <v>72</v>
      </c>
      <c r="N11" s="5">
        <v>1.1921333333333335</v>
      </c>
      <c r="O11" s="7">
        <v>0.57750000000000001</v>
      </c>
      <c r="P11" s="5"/>
      <c r="Q11" s="5">
        <v>72</v>
      </c>
      <c r="R11" s="5">
        <v>0.48467500000000002</v>
      </c>
      <c r="S11" s="7">
        <v>0.91869999999999996</v>
      </c>
    </row>
    <row r="12" spans="1:19" x14ac:dyDescent="0.25">
      <c r="A12" s="5">
        <v>84</v>
      </c>
      <c r="B12" s="5">
        <v>0.10496666666666665</v>
      </c>
      <c r="C12" s="7">
        <v>7.7200000000000005E-2</v>
      </c>
      <c r="D12" s="5"/>
      <c r="E12" s="5">
        <v>84</v>
      </c>
      <c r="F12" s="5">
        <v>0.33355000000000001</v>
      </c>
      <c r="G12" s="7">
        <v>0.42500000000000004</v>
      </c>
      <c r="H12" s="5"/>
      <c r="I12" s="5">
        <v>84</v>
      </c>
      <c r="J12" s="5">
        <v>0.86126666666666674</v>
      </c>
      <c r="K12" s="7">
        <v>0.7631</v>
      </c>
      <c r="L12" s="5"/>
      <c r="M12" s="5">
        <v>84</v>
      </c>
      <c r="N12" s="5">
        <v>1.0926</v>
      </c>
      <c r="O12" s="7">
        <v>0.42349999999999999</v>
      </c>
      <c r="P12" s="5"/>
      <c r="Q12" s="5">
        <v>84</v>
      </c>
      <c r="R12" s="5">
        <v>0.36322500000000002</v>
      </c>
      <c r="S12" s="7">
        <v>0.87330000000000008</v>
      </c>
    </row>
    <row r="13" spans="1:19" x14ac:dyDescent="0.25">
      <c r="A13" s="5">
        <v>96</v>
      </c>
      <c r="B13" s="5">
        <v>0.11716666666666668</v>
      </c>
      <c r="C13" s="7">
        <v>9.1200000000000003E-2</v>
      </c>
      <c r="D13" s="5"/>
      <c r="E13" s="5">
        <v>96</v>
      </c>
      <c r="F13" s="5">
        <v>0.44515000000000005</v>
      </c>
      <c r="G13" s="7">
        <v>0.63229999999999997</v>
      </c>
      <c r="H13" s="5"/>
      <c r="I13" s="5">
        <v>96</v>
      </c>
      <c r="J13" s="5">
        <v>0.81106666666666671</v>
      </c>
      <c r="K13" s="7">
        <v>0.94569999999999999</v>
      </c>
      <c r="L13" s="5"/>
      <c r="M13" s="5">
        <v>96</v>
      </c>
      <c r="N13" s="5">
        <v>1.1598333333333333</v>
      </c>
      <c r="O13" s="7">
        <v>0.84209999999999996</v>
      </c>
      <c r="P13" s="5"/>
      <c r="Q13" s="5">
        <v>96</v>
      </c>
      <c r="R13" s="5">
        <v>0.50427500000000003</v>
      </c>
      <c r="S13" s="7">
        <v>0.95389999999999997</v>
      </c>
    </row>
    <row r="14" spans="1:19" x14ac:dyDescent="0.25">
      <c r="A14" s="5">
        <v>120</v>
      </c>
      <c r="B14" s="5">
        <v>0.12999999999999998</v>
      </c>
      <c r="C14" s="7">
        <v>0.11103</v>
      </c>
      <c r="D14" s="5"/>
      <c r="E14" s="5">
        <v>120</v>
      </c>
      <c r="F14" s="5">
        <v>0.40842500000000004</v>
      </c>
      <c r="G14" s="7">
        <v>0.62559999999999993</v>
      </c>
      <c r="H14" s="5"/>
      <c r="I14" s="5">
        <v>120</v>
      </c>
      <c r="J14" s="5">
        <v>0.8182666666666667</v>
      </c>
      <c r="K14" s="7">
        <v>0.9716999999999999</v>
      </c>
      <c r="L14" s="5"/>
      <c r="M14" s="5">
        <v>120</v>
      </c>
      <c r="N14" s="5">
        <v>1.1997333333333333</v>
      </c>
      <c r="O14" s="7">
        <v>0.39810000000000001</v>
      </c>
      <c r="P14" s="5"/>
      <c r="Q14" s="5">
        <v>120</v>
      </c>
      <c r="R14" s="5">
        <v>0.63790000000000002</v>
      </c>
      <c r="S14" s="7">
        <v>0.97519999999999996</v>
      </c>
    </row>
    <row r="15" spans="1:19" x14ac:dyDescent="0.25">
      <c r="A15" s="5">
        <v>144</v>
      </c>
      <c r="B15" s="5">
        <v>0.1462</v>
      </c>
      <c r="C15" s="7">
        <v>0.12391000000000001</v>
      </c>
      <c r="D15" s="5"/>
      <c r="E15" s="5">
        <v>144</v>
      </c>
      <c r="F15" s="5">
        <v>0.305475</v>
      </c>
      <c r="G15" s="7">
        <v>0.56729999999999992</v>
      </c>
      <c r="H15" s="5"/>
      <c r="I15" s="5">
        <v>144</v>
      </c>
      <c r="J15" s="5">
        <v>0.84956666666666669</v>
      </c>
      <c r="K15" s="7">
        <v>0.93889999999999996</v>
      </c>
      <c r="L15" s="5"/>
      <c r="M15" s="5">
        <v>144</v>
      </c>
      <c r="N15" s="5">
        <v>1.0464</v>
      </c>
      <c r="O15" s="7">
        <v>0.53999999999999992</v>
      </c>
      <c r="P15" s="5"/>
      <c r="Q15" s="5">
        <v>144</v>
      </c>
      <c r="R15" s="5">
        <v>0.56952499999999995</v>
      </c>
      <c r="S15" s="7">
        <v>0.94229999999999992</v>
      </c>
    </row>
    <row r="16" spans="1:19" x14ac:dyDescent="0.25">
      <c r="A16" s="5">
        <v>168</v>
      </c>
      <c r="B16" s="5">
        <v>0.15570000000000001</v>
      </c>
      <c r="C16" s="7">
        <v>0.12747</v>
      </c>
      <c r="D16" s="5"/>
      <c r="E16" s="5">
        <v>168</v>
      </c>
      <c r="F16" s="5">
        <v>0.42527499999999996</v>
      </c>
      <c r="G16" s="7">
        <v>0.66699999999999993</v>
      </c>
      <c r="H16" s="5"/>
      <c r="I16" s="5">
        <v>168</v>
      </c>
      <c r="J16" s="5">
        <v>0.79666666666666675</v>
      </c>
      <c r="K16" s="7">
        <v>1.026</v>
      </c>
      <c r="L16" s="5"/>
      <c r="M16" s="5">
        <v>168</v>
      </c>
      <c r="N16" s="5">
        <v>1.0274999999999999</v>
      </c>
      <c r="O16" s="7">
        <v>0.39249999999999996</v>
      </c>
      <c r="P16" s="5"/>
      <c r="Q16" s="5">
        <v>168</v>
      </c>
      <c r="R16" s="5">
        <v>0.59370000000000001</v>
      </c>
      <c r="S16" s="7">
        <v>0.99289999999999989</v>
      </c>
    </row>
    <row r="17" spans="1:19" x14ac:dyDescent="0.25">
      <c r="A17" s="5">
        <v>192</v>
      </c>
      <c r="B17" s="5">
        <v>0.15360000000000001</v>
      </c>
      <c r="C17" s="7">
        <v>0.11738</v>
      </c>
      <c r="D17" s="5"/>
      <c r="E17" s="5">
        <v>192</v>
      </c>
      <c r="F17" s="5">
        <v>0.43377500000000002</v>
      </c>
      <c r="G17" s="7">
        <v>0.60830000000000006</v>
      </c>
      <c r="H17" s="5"/>
      <c r="I17" s="5">
        <v>192</v>
      </c>
      <c r="J17" s="5">
        <v>0.81916666666666671</v>
      </c>
      <c r="K17" s="7">
        <v>1.0385</v>
      </c>
      <c r="L17" s="5"/>
      <c r="M17" s="5">
        <v>192</v>
      </c>
      <c r="N17" s="5">
        <v>1.0295333333333334</v>
      </c>
      <c r="O17" s="7">
        <v>0.55160000000000009</v>
      </c>
      <c r="P17" s="5"/>
      <c r="Q17" s="5">
        <v>192</v>
      </c>
      <c r="R17" s="5">
        <v>0.63945000000000007</v>
      </c>
      <c r="S17" s="7">
        <v>0.9899</v>
      </c>
    </row>
    <row r="18" spans="1:19" x14ac:dyDescent="0.25">
      <c r="A18" s="5">
        <v>216</v>
      </c>
      <c r="B18" s="5">
        <v>0.18385000000000001</v>
      </c>
      <c r="C18" s="7">
        <v>0.11623</v>
      </c>
      <c r="D18" s="5"/>
      <c r="E18" s="5">
        <v>216</v>
      </c>
      <c r="F18" s="5">
        <v>0.43985000000000002</v>
      </c>
      <c r="G18" s="7">
        <v>0.66449999999999998</v>
      </c>
      <c r="H18" s="5"/>
      <c r="I18" s="5">
        <v>216</v>
      </c>
      <c r="J18" s="5">
        <v>0.79606666666666659</v>
      </c>
      <c r="K18" s="7">
        <v>1.0926</v>
      </c>
      <c r="L18" s="5"/>
      <c r="M18" s="5">
        <v>216</v>
      </c>
      <c r="N18" s="5">
        <v>0.96963333333333335</v>
      </c>
      <c r="O18" s="7">
        <v>0.39529999999999998</v>
      </c>
      <c r="P18" s="5"/>
      <c r="Q18" s="5">
        <v>216</v>
      </c>
      <c r="R18" s="5">
        <v>0.67477500000000001</v>
      </c>
      <c r="S18" s="7">
        <v>1.0135000000000001</v>
      </c>
    </row>
    <row r="19" spans="1:19" x14ac:dyDescent="0.25">
      <c r="A19" s="5">
        <v>240</v>
      </c>
      <c r="B19" s="5">
        <v>0.1336</v>
      </c>
      <c r="C19" s="7">
        <v>0.11996999999999999</v>
      </c>
      <c r="D19" s="5"/>
      <c r="E19" s="5">
        <v>240</v>
      </c>
      <c r="F19" s="5">
        <v>0.34089999999999998</v>
      </c>
      <c r="G19" s="7">
        <v>0.4405</v>
      </c>
      <c r="H19" s="5"/>
      <c r="I19" s="5">
        <v>240</v>
      </c>
      <c r="J19" s="5">
        <v>0.67483333333333329</v>
      </c>
      <c r="K19" s="7">
        <v>0.95850000000000002</v>
      </c>
      <c r="L19" s="5"/>
      <c r="M19" s="5">
        <v>240</v>
      </c>
      <c r="N19" s="5">
        <v>0.81153333333333333</v>
      </c>
      <c r="O19" s="7">
        <v>0.5968</v>
      </c>
      <c r="P19" s="5"/>
      <c r="Q19" s="5">
        <v>240</v>
      </c>
      <c r="R19" s="5">
        <v>0.57905000000000006</v>
      </c>
      <c r="S19" s="5">
        <v>1.0057</v>
      </c>
    </row>
    <row r="20" spans="1:19" x14ac:dyDescent="0.25">
      <c r="A20" s="5">
        <v>360</v>
      </c>
      <c r="B20" s="5">
        <v>0.141455</v>
      </c>
      <c r="C20" s="7">
        <v>0.12833</v>
      </c>
      <c r="D20" s="5"/>
      <c r="E20" s="5">
        <v>360</v>
      </c>
      <c r="F20" s="5">
        <v>0.28985</v>
      </c>
      <c r="G20" s="7">
        <v>0.60960000000000003</v>
      </c>
      <c r="H20" s="5"/>
      <c r="I20" s="5">
        <v>360</v>
      </c>
      <c r="J20" s="5">
        <v>0.45496666666666669</v>
      </c>
      <c r="K20" s="5">
        <v>1.1032</v>
      </c>
      <c r="L20" s="5"/>
      <c r="M20" s="5">
        <v>360</v>
      </c>
      <c r="N20" s="5">
        <v>0.49746666666666667</v>
      </c>
      <c r="O20" s="5">
        <v>0.67380000000000007</v>
      </c>
      <c r="P20" s="5"/>
      <c r="Q20" s="5">
        <v>360</v>
      </c>
      <c r="R20" s="5">
        <v>0.44774999999999998</v>
      </c>
      <c r="S20" s="5">
        <v>1.0409999999999999</v>
      </c>
    </row>
    <row r="21" spans="1:19" x14ac:dyDescent="0.25">
      <c r="A21" s="5">
        <v>504</v>
      </c>
      <c r="B21" s="5">
        <v>0.15840500000000002</v>
      </c>
      <c r="C21" s="7">
        <v>0.13431000000000001</v>
      </c>
      <c r="D21" s="5"/>
      <c r="E21" s="5">
        <v>504</v>
      </c>
      <c r="F21" s="5">
        <v>0.32345000000000002</v>
      </c>
      <c r="G21" s="7">
        <v>0.82540000000000002</v>
      </c>
      <c r="H21" s="5"/>
      <c r="I21" s="5">
        <v>504</v>
      </c>
      <c r="J21" s="5">
        <v>0.2845333333333333</v>
      </c>
      <c r="K21" s="5">
        <v>1.256</v>
      </c>
      <c r="L21" s="5"/>
      <c r="M21" s="5">
        <v>504</v>
      </c>
      <c r="N21" s="5">
        <v>0.34863333333333335</v>
      </c>
      <c r="O21" s="5">
        <v>0.68980000000000008</v>
      </c>
      <c r="P21" s="5"/>
      <c r="Q21" s="5">
        <v>504</v>
      </c>
      <c r="R21" s="5">
        <v>0.38572499999999998</v>
      </c>
      <c r="S21" s="5">
        <v>1.1478999999999999</v>
      </c>
    </row>
    <row r="23" spans="1:19" x14ac:dyDescent="0.25">
      <c r="A23" s="15" t="s">
        <v>88</v>
      </c>
      <c r="B23" s="15" t="s">
        <v>81</v>
      </c>
    </row>
    <row r="25" spans="1:19" x14ac:dyDescent="0.25">
      <c r="A25" s="19"/>
      <c r="B25" s="16" t="s">
        <v>68</v>
      </c>
      <c r="C25" s="17" t="s">
        <v>69</v>
      </c>
      <c r="D25" s="17" t="s">
        <v>70</v>
      </c>
      <c r="E25" s="17" t="s">
        <v>71</v>
      </c>
      <c r="F25" s="18" t="s">
        <v>72</v>
      </c>
      <c r="G25" s="16"/>
    </row>
    <row r="26" spans="1:19" x14ac:dyDescent="0.25">
      <c r="A26" s="20" t="s">
        <v>83</v>
      </c>
      <c r="B26" s="15">
        <v>5.4700000000000006</v>
      </c>
      <c r="C26" s="15">
        <v>4.5350000000000001</v>
      </c>
      <c r="D26" s="15">
        <v>8.2533333333333339</v>
      </c>
      <c r="E26" s="15">
        <v>8.57</v>
      </c>
      <c r="F26" s="15">
        <v>4.3149999999999995</v>
      </c>
    </row>
    <row r="27" spans="1:19" x14ac:dyDescent="0.25">
      <c r="A27" s="20" t="s">
        <v>82</v>
      </c>
      <c r="B27" s="19">
        <v>5.04</v>
      </c>
      <c r="C27" s="19">
        <v>4.68</v>
      </c>
      <c r="D27" s="19">
        <v>5.85</v>
      </c>
      <c r="E27" s="19">
        <v>6.48</v>
      </c>
      <c r="F27" s="19">
        <v>4.22</v>
      </c>
      <c r="I27" s="19"/>
    </row>
    <row r="29" spans="1:19" x14ac:dyDescent="0.25">
      <c r="A29" s="15" t="s">
        <v>91</v>
      </c>
      <c r="B29" s="15" t="s">
        <v>146</v>
      </c>
    </row>
    <row r="31" spans="1:19" x14ac:dyDescent="0.25">
      <c r="A31" s="20" t="s">
        <v>89</v>
      </c>
      <c r="B31" s="20" t="s">
        <v>86</v>
      </c>
      <c r="C31" s="20" t="s">
        <v>67</v>
      </c>
      <c r="D31" s="20" t="s">
        <v>69</v>
      </c>
      <c r="E31" s="20" t="s">
        <v>70</v>
      </c>
      <c r="F31" s="20" t="s">
        <v>71</v>
      </c>
      <c r="G31" s="20" t="s">
        <v>72</v>
      </c>
    </row>
    <row r="32" spans="1:19" x14ac:dyDescent="0.25">
      <c r="A32" s="19">
        <v>0</v>
      </c>
      <c r="B32" s="19">
        <v>2.1959999999999997</v>
      </c>
      <c r="C32" s="19">
        <v>2.6159999999999997</v>
      </c>
      <c r="D32" s="19">
        <v>2.8259999999999996</v>
      </c>
      <c r="E32" s="19">
        <v>2.3159999999999998</v>
      </c>
      <c r="F32" s="19">
        <v>2.0159999999999996</v>
      </c>
      <c r="G32" s="19">
        <v>2.5559999999999996</v>
      </c>
    </row>
    <row r="33" spans="1:7" x14ac:dyDescent="0.25">
      <c r="A33" s="19">
        <v>48</v>
      </c>
      <c r="B33" s="19"/>
      <c r="C33" s="19">
        <v>2.3159999999999994</v>
      </c>
      <c r="D33" s="19">
        <v>2.7359999999999998</v>
      </c>
      <c r="E33" s="19">
        <v>2.516</v>
      </c>
      <c r="F33" s="19">
        <v>2.2259999999999995</v>
      </c>
      <c r="G33" s="19">
        <v>2.5859999999999999</v>
      </c>
    </row>
    <row r="34" spans="1:7" x14ac:dyDescent="0.25">
      <c r="A34" s="19">
        <v>96</v>
      </c>
      <c r="B34" s="19"/>
      <c r="C34" s="19">
        <v>1.8359999999999996</v>
      </c>
      <c r="D34" s="19">
        <v>2.6359999999999997</v>
      </c>
      <c r="E34" s="19">
        <v>2.1559999999999997</v>
      </c>
      <c r="F34" s="19">
        <v>1.6759999999999995</v>
      </c>
      <c r="G34" s="19">
        <v>2.4959999999999996</v>
      </c>
    </row>
    <row r="35" spans="1:7" x14ac:dyDescent="0.25">
      <c r="A35" s="19">
        <v>168</v>
      </c>
      <c r="B35" s="19">
        <v>2.1359999999999997</v>
      </c>
      <c r="C35" s="19">
        <v>2.7959999999999998</v>
      </c>
      <c r="D35" s="19">
        <v>3.0959999999999996</v>
      </c>
      <c r="E35" s="19">
        <v>2.7159999999999997</v>
      </c>
      <c r="F35" s="19">
        <v>2.5559999999999996</v>
      </c>
      <c r="G35" s="19">
        <v>3.1159999999999997</v>
      </c>
    </row>
    <row r="36" spans="1:7" x14ac:dyDescent="0.25">
      <c r="A36" s="19">
        <v>240</v>
      </c>
      <c r="B36" s="19"/>
      <c r="C36" s="19">
        <v>4.2359999999999998</v>
      </c>
      <c r="D36" s="19">
        <v>4.2359999999999998</v>
      </c>
      <c r="E36" s="19">
        <v>3.7959999999999994</v>
      </c>
      <c r="F36" s="19">
        <v>3.9559999999999995</v>
      </c>
      <c r="G36" s="19">
        <v>4.3559999999999999</v>
      </c>
    </row>
    <row r="37" spans="1:7" x14ac:dyDescent="0.25">
      <c r="A37" s="19">
        <v>360</v>
      </c>
      <c r="C37" s="15">
        <v>4.2959999999999994</v>
      </c>
      <c r="D37" s="15">
        <v>3.9659999999999997</v>
      </c>
      <c r="E37" s="15">
        <v>4.0359999999999996</v>
      </c>
      <c r="F37" s="15">
        <v>4.3559999999999999</v>
      </c>
      <c r="G37" s="15">
        <v>4.806</v>
      </c>
    </row>
    <row r="38" spans="1:7" x14ac:dyDescent="0.25">
      <c r="A38" s="19">
        <v>504</v>
      </c>
      <c r="B38" s="15">
        <v>2.1359999999999997</v>
      </c>
      <c r="C38" s="15">
        <v>4.3559999999999999</v>
      </c>
      <c r="D38" s="15">
        <v>4.7159999999999993</v>
      </c>
      <c r="E38" s="15">
        <v>4.6759999999999993</v>
      </c>
      <c r="F38" s="15">
        <v>4.5960000000000001</v>
      </c>
      <c r="G38" s="15">
        <v>5.105999999999999</v>
      </c>
    </row>
    <row r="40" spans="1:7" x14ac:dyDescent="0.25">
      <c r="A40" s="15" t="s">
        <v>90</v>
      </c>
      <c r="B40" s="15" t="s">
        <v>147</v>
      </c>
    </row>
    <row r="41" spans="1:7" x14ac:dyDescent="0.25">
      <c r="A41" s="20" t="s">
        <v>89</v>
      </c>
      <c r="B41" s="20" t="s">
        <v>67</v>
      </c>
      <c r="C41" s="20" t="s">
        <v>69</v>
      </c>
      <c r="D41" s="20" t="s">
        <v>70</v>
      </c>
      <c r="E41" s="20" t="s">
        <v>71</v>
      </c>
      <c r="F41" s="20" t="s">
        <v>72</v>
      </c>
      <c r="G41" s="20" t="s">
        <v>87</v>
      </c>
    </row>
    <row r="42" spans="1:7" x14ac:dyDescent="0.25">
      <c r="A42" s="19">
        <v>0</v>
      </c>
      <c r="B42" s="19">
        <v>6.915</v>
      </c>
      <c r="C42" s="19">
        <v>6.915</v>
      </c>
      <c r="D42" s="19">
        <v>6.915</v>
      </c>
      <c r="E42" s="19">
        <v>6.915</v>
      </c>
      <c r="F42" s="19">
        <v>6.915</v>
      </c>
      <c r="G42" s="19">
        <v>6.915</v>
      </c>
    </row>
    <row r="43" spans="1:7" x14ac:dyDescent="0.25">
      <c r="A43" s="19">
        <v>10</v>
      </c>
      <c r="B43" s="19">
        <v>6.93</v>
      </c>
      <c r="C43" s="19">
        <v>4.3725000000000005</v>
      </c>
      <c r="D43" s="19">
        <v>5.2125000000000004</v>
      </c>
      <c r="E43" s="19">
        <v>5.0599999999999996</v>
      </c>
      <c r="F43" s="19">
        <v>4.335</v>
      </c>
      <c r="G43" s="19"/>
    </row>
    <row r="44" spans="1:7" x14ac:dyDescent="0.25">
      <c r="A44" s="19">
        <v>60</v>
      </c>
      <c r="B44" s="19">
        <v>5.496666666666667</v>
      </c>
      <c r="C44" s="19">
        <v>4.3375000000000004</v>
      </c>
      <c r="D44" s="19">
        <v>7.68</v>
      </c>
      <c r="E44" s="19">
        <v>7.2925000000000004</v>
      </c>
      <c r="F44" s="19">
        <v>4.2300000000000004</v>
      </c>
      <c r="G44" s="19"/>
    </row>
    <row r="45" spans="1:7" x14ac:dyDescent="0.25">
      <c r="A45" s="19">
        <v>120</v>
      </c>
      <c r="B45" s="19">
        <v>5.4850000000000003</v>
      </c>
      <c r="C45" s="19">
        <v>4.3125</v>
      </c>
      <c r="D45" s="19">
        <v>7.29</v>
      </c>
      <c r="E45" s="19">
        <v>8.0924999999999994</v>
      </c>
      <c r="F45" s="19">
        <v>4.32</v>
      </c>
      <c r="G45" s="19"/>
    </row>
    <row r="46" spans="1:7" x14ac:dyDescent="0.25">
      <c r="A46" s="19">
        <v>168</v>
      </c>
      <c r="B46" s="15">
        <v>5.4700000000000006</v>
      </c>
      <c r="C46" s="15">
        <v>4.5350000000000001</v>
      </c>
      <c r="D46" s="15">
        <v>8.2533333333333339</v>
      </c>
      <c r="E46" s="15">
        <v>8.57</v>
      </c>
      <c r="F46" s="15">
        <v>4.3149999999999995</v>
      </c>
      <c r="G46" s="19">
        <v>6.8724999999999996</v>
      </c>
    </row>
    <row r="47" spans="1:7" x14ac:dyDescent="0.25">
      <c r="A47" s="19">
        <v>360</v>
      </c>
      <c r="B47" s="15">
        <v>5.3100000000000005</v>
      </c>
      <c r="C47" s="15">
        <v>4.3849999999999998</v>
      </c>
      <c r="D47" s="15">
        <v>8.31</v>
      </c>
      <c r="E47" s="15">
        <v>7.4433333333333342</v>
      </c>
      <c r="F47" s="15">
        <v>4.3049999999999997</v>
      </c>
    </row>
    <row r="48" spans="1:7" x14ac:dyDescent="0.25">
      <c r="A48" s="19">
        <v>504</v>
      </c>
      <c r="B48" s="15">
        <v>5.48</v>
      </c>
      <c r="C48" s="15">
        <v>4.3949999999999996</v>
      </c>
      <c r="D48" s="15">
        <v>8.2999999999999989</v>
      </c>
      <c r="E48" s="15">
        <v>7.04</v>
      </c>
      <c r="F48" s="15">
        <v>4.3449999999999998</v>
      </c>
      <c r="G48" s="19">
        <v>6.8974999999999991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A6E49-2B25-4657-BAEB-D45B719555B7}">
  <dimension ref="A1:U81"/>
  <sheetViews>
    <sheetView topLeftCell="A10" workbookViewId="0">
      <selection activeCell="E24" sqref="E24"/>
    </sheetView>
  </sheetViews>
  <sheetFormatPr defaultRowHeight="13.8" x14ac:dyDescent="0.25"/>
  <cols>
    <col min="1" max="16384" width="8.88671875" style="15"/>
  </cols>
  <sheetData>
    <row r="1" spans="1:13" x14ac:dyDescent="0.25">
      <c r="A1" s="15" t="s">
        <v>96</v>
      </c>
      <c r="B1" s="15" t="s">
        <v>127</v>
      </c>
    </row>
    <row r="2" spans="1:13" x14ac:dyDescent="0.25">
      <c r="A2" s="2" t="s">
        <v>98</v>
      </c>
      <c r="B2" s="16" t="s">
        <v>68</v>
      </c>
      <c r="C2" s="17" t="s">
        <v>69</v>
      </c>
      <c r="D2" s="17" t="s">
        <v>70</v>
      </c>
      <c r="E2" s="17" t="s">
        <v>71</v>
      </c>
      <c r="F2" s="18" t="s">
        <v>72</v>
      </c>
      <c r="G2" s="2" t="s">
        <v>95</v>
      </c>
    </row>
    <row r="3" spans="1:13" x14ac:dyDescent="0.25">
      <c r="A3" s="15">
        <v>0</v>
      </c>
      <c r="B3" s="2">
        <v>288.28151288999999</v>
      </c>
      <c r="C3" s="15">
        <v>251.94699788999998</v>
      </c>
      <c r="D3" s="15">
        <v>306.8755893</v>
      </c>
      <c r="E3" s="15">
        <v>316.13272845</v>
      </c>
      <c r="F3" s="15">
        <v>318.82706793</v>
      </c>
      <c r="G3" s="2">
        <v>267.30287465000004</v>
      </c>
    </row>
    <row r="4" spans="1:13" x14ac:dyDescent="0.25">
      <c r="A4" s="15">
        <v>2</v>
      </c>
      <c r="B4" s="2">
        <v>404.52723972502565</v>
      </c>
      <c r="C4" s="2">
        <v>308.81259075617959</v>
      </c>
      <c r="D4" s="15">
        <v>339.82118297498897</v>
      </c>
      <c r="E4" s="15">
        <v>238.98529863244116</v>
      </c>
      <c r="F4" s="2">
        <v>247.84374641655694</v>
      </c>
    </row>
    <row r="5" spans="1:13" x14ac:dyDescent="0.25">
      <c r="A5" s="15">
        <v>4</v>
      </c>
      <c r="B5" s="2">
        <v>360.52791544278978</v>
      </c>
      <c r="C5" s="2">
        <v>192.98228036032319</v>
      </c>
      <c r="D5" s="15">
        <v>236.93287427406247</v>
      </c>
      <c r="E5" s="15">
        <v>183.369155408719</v>
      </c>
      <c r="F5" s="2">
        <v>210.8708460367034</v>
      </c>
    </row>
    <row r="6" spans="1:13" x14ac:dyDescent="0.25">
      <c r="A6" s="15">
        <v>7</v>
      </c>
      <c r="B6" s="2">
        <v>469.30529782799471</v>
      </c>
      <c r="C6" s="2">
        <v>244.77994268319441</v>
      </c>
      <c r="D6" s="15">
        <v>278.75333424747697</v>
      </c>
      <c r="E6" s="15">
        <v>324.21490182097415</v>
      </c>
      <c r="F6" s="2">
        <v>218.38003450120524</v>
      </c>
      <c r="G6" s="15">
        <v>258.95489601624217</v>
      </c>
    </row>
    <row r="7" spans="1:13" x14ac:dyDescent="0.25">
      <c r="A7" s="15">
        <v>10</v>
      </c>
      <c r="B7" s="2">
        <v>515.56838498683055</v>
      </c>
      <c r="C7" s="2">
        <v>393.69062598770847</v>
      </c>
      <c r="D7" s="15">
        <v>355.04731343283578</v>
      </c>
      <c r="E7" s="15">
        <v>256.63049897570966</v>
      </c>
      <c r="F7" s="2">
        <v>359.86371597892884</v>
      </c>
    </row>
    <row r="8" spans="1:13" x14ac:dyDescent="0.25">
      <c r="A8" s="15">
        <v>15</v>
      </c>
      <c r="B8" s="2">
        <v>542.20741000877956</v>
      </c>
      <c r="C8" s="2">
        <v>501.74177198330557</v>
      </c>
      <c r="D8" s="15">
        <v>492.22550043898156</v>
      </c>
      <c r="E8" s="15">
        <v>329.46501316944688</v>
      </c>
      <c r="F8" s="2">
        <v>393.64512510974544</v>
      </c>
    </row>
    <row r="9" spans="1:13" x14ac:dyDescent="0.25">
      <c r="A9" s="15">
        <v>21</v>
      </c>
      <c r="B9" s="2">
        <v>503.65248311609378</v>
      </c>
      <c r="C9" s="2">
        <v>542.55208901384731</v>
      </c>
      <c r="D9" s="15">
        <v>542.09540690214089</v>
      </c>
      <c r="E9" s="15">
        <v>514.83092338083338</v>
      </c>
      <c r="F9" s="2">
        <v>561.26119272336268</v>
      </c>
      <c r="G9" s="15">
        <v>262.29239258458858</v>
      </c>
    </row>
    <row r="11" spans="1:13" x14ac:dyDescent="0.25">
      <c r="A11" s="15" t="s">
        <v>99</v>
      </c>
      <c r="B11" s="15" t="s">
        <v>128</v>
      </c>
    </row>
    <row r="12" spans="1:13" x14ac:dyDescent="0.25">
      <c r="A12" s="2" t="s">
        <v>98</v>
      </c>
      <c r="B12" s="16" t="s">
        <v>68</v>
      </c>
      <c r="D12" s="17" t="s">
        <v>69</v>
      </c>
      <c r="F12" s="17" t="s">
        <v>70</v>
      </c>
      <c r="H12" s="17" t="s">
        <v>71</v>
      </c>
      <c r="J12" s="18" t="s">
        <v>72</v>
      </c>
      <c r="L12" s="2" t="s">
        <v>95</v>
      </c>
    </row>
    <row r="13" spans="1:13" x14ac:dyDescent="0.25">
      <c r="A13" s="15">
        <v>0</v>
      </c>
      <c r="B13" s="15">
        <v>68.361038969999996</v>
      </c>
      <c r="C13" s="15">
        <v>0</v>
      </c>
      <c r="D13" s="15">
        <v>53.948701310000004</v>
      </c>
      <c r="E13" s="15">
        <v>0</v>
      </c>
      <c r="F13" s="15">
        <v>63.612662329999999</v>
      </c>
      <c r="G13" s="15">
        <v>0</v>
      </c>
      <c r="H13" s="15">
        <v>59.771753230000002</v>
      </c>
      <c r="I13" s="15">
        <v>0</v>
      </c>
      <c r="J13" s="15">
        <v>48.851298720000003</v>
      </c>
      <c r="K13" s="2">
        <v>0</v>
      </c>
      <c r="L13" s="15">
        <v>42.367359999999998</v>
      </c>
      <c r="M13" s="15">
        <v>0</v>
      </c>
    </row>
    <row r="14" spans="1:13" x14ac:dyDescent="0.25">
      <c r="A14" s="15">
        <v>2</v>
      </c>
      <c r="B14" s="15">
        <v>126.35671296296294</v>
      </c>
      <c r="C14" s="15">
        <v>9.0436203876011945</v>
      </c>
      <c r="D14" s="15">
        <v>47.706824945887448</v>
      </c>
      <c r="E14" s="15">
        <v>2.3951528840449008</v>
      </c>
      <c r="F14" s="15">
        <v>25.891991341991343</v>
      </c>
      <c r="G14" s="15">
        <v>0.78196398505286913</v>
      </c>
      <c r="H14" s="15">
        <v>24.643975468975469</v>
      </c>
      <c r="I14" s="15">
        <v>0.81138370043337127</v>
      </c>
      <c r="J14" s="15">
        <v>38.765909090909091</v>
      </c>
      <c r="K14" s="2">
        <v>4.1004679452225616</v>
      </c>
    </row>
    <row r="15" spans="1:13" x14ac:dyDescent="0.25">
      <c r="A15" s="15">
        <v>4</v>
      </c>
      <c r="B15" s="15">
        <v>183.60531894576013</v>
      </c>
      <c r="C15" s="15">
        <v>3.53443599843171</v>
      </c>
      <c r="D15" s="15">
        <v>56.736334988540875</v>
      </c>
      <c r="E15" s="15">
        <v>3.3547285665480828</v>
      </c>
      <c r="F15" s="15">
        <v>23.120359052711994</v>
      </c>
      <c r="G15" s="15">
        <v>0.34102270700265658</v>
      </c>
      <c r="H15" s="15">
        <v>34.617064553093968</v>
      </c>
      <c r="I15" s="15">
        <v>2.3080461662967728</v>
      </c>
      <c r="J15" s="2">
        <v>38.709382161955695</v>
      </c>
      <c r="K15" s="2">
        <v>2.0663545716123215</v>
      </c>
    </row>
    <row r="16" spans="1:13" x14ac:dyDescent="0.25">
      <c r="A16" s="15">
        <v>7</v>
      </c>
      <c r="B16" s="15">
        <v>178.2263595779221</v>
      </c>
      <c r="C16" s="15">
        <v>7.7523843344155807</v>
      </c>
      <c r="D16" s="15">
        <v>58.336444805194802</v>
      </c>
      <c r="E16" s="15">
        <v>5.0102105504014176</v>
      </c>
      <c r="F16" s="15">
        <v>22.109188988095237</v>
      </c>
      <c r="G16" s="15">
        <v>0.39731904778233823</v>
      </c>
      <c r="H16" s="15">
        <v>57.610998376623385</v>
      </c>
      <c r="I16" s="15">
        <v>0.82766842532467066</v>
      </c>
      <c r="J16" s="15">
        <v>43.646154626623378</v>
      </c>
      <c r="K16" s="2">
        <v>1.1286582553949354</v>
      </c>
      <c r="L16" s="15">
        <v>44.633642449516856</v>
      </c>
      <c r="M16" s="15">
        <v>2.905668349429011</v>
      </c>
    </row>
    <row r="17" spans="1:13" x14ac:dyDescent="0.25">
      <c r="A17" s="15">
        <v>10</v>
      </c>
      <c r="B17" s="15">
        <v>247.77590867934293</v>
      </c>
      <c r="C17" s="15">
        <v>11.264998059759407</v>
      </c>
      <c r="D17" s="15">
        <v>98.366839671452595</v>
      </c>
      <c r="E17" s="15">
        <v>2.7276560495686057</v>
      </c>
      <c r="F17" s="15">
        <v>32.985579700771787</v>
      </c>
      <c r="G17" s="15">
        <v>2.3216332070731465</v>
      </c>
      <c r="H17" s="15">
        <v>44.474268098133052</v>
      </c>
      <c r="I17" s="15">
        <v>0.98426678077976437</v>
      </c>
      <c r="J17" s="15">
        <v>96.751396973224686</v>
      </c>
      <c r="K17" s="2">
        <v>3.5911722038327603</v>
      </c>
    </row>
    <row r="18" spans="1:13" x14ac:dyDescent="0.25">
      <c r="A18" s="15">
        <v>15</v>
      </c>
      <c r="B18" s="15">
        <v>165.73778341371474</v>
      </c>
      <c r="C18" s="15">
        <v>39.25197488774316</v>
      </c>
      <c r="D18" s="15">
        <v>125.21800681855979</v>
      </c>
      <c r="E18" s="15">
        <v>4.2604994898266639</v>
      </c>
      <c r="F18" s="15">
        <v>40.941423212668845</v>
      </c>
      <c r="G18" s="15">
        <v>1.8328370888586623</v>
      </c>
      <c r="H18" s="15">
        <v>67.822962285418626</v>
      </c>
      <c r="I18" s="15">
        <v>4.4222037351278161</v>
      </c>
      <c r="J18" s="15">
        <v>111.98519873607185</v>
      </c>
      <c r="K18" s="2">
        <v>1.4456812722579189</v>
      </c>
    </row>
    <row r="19" spans="1:13" x14ac:dyDescent="0.25">
      <c r="A19" s="15">
        <v>21</v>
      </c>
      <c r="B19" s="15">
        <v>112.48220762066805</v>
      </c>
      <c r="C19" s="15">
        <v>1.5405491627115637</v>
      </c>
      <c r="D19" s="15">
        <v>153.4438328333483</v>
      </c>
      <c r="E19" s="15">
        <v>3.4344267500469723</v>
      </c>
      <c r="F19" s="15">
        <v>38.180919972538135</v>
      </c>
      <c r="G19" s="15">
        <v>1.8642721034419141</v>
      </c>
      <c r="H19" s="15">
        <v>73.051826811139975</v>
      </c>
      <c r="I19" s="15">
        <v>0.54596369458726857</v>
      </c>
      <c r="J19" s="15">
        <v>133.35836616817409</v>
      </c>
      <c r="K19" s="2">
        <v>3.9759261764857312</v>
      </c>
      <c r="L19" s="15">
        <v>47.333197271560593</v>
      </c>
      <c r="M19" s="15">
        <v>2.1419404335787959</v>
      </c>
    </row>
    <row r="22" spans="1:13" x14ac:dyDescent="0.25">
      <c r="A22" s="15" t="s">
        <v>100</v>
      </c>
      <c r="B22" s="15" t="s">
        <v>129</v>
      </c>
    </row>
    <row r="23" spans="1:13" x14ac:dyDescent="0.25">
      <c r="A23" s="2" t="s">
        <v>98</v>
      </c>
      <c r="B23" s="16" t="s">
        <v>68</v>
      </c>
      <c r="D23" s="17" t="s">
        <v>69</v>
      </c>
      <c r="F23" s="17" t="s">
        <v>70</v>
      </c>
      <c r="H23" s="17" t="s">
        <v>71</v>
      </c>
      <c r="J23" s="18" t="s">
        <v>72</v>
      </c>
      <c r="L23" s="2" t="s">
        <v>95</v>
      </c>
    </row>
    <row r="24" spans="1:13" x14ac:dyDescent="0.25">
      <c r="A24" s="15">
        <v>0</v>
      </c>
      <c r="B24" s="2">
        <v>219.92047392000001</v>
      </c>
      <c r="C24" s="15">
        <v>0</v>
      </c>
      <c r="D24" s="15">
        <v>197.99829657999999</v>
      </c>
      <c r="E24" s="15">
        <v>0</v>
      </c>
      <c r="F24" s="15">
        <v>243.26292697</v>
      </c>
      <c r="G24" s="15">
        <v>0</v>
      </c>
      <c r="H24" s="15">
        <v>256.36097522</v>
      </c>
      <c r="I24" s="15">
        <v>0</v>
      </c>
      <c r="J24" s="15">
        <v>269.97576921000001</v>
      </c>
      <c r="K24" s="2">
        <v>0</v>
      </c>
      <c r="L24" s="2">
        <v>224.93551465000002</v>
      </c>
      <c r="M24" s="15">
        <v>0</v>
      </c>
    </row>
    <row r="25" spans="1:13" x14ac:dyDescent="0.25">
      <c r="A25" s="15">
        <v>2</v>
      </c>
      <c r="B25" s="2">
        <v>278.17052676206271</v>
      </c>
      <c r="C25" s="15">
        <v>4.3469670833492806</v>
      </c>
      <c r="D25" s="2">
        <v>261.10576581029216</v>
      </c>
      <c r="E25" s="15">
        <v>10.92266045412604</v>
      </c>
      <c r="F25" s="15">
        <v>313.92919163299763</v>
      </c>
      <c r="G25" s="15">
        <v>5.3185807999272026</v>
      </c>
      <c r="H25" s="15">
        <v>214.34132316346569</v>
      </c>
      <c r="I25" s="15">
        <v>10.386204926727785</v>
      </c>
      <c r="J25" s="2">
        <v>209.07783732564786</v>
      </c>
      <c r="K25" s="2">
        <v>13.956302154230741</v>
      </c>
    </row>
    <row r="26" spans="1:13" x14ac:dyDescent="0.25">
      <c r="A26" s="15">
        <v>4</v>
      </c>
      <c r="B26" s="2">
        <v>176.92259649702962</v>
      </c>
      <c r="C26" s="15">
        <v>37.845355961936001</v>
      </c>
      <c r="D26" s="2">
        <v>136.24594537178231</v>
      </c>
      <c r="E26" s="15">
        <v>3.9532856349077647</v>
      </c>
      <c r="F26" s="15">
        <v>213.81251522135048</v>
      </c>
      <c r="G26" s="15">
        <v>5.5046498850496199</v>
      </c>
      <c r="H26" s="15">
        <v>148.75209085562503</v>
      </c>
      <c r="I26" s="15">
        <v>2.9622638144882765</v>
      </c>
      <c r="J26" s="2">
        <v>172.16146387474771</v>
      </c>
      <c r="K26" s="2">
        <v>33.434156236815156</v>
      </c>
    </row>
    <row r="27" spans="1:13" x14ac:dyDescent="0.25">
      <c r="A27" s="15">
        <v>7</v>
      </c>
      <c r="B27" s="2">
        <v>291.07893825007261</v>
      </c>
      <c r="C27" s="15">
        <v>21.890995437414205</v>
      </c>
      <c r="D27" s="2">
        <v>186.44349787799962</v>
      </c>
      <c r="E27" s="15">
        <v>64.717822955734349</v>
      </c>
      <c r="F27" s="15">
        <v>256.64414525938173</v>
      </c>
      <c r="G27" s="15">
        <v>15.241833610148017</v>
      </c>
      <c r="H27" s="15">
        <v>266.60390344435075</v>
      </c>
      <c r="I27" s="15">
        <v>20.069589143784583</v>
      </c>
      <c r="J27" s="2">
        <v>174.73387987458187</v>
      </c>
      <c r="K27" s="2">
        <v>0.48585180793867266</v>
      </c>
      <c r="L27" s="15">
        <v>214.32125356672535</v>
      </c>
      <c r="M27" s="15">
        <v>1.0346356453032115</v>
      </c>
    </row>
    <row r="28" spans="1:13" x14ac:dyDescent="0.25">
      <c r="A28" s="15">
        <v>10</v>
      </c>
      <c r="B28" s="2">
        <v>267.79247630748756</v>
      </c>
      <c r="C28" s="15">
        <v>10.94615389821422</v>
      </c>
      <c r="D28" s="2">
        <v>295.32378631625591</v>
      </c>
      <c r="E28" s="15">
        <v>21.330083044349056</v>
      </c>
      <c r="F28" s="15">
        <v>322.061733732064</v>
      </c>
      <c r="G28" s="15">
        <v>14.180214279578554</v>
      </c>
      <c r="H28" s="15">
        <v>212.1562308775766</v>
      </c>
      <c r="I28" s="15">
        <v>46.327944559176103</v>
      </c>
      <c r="J28" s="2">
        <v>263.11231900570414</v>
      </c>
      <c r="K28" s="2">
        <v>10.474982042679143</v>
      </c>
    </row>
    <row r="29" spans="1:13" x14ac:dyDescent="0.25">
      <c r="A29" s="15">
        <v>15</v>
      </c>
      <c r="B29" s="2">
        <v>376.46962659506482</v>
      </c>
      <c r="C29" s="15">
        <v>2.8379933249688918</v>
      </c>
      <c r="D29" s="2">
        <v>351.34963694790201</v>
      </c>
      <c r="E29" s="15">
        <v>53.000717581794611</v>
      </c>
      <c r="F29" s="15">
        <v>451.28407722631272</v>
      </c>
      <c r="G29" s="15">
        <v>10.240932645097089</v>
      </c>
      <c r="H29" s="15">
        <v>261.64205088402827</v>
      </c>
      <c r="I29" s="15">
        <v>60.357861438391716</v>
      </c>
      <c r="J29" s="2">
        <v>281.65992637367356</v>
      </c>
      <c r="K29" s="2">
        <v>31.293573339328269</v>
      </c>
    </row>
    <row r="30" spans="1:13" x14ac:dyDescent="0.25">
      <c r="A30" s="15">
        <v>21</v>
      </c>
      <c r="B30" s="2">
        <v>391.1702754954257</v>
      </c>
      <c r="C30" s="15">
        <v>9.471169308588486</v>
      </c>
      <c r="D30" s="2">
        <v>351.55110191035408</v>
      </c>
      <c r="E30" s="15">
        <v>68.478472228427393</v>
      </c>
      <c r="F30" s="15">
        <v>503.91448692960279</v>
      </c>
      <c r="G30" s="15">
        <v>1.8642721034419119</v>
      </c>
      <c r="H30" s="15">
        <v>441.77909656969342</v>
      </c>
      <c r="I30" s="15">
        <v>40.092281646772847</v>
      </c>
      <c r="J30" s="2">
        <v>427.9028265551886</v>
      </c>
      <c r="K30" s="2">
        <v>69.553867831738174</v>
      </c>
      <c r="L30" s="15">
        <v>214.95919531302798</v>
      </c>
      <c r="M30" s="15">
        <v>1.5462294185179672</v>
      </c>
    </row>
    <row r="32" spans="1:13" x14ac:dyDescent="0.25">
      <c r="A32" s="15" t="s">
        <v>97</v>
      </c>
      <c r="B32" s="15" t="s">
        <v>130</v>
      </c>
    </row>
    <row r="33" spans="1:11" x14ac:dyDescent="0.25">
      <c r="A33" s="2" t="s">
        <v>98</v>
      </c>
      <c r="B33" s="16" t="s">
        <v>68</v>
      </c>
      <c r="C33" s="17" t="s">
        <v>69</v>
      </c>
      <c r="D33" s="17" t="s">
        <v>70</v>
      </c>
      <c r="E33" s="17" t="s">
        <v>71</v>
      </c>
      <c r="F33" s="18" t="s">
        <v>72</v>
      </c>
    </row>
    <row r="34" spans="1:11" x14ac:dyDescent="0.25">
      <c r="A34" s="15">
        <v>0</v>
      </c>
      <c r="B34" s="15">
        <v>321.43389082571701</v>
      </c>
      <c r="C34" s="15">
        <v>394.43750382036046</v>
      </c>
      <c r="D34" s="15">
        <v>280.19040827514362</v>
      </c>
      <c r="E34" s="15">
        <v>298.45943660549091</v>
      </c>
      <c r="F34" s="15">
        <v>282.00837500270342</v>
      </c>
    </row>
    <row r="35" spans="1:11" x14ac:dyDescent="0.25">
      <c r="A35" s="15">
        <v>2</v>
      </c>
      <c r="B35" s="15">
        <v>323.99347154554584</v>
      </c>
      <c r="C35" s="15">
        <v>213.53661353548208</v>
      </c>
      <c r="D35" s="2">
        <v>100.09157563051036</v>
      </c>
      <c r="E35" s="15">
        <v>237.65882288827621</v>
      </c>
      <c r="F35" s="15">
        <v>269.13139530182531</v>
      </c>
    </row>
    <row r="36" spans="1:11" x14ac:dyDescent="0.25">
      <c r="A36" s="15">
        <v>4</v>
      </c>
      <c r="B36" s="15">
        <v>429.73729152724297</v>
      </c>
      <c r="C36" s="2">
        <v>399.63469603352138</v>
      </c>
      <c r="D36" s="15">
        <v>230.70208386152581</v>
      </c>
      <c r="E36" s="15">
        <v>332.20976326046787</v>
      </c>
      <c r="F36" s="15">
        <v>465.27903351135058</v>
      </c>
    </row>
    <row r="37" spans="1:11" x14ac:dyDescent="0.25">
      <c r="A37" s="15">
        <v>7</v>
      </c>
      <c r="B37" s="15">
        <v>481.19884090466434</v>
      </c>
      <c r="C37" s="15">
        <v>484.37604354884223</v>
      </c>
      <c r="D37" s="15">
        <v>233.89593782470106</v>
      </c>
      <c r="E37" s="15">
        <v>164.0844416802351</v>
      </c>
      <c r="F37" s="15">
        <v>658.40713647448331</v>
      </c>
    </row>
    <row r="38" spans="1:11" x14ac:dyDescent="0.25">
      <c r="A38" s="15">
        <v>10</v>
      </c>
      <c r="B38" s="2">
        <v>775.26866870126298</v>
      </c>
      <c r="C38" s="15">
        <v>643.32832322979539</v>
      </c>
      <c r="D38" s="15">
        <v>125.3720040325415</v>
      </c>
      <c r="E38" s="15">
        <v>232.36994097736996</v>
      </c>
      <c r="F38" s="15">
        <v>553.98255065966237</v>
      </c>
    </row>
    <row r="39" spans="1:11" x14ac:dyDescent="0.25">
      <c r="A39" s="15">
        <v>15</v>
      </c>
      <c r="B39" s="15">
        <v>393.30503973375579</v>
      </c>
      <c r="C39" s="15">
        <v>892.49194359399485</v>
      </c>
      <c r="D39" s="15">
        <v>77.95393921058799</v>
      </c>
      <c r="E39" s="15">
        <v>373.69954595083084</v>
      </c>
      <c r="F39" s="15">
        <v>776.90255710366625</v>
      </c>
    </row>
    <row r="40" spans="1:11" x14ac:dyDescent="0.25">
      <c r="A40" s="15">
        <v>21</v>
      </c>
      <c r="B40" s="15">
        <v>457.20252335274336</v>
      </c>
      <c r="C40" s="15">
        <v>959.78840141585704</v>
      </c>
      <c r="D40" s="15">
        <v>100.07947008795048</v>
      </c>
      <c r="E40" s="15">
        <v>128.70837096230036</v>
      </c>
      <c r="F40" s="15">
        <v>912.98267548070123</v>
      </c>
    </row>
    <row r="42" spans="1:11" x14ac:dyDescent="0.25">
      <c r="A42" s="15" t="s">
        <v>101</v>
      </c>
      <c r="B42" s="15" t="s">
        <v>131</v>
      </c>
    </row>
    <row r="43" spans="1:11" x14ac:dyDescent="0.25">
      <c r="A43" s="2" t="s">
        <v>98</v>
      </c>
      <c r="B43" s="16" t="s">
        <v>68</v>
      </c>
      <c r="D43" s="17" t="s">
        <v>69</v>
      </c>
      <c r="F43" s="17" t="s">
        <v>70</v>
      </c>
      <c r="H43" s="17" t="s">
        <v>71</v>
      </c>
      <c r="J43" s="18" t="s">
        <v>72</v>
      </c>
    </row>
    <row r="44" spans="1:11" x14ac:dyDescent="0.25">
      <c r="A44" s="15">
        <v>0</v>
      </c>
      <c r="B44" s="15">
        <v>284.50265671799997</v>
      </c>
      <c r="C44" s="15">
        <v>0</v>
      </c>
      <c r="D44" s="15">
        <v>343.97259367799995</v>
      </c>
      <c r="E44" s="15">
        <v>0</v>
      </c>
      <c r="F44" s="15">
        <v>253.74473837999994</v>
      </c>
      <c r="G44" s="15">
        <v>0</v>
      </c>
      <c r="H44" s="15">
        <v>261.32815090199989</v>
      </c>
      <c r="I44" s="15">
        <v>0</v>
      </c>
      <c r="J44" s="15">
        <v>255.51181718999999</v>
      </c>
      <c r="K44" s="15">
        <v>0</v>
      </c>
    </row>
    <row r="45" spans="1:11" x14ac:dyDescent="0.25">
      <c r="A45" s="15">
        <v>2</v>
      </c>
      <c r="B45" s="15">
        <v>306.42679184954847</v>
      </c>
      <c r="C45" s="15">
        <v>32.972548472888612</v>
      </c>
      <c r="D45" s="15">
        <v>195.23589594926275</v>
      </c>
      <c r="E45" s="15">
        <v>21.184132959696939</v>
      </c>
      <c r="F45" s="15">
        <v>98.057538254757517</v>
      </c>
      <c r="G45" s="15">
        <v>20.355989831358109</v>
      </c>
      <c r="H45" s="15">
        <v>231.14215068205806</v>
      </c>
      <c r="I45" s="15">
        <v>27.507120633730846</v>
      </c>
      <c r="J45" s="15">
        <v>237.13741207949613</v>
      </c>
      <c r="K45" s="15">
        <v>46.494837190308246</v>
      </c>
    </row>
    <row r="46" spans="1:11" x14ac:dyDescent="0.25">
      <c r="A46" s="15">
        <v>4</v>
      </c>
      <c r="B46" s="15">
        <v>418.49689327687588</v>
      </c>
      <c r="C46" s="15">
        <v>37.724935332794921</v>
      </c>
      <c r="D46" s="15">
        <v>384.09042057567223</v>
      </c>
      <c r="E46" s="15">
        <v>29.135953377861771</v>
      </c>
      <c r="F46" s="15">
        <v>213.40897431461272</v>
      </c>
      <c r="G46" s="15">
        <v>5.171359739432372</v>
      </c>
      <c r="H46" s="15">
        <v>322.82829148881029</v>
      </c>
      <c r="I46" s="15">
        <v>30.187409265878024</v>
      </c>
      <c r="J46" s="15">
        <v>431.27068381495474</v>
      </c>
      <c r="K46" s="15">
        <v>29.470666425843042</v>
      </c>
    </row>
    <row r="47" spans="1:11" x14ac:dyDescent="0.25">
      <c r="A47" s="15">
        <v>7</v>
      </c>
      <c r="B47" s="15">
        <v>421.12191405401614</v>
      </c>
      <c r="C47" s="15">
        <v>82.743978026919152</v>
      </c>
      <c r="D47" s="15">
        <v>458.38038427982997</v>
      </c>
      <c r="E47" s="15">
        <v>62.881238632705958</v>
      </c>
      <c r="F47" s="15">
        <v>221.91426151488272</v>
      </c>
      <c r="G47" s="15">
        <v>25.643301496597939</v>
      </c>
      <c r="H47" s="15">
        <v>153.74560420312221</v>
      </c>
      <c r="I47" s="15">
        <v>30.332260061838848</v>
      </c>
      <c r="J47" s="2">
        <v>573.06990630940015</v>
      </c>
      <c r="K47" s="15">
        <v>106.98858148825643</v>
      </c>
    </row>
    <row r="48" spans="1:11" x14ac:dyDescent="0.25">
      <c r="A48" s="15">
        <v>10</v>
      </c>
      <c r="B48" s="15">
        <v>643.36641307850664</v>
      </c>
      <c r="C48" s="15">
        <v>51.917111111057409</v>
      </c>
      <c r="D48" s="15">
        <v>449.47263938352609</v>
      </c>
      <c r="E48" s="15">
        <v>20.881570218433293</v>
      </c>
      <c r="F48" s="15">
        <v>106.60208617683749</v>
      </c>
      <c r="G48" s="15">
        <v>16.536449817936838</v>
      </c>
      <c r="H48" s="2">
        <v>174.00202643795171</v>
      </c>
      <c r="I48" s="15">
        <v>42.097191766296625</v>
      </c>
      <c r="J48" s="15">
        <v>432.71321265917044</v>
      </c>
      <c r="K48" s="15">
        <v>34.607100002262364</v>
      </c>
    </row>
    <row r="49" spans="1:21" x14ac:dyDescent="0.25">
      <c r="A49" s="15">
        <v>15</v>
      </c>
      <c r="B49" s="15">
        <v>243.21120348294716</v>
      </c>
      <c r="C49" s="15">
        <v>31.592587465651373</v>
      </c>
      <c r="D49" s="15">
        <v>433.06847333154394</v>
      </c>
      <c r="E49" s="15">
        <v>67.986057819695901</v>
      </c>
      <c r="F49" s="15">
        <v>58.746768037895869</v>
      </c>
      <c r="G49" s="15">
        <v>2.4243755283899606</v>
      </c>
      <c r="H49" s="15">
        <v>251.20396536258536</v>
      </c>
      <c r="I49" s="15">
        <v>67.817543596256542</v>
      </c>
      <c r="J49" s="15">
        <v>549.03644892504462</v>
      </c>
      <c r="K49" s="15">
        <v>78.604505413832953</v>
      </c>
    </row>
    <row r="50" spans="1:21" x14ac:dyDescent="0.25">
      <c r="A50" s="15">
        <v>21</v>
      </c>
      <c r="B50" s="15">
        <v>335.60236415390398</v>
      </c>
      <c r="C50" s="15">
        <v>33.422848787904599</v>
      </c>
      <c r="D50" s="15">
        <v>588.82448562769548</v>
      </c>
      <c r="E50" s="15">
        <v>108.86870266272491</v>
      </c>
      <c r="F50" s="15">
        <v>68.472146976648972</v>
      </c>
      <c r="G50" s="15">
        <v>19.269211223900161</v>
      </c>
      <c r="H50" s="15">
        <v>81.98139295348993</v>
      </c>
      <c r="I50" s="15">
        <v>48.99537485610751</v>
      </c>
      <c r="J50" s="15">
        <v>511.94448009527849</v>
      </c>
      <c r="K50" s="15">
        <v>71.349342596650843</v>
      </c>
    </row>
    <row r="52" spans="1:21" x14ac:dyDescent="0.25">
      <c r="A52" s="15" t="s">
        <v>102</v>
      </c>
      <c r="B52" s="15" t="s">
        <v>132</v>
      </c>
    </row>
    <row r="53" spans="1:21" x14ac:dyDescent="0.25">
      <c r="A53" s="2" t="s">
        <v>98</v>
      </c>
      <c r="B53" s="16" t="s">
        <v>68</v>
      </c>
      <c r="D53" s="17" t="s">
        <v>69</v>
      </c>
      <c r="F53" s="17" t="s">
        <v>70</v>
      </c>
      <c r="H53" s="17" t="s">
        <v>71</v>
      </c>
      <c r="J53" s="18" t="s">
        <v>72</v>
      </c>
    </row>
    <row r="54" spans="1:21" x14ac:dyDescent="0.25">
      <c r="A54" s="15">
        <v>0</v>
      </c>
      <c r="B54" s="15">
        <v>36.931234107717053</v>
      </c>
      <c r="C54" s="15">
        <v>0</v>
      </c>
      <c r="D54" s="15">
        <v>50.464910142360523</v>
      </c>
      <c r="E54" s="15">
        <v>0</v>
      </c>
      <c r="F54" s="15">
        <v>26.445669895143702</v>
      </c>
      <c r="G54" s="15">
        <v>0</v>
      </c>
      <c r="H54" s="15">
        <v>37.131285703490995</v>
      </c>
      <c r="I54" s="15">
        <v>0</v>
      </c>
      <c r="J54" s="15">
        <v>26.496557812703422</v>
      </c>
      <c r="K54" s="15">
        <v>0</v>
      </c>
    </row>
    <row r="55" spans="1:21" x14ac:dyDescent="0.25">
      <c r="A55" s="15">
        <v>2</v>
      </c>
      <c r="B55" s="15">
        <v>17.566679695997376</v>
      </c>
      <c r="C55" s="15">
        <v>8.5165567670557074</v>
      </c>
      <c r="D55" s="15">
        <v>18.300717586219324</v>
      </c>
      <c r="E55" s="15">
        <v>3.9349458249193217</v>
      </c>
      <c r="F55" s="2">
        <v>1.3068589714721734</v>
      </c>
      <c r="G55" s="15">
        <v>1.3350292700935595</v>
      </c>
      <c r="H55" s="15">
        <v>6.5166722062181517</v>
      </c>
      <c r="I55" s="15">
        <v>2.5134997950166085</v>
      </c>
      <c r="J55" s="15">
        <v>23.926477454168484</v>
      </c>
      <c r="K55" s="15">
        <v>14.209172133490947</v>
      </c>
    </row>
    <row r="56" spans="1:21" x14ac:dyDescent="0.25">
      <c r="A56" s="15">
        <v>4</v>
      </c>
      <c r="B56" s="15">
        <v>11.240398250367093</v>
      </c>
      <c r="C56" s="15">
        <v>5.3077989944710966</v>
      </c>
      <c r="D56" s="2">
        <v>5.4460956496443247</v>
      </c>
      <c r="E56" s="15">
        <v>18.666883356134875</v>
      </c>
      <c r="F56" s="15">
        <v>17.293109546913087</v>
      </c>
      <c r="G56" s="15">
        <v>5.3090076820636476</v>
      </c>
      <c r="H56" s="15">
        <v>9.3814717716575799</v>
      </c>
      <c r="I56" s="15">
        <v>2.5849116612361542</v>
      </c>
      <c r="J56" s="15">
        <v>34.008349696395861</v>
      </c>
      <c r="K56" s="15">
        <v>30.977415356070505</v>
      </c>
    </row>
    <row r="57" spans="1:21" x14ac:dyDescent="0.25">
      <c r="A57" s="15">
        <v>7</v>
      </c>
      <c r="B57" s="15">
        <v>60.076926850648185</v>
      </c>
      <c r="C57" s="15">
        <v>16.017462252076658</v>
      </c>
      <c r="D57" s="15">
        <v>25.995659269012261</v>
      </c>
      <c r="E57" s="15">
        <v>15.508002206434382</v>
      </c>
      <c r="F57" s="15">
        <v>11.981676309818335</v>
      </c>
      <c r="G57" s="15">
        <v>0.28242211699665859</v>
      </c>
      <c r="H57" s="15">
        <v>10.338837477112889</v>
      </c>
      <c r="I57" s="15">
        <v>0.65529717890981587</v>
      </c>
      <c r="J57" s="15">
        <v>85.33723016508317</v>
      </c>
      <c r="K57" s="15">
        <v>44.708265957108793</v>
      </c>
      <c r="P57" s="2" t="s">
        <v>98</v>
      </c>
      <c r="Q57" s="16" t="s">
        <v>68</v>
      </c>
      <c r="R57" s="17" t="s">
        <v>69</v>
      </c>
      <c r="S57" s="17" t="s">
        <v>70</v>
      </c>
      <c r="T57" s="17" t="s">
        <v>71</v>
      </c>
      <c r="U57" s="18" t="s">
        <v>72</v>
      </c>
    </row>
    <row r="58" spans="1:21" x14ac:dyDescent="0.25">
      <c r="A58" s="15">
        <v>10</v>
      </c>
      <c r="B58" s="2">
        <v>350.3883240361501</v>
      </c>
      <c r="C58" s="15">
        <v>218.48606841339378</v>
      </c>
      <c r="D58" s="15">
        <v>193.8556838462693</v>
      </c>
      <c r="E58" s="15">
        <v>61.256638208281672</v>
      </c>
      <c r="F58" s="15">
        <v>18.769917855704016</v>
      </c>
      <c r="G58" s="15">
        <v>8.3263278356995905</v>
      </c>
      <c r="H58" s="15">
        <v>28.648401510562138</v>
      </c>
      <c r="I58" s="15">
        <v>6.4540144342259262</v>
      </c>
      <c r="J58" s="15">
        <v>121.26933800049191</v>
      </c>
      <c r="K58" s="15">
        <v>40.453334168232686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</row>
    <row r="59" spans="1:21" x14ac:dyDescent="0.25">
      <c r="A59" s="15">
        <v>15</v>
      </c>
      <c r="B59" s="15">
        <v>150.09383625080864</v>
      </c>
      <c r="C59" s="15">
        <v>126.53801634315356</v>
      </c>
      <c r="D59" s="15">
        <v>566.50564850703995</v>
      </c>
      <c r="E59" s="15">
        <v>186.62195077272338</v>
      </c>
      <c r="F59" s="15">
        <v>19.207171172692124</v>
      </c>
      <c r="G59" s="15">
        <v>2.5243750710354451</v>
      </c>
      <c r="H59" s="15">
        <v>74.964392204587838</v>
      </c>
      <c r="I59" s="15">
        <v>13.4855122435021</v>
      </c>
      <c r="J59" s="15">
        <v>291.55745327921989</v>
      </c>
      <c r="K59" s="15">
        <v>146.50240999212451</v>
      </c>
      <c r="P59" s="15">
        <v>2</v>
      </c>
      <c r="Q59" s="15">
        <v>119.23365720000004</v>
      </c>
      <c r="R59" s="15">
        <v>-119.96632019999993</v>
      </c>
      <c r="S59" s="15">
        <v>-147.30957789999997</v>
      </c>
      <c r="T59" s="15">
        <v>-139.21315019999997</v>
      </c>
      <c r="U59" s="15">
        <v>-81.890354699999989</v>
      </c>
    </row>
    <row r="60" spans="1:21" x14ac:dyDescent="0.25">
      <c r="A60" s="15">
        <v>21</v>
      </c>
      <c r="B60" s="15">
        <v>121.60015919883941</v>
      </c>
      <c r="C60" s="15">
        <v>7.481944204138081</v>
      </c>
      <c r="D60" s="15">
        <v>370.96391578816156</v>
      </c>
      <c r="E60" s="15">
        <v>52.784063342644721</v>
      </c>
      <c r="F60" s="15">
        <v>31.607323111301508</v>
      </c>
      <c r="G60" s="15">
        <v>12.867079113629025</v>
      </c>
      <c r="H60" s="15">
        <v>20.098315142742383</v>
      </c>
      <c r="I60" s="15">
        <v>13.338720432363024</v>
      </c>
      <c r="J60" s="15">
        <v>341.38875085473506</v>
      </c>
      <c r="K60" s="15">
        <v>109.89716880061934</v>
      </c>
      <c r="P60" s="15">
        <v>4</v>
      </c>
      <c r="Q60" s="15">
        <v>185.36032360000002</v>
      </c>
      <c r="R60" s="15">
        <v>-42.087501599999996</v>
      </c>
      <c r="S60" s="15">
        <v>-123.41500839999992</v>
      </c>
      <c r="T60" s="15">
        <v>-102.58363369999995</v>
      </c>
      <c r="U60" s="15">
        <v>81.435002699999927</v>
      </c>
    </row>
    <row r="61" spans="1:21" x14ac:dyDescent="0.25">
      <c r="P61" s="15">
        <v>7</v>
      </c>
      <c r="Q61" s="15">
        <v>349.42846600000007</v>
      </c>
      <c r="R61" s="15">
        <v>92.978480600000012</v>
      </c>
      <c r="S61" s="15">
        <v>-76.206870399999957</v>
      </c>
      <c r="T61" s="15">
        <v>-127.50828219999994</v>
      </c>
      <c r="U61" s="15">
        <v>280.52528919999997</v>
      </c>
    </row>
    <row r="62" spans="1:21" x14ac:dyDescent="0.25">
      <c r="A62" s="15" t="s">
        <v>103</v>
      </c>
      <c r="P62" s="15">
        <v>10</v>
      </c>
      <c r="Q62" s="15">
        <v>709.92709230000003</v>
      </c>
      <c r="R62" s="15">
        <v>408.83926259999998</v>
      </c>
      <c r="S62" s="15">
        <v>-102.47212179999997</v>
      </c>
      <c r="T62" s="15">
        <v>-111.9741679</v>
      </c>
      <c r="U62" s="15">
        <v>334.39614649999999</v>
      </c>
    </row>
    <row r="63" spans="1:21" x14ac:dyDescent="0.25">
      <c r="P63" s="15">
        <v>15</v>
      </c>
      <c r="Q63" s="15">
        <v>350.69276710000008</v>
      </c>
      <c r="R63" s="15">
        <v>766.52142359999993</v>
      </c>
      <c r="S63" s="15">
        <v>-12.661862099999894</v>
      </c>
      <c r="T63" s="15">
        <v>103.49808150000001</v>
      </c>
      <c r="U63" s="15">
        <v>593.00283209999986</v>
      </c>
    </row>
    <row r="64" spans="1:21" x14ac:dyDescent="0.25">
      <c r="A64" s="2" t="s">
        <v>98</v>
      </c>
      <c r="B64" s="16" t="s">
        <v>68</v>
      </c>
      <c r="D64" s="17" t="s">
        <v>69</v>
      </c>
      <c r="F64" s="17" t="s">
        <v>70</v>
      </c>
      <c r="H64" s="17" t="s">
        <v>71</v>
      </c>
      <c r="J64" s="18" t="s">
        <v>72</v>
      </c>
      <c r="P64" s="15">
        <v>21</v>
      </c>
      <c r="Q64" s="15">
        <v>374.75225810000006</v>
      </c>
      <c r="R64" s="15">
        <v>887.46290160000012</v>
      </c>
      <c r="S64" s="15">
        <v>63.573790500000086</v>
      </c>
      <c r="T64" s="15">
        <v>49.897082700000055</v>
      </c>
      <c r="U64" s="15">
        <v>904.02791409999998</v>
      </c>
    </row>
    <row r="65" spans="1:11" x14ac:dyDescent="0.25">
      <c r="A65" s="15">
        <v>0</v>
      </c>
      <c r="B65" s="15">
        <v>15.377051973469086</v>
      </c>
      <c r="C65" s="15">
        <v>0</v>
      </c>
      <c r="D65" s="15">
        <v>14.367661706878016</v>
      </c>
      <c r="E65" s="15">
        <v>0</v>
      </c>
      <c r="F65" s="15">
        <v>16.811049405659688</v>
      </c>
      <c r="G65" s="15">
        <v>0</v>
      </c>
      <c r="H65" s="15">
        <v>17.244572659691865</v>
      </c>
      <c r="I65" s="15">
        <v>0</v>
      </c>
      <c r="J65" s="15">
        <v>13.76591995232627</v>
      </c>
      <c r="K65" s="15">
        <v>0</v>
      </c>
    </row>
    <row r="66" spans="1:11" x14ac:dyDescent="0.25">
      <c r="A66" s="15">
        <v>2</v>
      </c>
      <c r="B66" s="15">
        <v>15.805401590889256</v>
      </c>
      <c r="C66" s="15">
        <v>2.3915250394686351</v>
      </c>
      <c r="D66" s="15">
        <v>18.436638956845371</v>
      </c>
      <c r="E66" s="15">
        <v>1.0244152071919206</v>
      </c>
      <c r="F66" s="15">
        <v>16.65471054274499</v>
      </c>
      <c r="G66" s="15">
        <v>0.54870741090225206</v>
      </c>
      <c r="H66" s="15">
        <v>15.97946601455836</v>
      </c>
      <c r="I66" s="15">
        <v>0.56533840209217145</v>
      </c>
      <c r="J66" s="15">
        <v>15.73586651543819</v>
      </c>
      <c r="K66" s="15">
        <v>1.9415911133049575</v>
      </c>
    </row>
    <row r="67" spans="1:11" x14ac:dyDescent="0.25">
      <c r="A67" s="15">
        <v>4</v>
      </c>
      <c r="B67" s="2">
        <v>20.187572292925271</v>
      </c>
      <c r="C67" s="15">
        <v>1.510553259356108</v>
      </c>
      <c r="D67" s="15">
        <v>26.047685439524344</v>
      </c>
      <c r="E67" s="15">
        <v>2.5596041410151917</v>
      </c>
      <c r="F67" s="15">
        <v>12.827080435255345</v>
      </c>
      <c r="G67" s="15">
        <v>0.57614310079521747</v>
      </c>
      <c r="H67" s="15">
        <v>13.674185375605077</v>
      </c>
      <c r="I67" s="15">
        <v>0.73310435378811001</v>
      </c>
      <c r="J67" s="15">
        <v>19.886486007796201</v>
      </c>
      <c r="K67" s="15">
        <v>3.9749319036675521</v>
      </c>
    </row>
    <row r="68" spans="1:11" x14ac:dyDescent="0.25">
      <c r="A68" s="15">
        <v>7</v>
      </c>
      <c r="B68" s="15">
        <v>24.016782958815817</v>
      </c>
      <c r="C68" s="15">
        <v>3.1554162337528151</v>
      </c>
      <c r="D68" s="15">
        <v>24.574657720901879</v>
      </c>
      <c r="E68" s="15">
        <v>2.0298946255371564</v>
      </c>
      <c r="F68" s="15">
        <v>15.020904538787351</v>
      </c>
      <c r="G68" s="15">
        <v>0.46954427891516121</v>
      </c>
      <c r="H68" s="15">
        <v>16.029111986225974</v>
      </c>
      <c r="I68" s="15">
        <v>0.3854642799890371</v>
      </c>
      <c r="J68" s="15">
        <v>18.339481157861147</v>
      </c>
      <c r="K68" s="15">
        <v>1.5825887623965742</v>
      </c>
    </row>
    <row r="69" spans="1:11" x14ac:dyDescent="0.25">
      <c r="A69" s="15">
        <v>10</v>
      </c>
      <c r="B69" s="15">
        <v>44.182494365698972</v>
      </c>
      <c r="C69" s="15">
        <v>4.9361746686829244</v>
      </c>
      <c r="D69" s="15">
        <v>32.572477056525393</v>
      </c>
      <c r="E69" s="15">
        <v>1.8599117223551969</v>
      </c>
      <c r="F69" s="15">
        <v>20.985607776601203</v>
      </c>
      <c r="G69" s="15">
        <v>0.67355392789487234</v>
      </c>
      <c r="H69" s="15">
        <v>30.862129832762559</v>
      </c>
      <c r="I69" s="15">
        <v>1.3027025558496266</v>
      </c>
      <c r="J69" s="15">
        <v>35.151242777729124</v>
      </c>
      <c r="K69" s="15">
        <v>1.865211438104531</v>
      </c>
    </row>
    <row r="70" spans="1:11" x14ac:dyDescent="0.25">
      <c r="A70" s="15">
        <v>15</v>
      </c>
      <c r="B70" s="15">
        <v>40.272773106621699</v>
      </c>
      <c r="C70" s="15">
        <v>0.61961660592137946</v>
      </c>
      <c r="D70" s="15">
        <v>33.039871440444223</v>
      </c>
      <c r="E70" s="15">
        <v>0.94825179256302972</v>
      </c>
      <c r="F70" s="15">
        <v>21.035745296259517</v>
      </c>
      <c r="G70" s="15">
        <v>0.52307977444553277</v>
      </c>
      <c r="H70" s="15">
        <v>32.170260054429072</v>
      </c>
      <c r="I70" s="15">
        <v>3.0657841160038801</v>
      </c>
      <c r="J70" s="15">
        <v>37.056512788861582</v>
      </c>
      <c r="K70" s="15">
        <v>1.5448810574440632</v>
      </c>
    </row>
    <row r="71" spans="1:11" x14ac:dyDescent="0.25">
      <c r="A71" s="15">
        <v>21</v>
      </c>
      <c r="B71" s="15">
        <v>38.989707378391806</v>
      </c>
      <c r="C71" s="15">
        <v>2.8139689844967322</v>
      </c>
      <c r="D71" s="15">
        <v>45.874574592023926</v>
      </c>
      <c r="E71" s="15">
        <v>4.5274324713260903</v>
      </c>
      <c r="F71" s="15">
        <v>25.275960511745666</v>
      </c>
      <c r="G71" s="15">
        <v>2.5615944829122914</v>
      </c>
      <c r="H71" s="15">
        <v>38.194526043254477</v>
      </c>
      <c r="I71" s="15">
        <v>6.250606812754425</v>
      </c>
      <c r="J71" s="15">
        <v>44.385408969739501</v>
      </c>
      <c r="K71" s="15">
        <v>8.366959446608222</v>
      </c>
    </row>
    <row r="73" spans="1:11" x14ac:dyDescent="0.25">
      <c r="A73" s="15" t="s">
        <v>104</v>
      </c>
    </row>
    <row r="74" spans="1:11" x14ac:dyDescent="0.25">
      <c r="A74" s="2" t="s">
        <v>98</v>
      </c>
      <c r="B74" s="16" t="s">
        <v>68</v>
      </c>
      <c r="C74" s="17" t="s">
        <v>69</v>
      </c>
      <c r="D74" s="17" t="s">
        <v>70</v>
      </c>
      <c r="E74" s="17" t="s">
        <v>71</v>
      </c>
      <c r="F74" s="18" t="s">
        <v>72</v>
      </c>
    </row>
    <row r="75" spans="1:11" x14ac:dyDescent="0.25">
      <c r="A75" s="15">
        <v>0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</row>
    <row r="76" spans="1:11" x14ac:dyDescent="0.25">
      <c r="A76" s="15">
        <v>2</v>
      </c>
      <c r="B76" s="15">
        <v>119.23365720000004</v>
      </c>
      <c r="C76" s="15">
        <v>-119.96632019999993</v>
      </c>
      <c r="D76" s="15">
        <v>-147.30957789999997</v>
      </c>
      <c r="E76" s="15">
        <v>-139.21315019999997</v>
      </c>
      <c r="F76" s="15">
        <v>-81.890354699999989</v>
      </c>
    </row>
    <row r="77" spans="1:11" x14ac:dyDescent="0.25">
      <c r="A77" s="15">
        <v>4</v>
      </c>
      <c r="B77" s="15">
        <v>185.36032360000002</v>
      </c>
      <c r="C77" s="15">
        <v>-42.087501599999996</v>
      </c>
      <c r="D77" s="15">
        <v>-123.41500839999992</v>
      </c>
      <c r="E77" s="15">
        <v>-102.58363369999995</v>
      </c>
      <c r="F77" s="15">
        <v>81.435002699999927</v>
      </c>
    </row>
    <row r="78" spans="1:11" x14ac:dyDescent="0.25">
      <c r="A78" s="15">
        <v>7</v>
      </c>
      <c r="B78" s="15">
        <v>349.42846600000007</v>
      </c>
      <c r="C78" s="15">
        <v>92.978480600000012</v>
      </c>
      <c r="D78" s="15">
        <v>-76.206870399999957</v>
      </c>
      <c r="E78" s="15">
        <v>-127.50828219999994</v>
      </c>
      <c r="F78" s="15">
        <v>280.52528919999997</v>
      </c>
    </row>
    <row r="79" spans="1:11" x14ac:dyDescent="0.25">
      <c r="A79" s="15">
        <v>10</v>
      </c>
      <c r="B79" s="15">
        <v>709.92709230000003</v>
      </c>
      <c r="C79" s="15">
        <v>408.83926259999998</v>
      </c>
      <c r="D79" s="15">
        <v>-102.47212179999997</v>
      </c>
      <c r="E79" s="15">
        <v>-111.9741679</v>
      </c>
      <c r="F79" s="15">
        <v>334.39614649999999</v>
      </c>
    </row>
    <row r="80" spans="1:11" x14ac:dyDescent="0.25">
      <c r="A80" s="15">
        <v>15</v>
      </c>
      <c r="B80" s="15">
        <v>350.69276710000008</v>
      </c>
      <c r="C80" s="15">
        <v>766.52142359999993</v>
      </c>
      <c r="D80" s="15">
        <v>-12.661862099999894</v>
      </c>
      <c r="E80" s="15">
        <v>103.49808150000001</v>
      </c>
      <c r="F80" s="15">
        <v>593.00283209999986</v>
      </c>
    </row>
    <row r="81" spans="1:6" x14ac:dyDescent="0.25">
      <c r="A81" s="15">
        <v>21</v>
      </c>
      <c r="B81" s="15">
        <v>374.75225810000006</v>
      </c>
      <c r="C81" s="15">
        <v>887.46290160000012</v>
      </c>
      <c r="D81" s="15">
        <v>63.573790500000086</v>
      </c>
      <c r="E81" s="15">
        <v>49.897082700000055</v>
      </c>
      <c r="F81" s="15">
        <v>904.02791409999998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4DB1-CFC1-4A9E-9C13-861D82825B46}">
  <dimension ref="A1:V27"/>
  <sheetViews>
    <sheetView workbookViewId="0">
      <selection activeCell="G26" sqref="G26"/>
    </sheetView>
  </sheetViews>
  <sheetFormatPr defaultRowHeight="13.8" x14ac:dyDescent="0.25"/>
  <cols>
    <col min="1" max="16384" width="8.88671875" style="15"/>
  </cols>
  <sheetData>
    <row r="1" spans="1:22" x14ac:dyDescent="0.25">
      <c r="A1" s="15" t="s">
        <v>105</v>
      </c>
      <c r="I1" s="15" t="s">
        <v>112</v>
      </c>
      <c r="Q1" s="15" t="s">
        <v>114</v>
      </c>
    </row>
    <row r="2" spans="1:22" x14ac:dyDescent="0.25">
      <c r="I2" s="2" t="s">
        <v>98</v>
      </c>
      <c r="J2" s="15" t="s">
        <v>106</v>
      </c>
      <c r="K2" s="15" t="s">
        <v>107</v>
      </c>
      <c r="L2" s="15" t="s">
        <v>108</v>
      </c>
      <c r="M2" s="15" t="s">
        <v>109</v>
      </c>
      <c r="N2" s="15" t="s">
        <v>110</v>
      </c>
    </row>
    <row r="3" spans="1:22" x14ac:dyDescent="0.25">
      <c r="A3" s="2" t="s">
        <v>98</v>
      </c>
      <c r="B3" s="15" t="s">
        <v>106</v>
      </c>
      <c r="C3" s="15" t="s">
        <v>107</v>
      </c>
      <c r="D3" s="15" t="s">
        <v>108</v>
      </c>
      <c r="E3" s="15" t="s">
        <v>109</v>
      </c>
      <c r="F3" s="15" t="s">
        <v>110</v>
      </c>
      <c r="I3" s="15">
        <v>0</v>
      </c>
      <c r="J3" s="15">
        <v>48.851298720000003</v>
      </c>
      <c r="K3" s="15">
        <v>269.97576921000001</v>
      </c>
      <c r="L3" s="15">
        <v>255.51181718999999</v>
      </c>
      <c r="M3" s="15">
        <v>26.496557812703422</v>
      </c>
      <c r="N3" s="15">
        <v>13.76591995232627</v>
      </c>
      <c r="Q3" s="2" t="s">
        <v>98</v>
      </c>
      <c r="R3" s="15" t="s">
        <v>106</v>
      </c>
      <c r="S3" s="15" t="s">
        <v>107</v>
      </c>
      <c r="T3" s="15" t="s">
        <v>108</v>
      </c>
      <c r="U3" s="15" t="s">
        <v>109</v>
      </c>
      <c r="V3" s="15" t="s">
        <v>110</v>
      </c>
    </row>
    <row r="4" spans="1:22" x14ac:dyDescent="0.25">
      <c r="A4" s="15">
        <v>0</v>
      </c>
      <c r="B4" s="15">
        <v>68.361038969999996</v>
      </c>
      <c r="C4" s="2">
        <v>219.92047392000001</v>
      </c>
      <c r="D4" s="15">
        <v>284.50265671799997</v>
      </c>
      <c r="E4" s="15">
        <v>36.931234107717053</v>
      </c>
      <c r="F4" s="15">
        <v>15.377051973469086</v>
      </c>
      <c r="I4" s="15">
        <v>2</v>
      </c>
      <c r="J4" s="15">
        <v>38.765909090909091</v>
      </c>
      <c r="K4" s="2">
        <v>209.07783732564786</v>
      </c>
      <c r="L4" s="15">
        <v>237.13741207949613</v>
      </c>
      <c r="M4" s="15">
        <v>31.993983222329177</v>
      </c>
      <c r="N4" s="15">
        <v>15.73586651543819</v>
      </c>
      <c r="Q4" s="15">
        <v>0</v>
      </c>
      <c r="R4" s="15">
        <v>59.771753230000002</v>
      </c>
      <c r="S4" s="15">
        <v>256.36097522</v>
      </c>
      <c r="T4" s="15">
        <v>261.32815090199989</v>
      </c>
      <c r="U4" s="15">
        <v>37.131285703490995</v>
      </c>
      <c r="V4" s="15">
        <v>17.244572659691865</v>
      </c>
    </row>
    <row r="5" spans="1:22" x14ac:dyDescent="0.25">
      <c r="A5" s="15">
        <v>2</v>
      </c>
      <c r="B5" s="15">
        <v>126.35671296296294</v>
      </c>
      <c r="C5" s="2">
        <v>278.17052676206271</v>
      </c>
      <c r="D5" s="15">
        <v>306.42679184954847</v>
      </c>
      <c r="E5" s="15">
        <v>17.566679695997376</v>
      </c>
      <c r="F5" s="15">
        <v>15.805401590889256</v>
      </c>
      <c r="I5" s="15">
        <v>4</v>
      </c>
      <c r="J5" s="2">
        <v>38.709382161955695</v>
      </c>
      <c r="K5" s="2">
        <v>172.16146387474771</v>
      </c>
      <c r="L5" s="15">
        <v>431.27068381495474</v>
      </c>
      <c r="M5" s="15">
        <v>34.008349696395861</v>
      </c>
      <c r="N5" s="15">
        <v>19.886486007796201</v>
      </c>
      <c r="Q5" s="15">
        <v>2</v>
      </c>
      <c r="R5" s="15">
        <v>24.643975468975469</v>
      </c>
      <c r="S5" s="15">
        <v>214.34132316346569</v>
      </c>
      <c r="T5" s="15">
        <v>231.14215068205806</v>
      </c>
      <c r="U5" s="15">
        <v>6.5166722062181517</v>
      </c>
      <c r="V5" s="15">
        <v>15.97946601455836</v>
      </c>
    </row>
    <row r="6" spans="1:22" x14ac:dyDescent="0.25">
      <c r="A6" s="15">
        <v>4</v>
      </c>
      <c r="B6" s="15">
        <v>183.60531894576013</v>
      </c>
      <c r="C6" s="2">
        <v>176.92259649702962</v>
      </c>
      <c r="D6" s="15">
        <v>418.49689327687588</v>
      </c>
      <c r="E6" s="15">
        <v>11.240398250367093</v>
      </c>
      <c r="F6" s="2">
        <v>20.187572292925271</v>
      </c>
      <c r="I6" s="15">
        <v>7</v>
      </c>
      <c r="J6" s="15">
        <v>43.646154626623378</v>
      </c>
      <c r="K6" s="2">
        <v>174.73387987458187</v>
      </c>
      <c r="L6" s="2">
        <v>573.06990630940015</v>
      </c>
      <c r="M6" s="15">
        <v>85.33723016508317</v>
      </c>
      <c r="N6" s="15">
        <v>18.339481157861147</v>
      </c>
      <c r="Q6" s="15">
        <v>4</v>
      </c>
      <c r="R6" s="15">
        <v>34.617064553093968</v>
      </c>
      <c r="S6" s="15">
        <v>148.75209085562503</v>
      </c>
      <c r="T6" s="15">
        <v>322.82829148881029</v>
      </c>
      <c r="U6" s="15">
        <v>9.3814717716575799</v>
      </c>
      <c r="V6" s="15">
        <v>13.674185375605077</v>
      </c>
    </row>
    <row r="7" spans="1:22" x14ac:dyDescent="0.25">
      <c r="A7" s="15">
        <v>7</v>
      </c>
      <c r="B7" s="15">
        <v>178.2263595779221</v>
      </c>
      <c r="C7" s="2">
        <v>291.07893825007261</v>
      </c>
      <c r="D7" s="15">
        <v>421.12191405401614</v>
      </c>
      <c r="E7" s="15">
        <v>60.076926850648185</v>
      </c>
      <c r="F7" s="15">
        <v>24.016782958815817</v>
      </c>
      <c r="I7" s="15">
        <v>10</v>
      </c>
      <c r="J7" s="15">
        <v>96.751396973224686</v>
      </c>
      <c r="K7" s="2">
        <v>263.11231900570414</v>
      </c>
      <c r="L7" s="15">
        <v>432.71321265917044</v>
      </c>
      <c r="M7" s="15">
        <v>121.26933800049191</v>
      </c>
      <c r="N7" s="15">
        <v>35.151242777729124</v>
      </c>
      <c r="Q7" s="15">
        <v>7</v>
      </c>
      <c r="R7" s="15">
        <v>57.610998376623385</v>
      </c>
      <c r="S7" s="15">
        <v>266.60390344435075</v>
      </c>
      <c r="T7" s="15">
        <v>153.74560420312221</v>
      </c>
      <c r="U7" s="15">
        <v>10.338837477112889</v>
      </c>
      <c r="V7" s="15">
        <v>16.029111986225974</v>
      </c>
    </row>
    <row r="8" spans="1:22" x14ac:dyDescent="0.25">
      <c r="A8" s="15">
        <v>10</v>
      </c>
      <c r="B8" s="15">
        <v>247.77590867934293</v>
      </c>
      <c r="C8" s="2">
        <v>267.79247630748756</v>
      </c>
      <c r="D8" s="15">
        <v>643.36641307850664</v>
      </c>
      <c r="E8" s="2">
        <v>131.90225562275637</v>
      </c>
      <c r="F8" s="15">
        <v>44.182494365698972</v>
      </c>
      <c r="I8" s="15">
        <v>15</v>
      </c>
      <c r="J8" s="15">
        <v>111.98519873607185</v>
      </c>
      <c r="K8" s="2">
        <v>281.65992637367356</v>
      </c>
      <c r="L8" s="15">
        <v>549.03644892504462</v>
      </c>
      <c r="M8" s="15">
        <v>227.86610817862166</v>
      </c>
      <c r="N8" s="15">
        <v>37.056512788861582</v>
      </c>
      <c r="Q8" s="15">
        <v>10</v>
      </c>
      <c r="R8" s="15">
        <v>44.474268098133052</v>
      </c>
      <c r="S8" s="15">
        <v>212.1562308775766</v>
      </c>
      <c r="T8" s="15">
        <v>203.72153946680783</v>
      </c>
      <c r="U8" s="15">
        <v>28.648401510562138</v>
      </c>
      <c r="V8" s="15">
        <v>30.862129832762559</v>
      </c>
    </row>
    <row r="9" spans="1:22" x14ac:dyDescent="0.25">
      <c r="A9" s="15">
        <v>15</v>
      </c>
      <c r="B9" s="15">
        <v>165.73778341371474</v>
      </c>
      <c r="C9" s="2">
        <v>376.46962659506482</v>
      </c>
      <c r="D9" s="15">
        <v>243.21120348294716</v>
      </c>
      <c r="E9" s="15">
        <v>150.09383625080864</v>
      </c>
      <c r="F9" s="15">
        <v>40.272773106621699</v>
      </c>
      <c r="I9" s="15">
        <v>21</v>
      </c>
      <c r="J9" s="15">
        <v>133.35836616817409</v>
      </c>
      <c r="K9" s="2">
        <v>427.9028265551886</v>
      </c>
      <c r="L9" s="15">
        <v>511.94448009527849</v>
      </c>
      <c r="M9" s="15">
        <v>401.03819538542274</v>
      </c>
      <c r="N9" s="15">
        <v>44.385408969739501</v>
      </c>
      <c r="Q9" s="15">
        <v>15</v>
      </c>
      <c r="R9" s="15">
        <v>67.822962285418626</v>
      </c>
      <c r="S9" s="15">
        <v>261.64205088402827</v>
      </c>
      <c r="T9" s="15">
        <v>298.73515374624299</v>
      </c>
      <c r="U9" s="15">
        <v>74.964392204587838</v>
      </c>
      <c r="V9" s="15">
        <v>32.170260054429072</v>
      </c>
    </row>
    <row r="10" spans="1:22" x14ac:dyDescent="0.25">
      <c r="A10" s="15">
        <v>21</v>
      </c>
      <c r="B10" s="15">
        <v>112.48220762066805</v>
      </c>
      <c r="C10" s="2">
        <v>391.1702754954257</v>
      </c>
      <c r="D10" s="15">
        <v>335.60236415390398</v>
      </c>
      <c r="E10" s="15">
        <v>121.60015919883941</v>
      </c>
      <c r="F10" s="15">
        <v>38.989707378391806</v>
      </c>
      <c r="Q10" s="15">
        <v>21</v>
      </c>
      <c r="R10" s="15">
        <v>73.051826811139975</v>
      </c>
      <c r="S10" s="15">
        <v>441.77909656969342</v>
      </c>
      <c r="T10" s="15">
        <v>108.61005581955797</v>
      </c>
      <c r="U10" s="15">
        <v>20.098315142742383</v>
      </c>
      <c r="V10" s="15">
        <v>38.194526043254477</v>
      </c>
    </row>
    <row r="13" spans="1:22" x14ac:dyDescent="0.25">
      <c r="A13" s="15" t="s">
        <v>111</v>
      </c>
    </row>
    <row r="14" spans="1:22" x14ac:dyDescent="0.25">
      <c r="A14" s="2" t="s">
        <v>98</v>
      </c>
      <c r="B14" s="15" t="s">
        <v>106</v>
      </c>
      <c r="C14" s="15" t="s">
        <v>107</v>
      </c>
      <c r="D14" s="15" t="s">
        <v>108</v>
      </c>
      <c r="E14" s="15" t="s">
        <v>109</v>
      </c>
      <c r="F14" s="15" t="s">
        <v>110</v>
      </c>
      <c r="I14" s="15" t="s">
        <v>113</v>
      </c>
      <c r="Q14" s="15" t="s">
        <v>115</v>
      </c>
    </row>
    <row r="15" spans="1:22" x14ac:dyDescent="0.25">
      <c r="A15" s="15">
        <v>0</v>
      </c>
      <c r="B15" s="15">
        <v>53.948701310000004</v>
      </c>
      <c r="C15" s="15">
        <v>197.99829657999999</v>
      </c>
      <c r="D15" s="15">
        <v>343.97259367799995</v>
      </c>
      <c r="E15" s="15">
        <v>50.464910142360523</v>
      </c>
      <c r="F15" s="15">
        <v>14.367661706878016</v>
      </c>
      <c r="I15" s="2" t="s">
        <v>98</v>
      </c>
      <c r="J15" s="15" t="s">
        <v>106</v>
      </c>
      <c r="K15" s="15" t="s">
        <v>107</v>
      </c>
      <c r="L15" s="15" t="s">
        <v>108</v>
      </c>
      <c r="M15" s="15" t="s">
        <v>109</v>
      </c>
      <c r="N15" s="15" t="s">
        <v>110</v>
      </c>
    </row>
    <row r="16" spans="1:22" x14ac:dyDescent="0.25">
      <c r="A16" s="15">
        <v>2</v>
      </c>
      <c r="B16" s="15">
        <v>47.706824945887448</v>
      </c>
      <c r="C16" s="2">
        <v>261.10576581029216</v>
      </c>
      <c r="D16" s="15">
        <v>195.23589594926275</v>
      </c>
      <c r="E16" s="15">
        <v>18.300717586219324</v>
      </c>
      <c r="F16" s="15">
        <v>18.436638956845371</v>
      </c>
      <c r="I16" s="15">
        <v>0</v>
      </c>
      <c r="J16" s="15">
        <v>63.612662329999999</v>
      </c>
      <c r="K16" s="15">
        <v>243.26292697</v>
      </c>
      <c r="L16" s="15">
        <v>253.74473837999994</v>
      </c>
      <c r="M16" s="15">
        <v>26.445669895143702</v>
      </c>
      <c r="N16" s="15">
        <v>16.811049405659688</v>
      </c>
      <c r="Q16" s="15" t="s">
        <v>116</v>
      </c>
      <c r="R16" s="16" t="s">
        <v>68</v>
      </c>
      <c r="S16" s="17" t="s">
        <v>69</v>
      </c>
      <c r="T16" s="18" t="s">
        <v>72</v>
      </c>
    </row>
    <row r="17" spans="1:20" x14ac:dyDescent="0.25">
      <c r="A17" s="15">
        <v>4</v>
      </c>
      <c r="B17" s="15">
        <v>56.736334988540875</v>
      </c>
      <c r="C17" s="2">
        <v>136.24594537178231</v>
      </c>
      <c r="D17" s="15">
        <v>384.09042057567223</v>
      </c>
      <c r="E17" s="2">
        <v>15.544275457849178</v>
      </c>
      <c r="F17" s="15">
        <v>26.047685439524344</v>
      </c>
      <c r="I17" s="15">
        <v>2</v>
      </c>
      <c r="J17" s="15">
        <v>25.891991341991343</v>
      </c>
      <c r="K17" s="15">
        <v>313.92919163299763</v>
      </c>
      <c r="L17" s="15">
        <v>98.057538254757517</v>
      </c>
      <c r="M17" s="2">
        <v>2.0340373757528405</v>
      </c>
      <c r="N17" s="15">
        <v>16.65471054274499</v>
      </c>
      <c r="Q17" s="15" t="s">
        <v>109</v>
      </c>
      <c r="R17" s="15">
        <v>22.593442319178749</v>
      </c>
      <c r="S17" s="15">
        <v>36.114191698307643</v>
      </c>
      <c r="T17" s="15">
        <v>41.430222179874491</v>
      </c>
    </row>
    <row r="18" spans="1:20" x14ac:dyDescent="0.25">
      <c r="A18" s="15">
        <v>7</v>
      </c>
      <c r="B18" s="15">
        <v>58.336444805194802</v>
      </c>
      <c r="C18" s="2">
        <v>186.44349787799962</v>
      </c>
      <c r="D18" s="15">
        <v>458.38038427982997</v>
      </c>
      <c r="E18" s="15">
        <v>25.995659269012261</v>
      </c>
      <c r="F18" s="15">
        <v>24.574657720901879</v>
      </c>
      <c r="I18" s="15">
        <v>4</v>
      </c>
      <c r="J18" s="15">
        <v>23.120359052711994</v>
      </c>
      <c r="K18" s="15">
        <v>213.81251522135048</v>
      </c>
      <c r="L18" s="15">
        <v>213.40897431461272</v>
      </c>
      <c r="M18" s="15">
        <v>17.293109546913087</v>
      </c>
      <c r="N18" s="15">
        <v>12.827080435255345</v>
      </c>
      <c r="Q18" s="15" t="s">
        <v>108</v>
      </c>
      <c r="R18" s="15">
        <v>13.635679102309275</v>
      </c>
      <c r="S18" s="15">
        <v>27.59018907327604</v>
      </c>
      <c r="T18" s="15">
        <v>28.365503678559172</v>
      </c>
    </row>
    <row r="19" spans="1:20" x14ac:dyDescent="0.25">
      <c r="A19" s="15">
        <v>10</v>
      </c>
      <c r="B19" s="15">
        <v>98.366839671452595</v>
      </c>
      <c r="C19" s="2">
        <v>295.32378631625591</v>
      </c>
      <c r="D19" s="15">
        <v>449.47263938352609</v>
      </c>
      <c r="E19" s="15">
        <v>193.8556838462693</v>
      </c>
      <c r="F19" s="15">
        <v>32.572477056525393</v>
      </c>
      <c r="I19" s="15">
        <v>7</v>
      </c>
      <c r="J19" s="15">
        <v>22.109188988095237</v>
      </c>
      <c r="K19" s="15">
        <v>256.64414525938173</v>
      </c>
      <c r="L19" s="15">
        <v>221.91426151488272</v>
      </c>
      <c r="M19" s="15">
        <v>11.981676309818335</v>
      </c>
      <c r="N19" s="15">
        <v>15.020904538787351</v>
      </c>
      <c r="Q19" s="15" t="s">
        <v>107</v>
      </c>
      <c r="R19" s="15">
        <v>45.697078472428473</v>
      </c>
      <c r="S19" s="15">
        <v>21.53448714313873</v>
      </c>
      <c r="T19" s="15">
        <v>17.469227497449044</v>
      </c>
    </row>
    <row r="20" spans="1:20" x14ac:dyDescent="0.25">
      <c r="A20" s="15">
        <v>15</v>
      </c>
      <c r="B20" s="15">
        <v>125.21800681855979</v>
      </c>
      <c r="C20" s="2">
        <v>376.52376516474578</v>
      </c>
      <c r="D20" s="15">
        <v>433.06847333154394</v>
      </c>
      <c r="E20" s="15">
        <v>459.42347026245096</v>
      </c>
      <c r="F20" s="15">
        <v>33.039871440444223</v>
      </c>
      <c r="I20" s="15">
        <v>10</v>
      </c>
      <c r="J20" s="15">
        <v>32.985579700771787</v>
      </c>
      <c r="K20" s="15">
        <v>322.061733732064</v>
      </c>
      <c r="L20" s="15">
        <v>106.60208617683749</v>
      </c>
      <c r="M20" s="15">
        <v>18.769917855704016</v>
      </c>
      <c r="N20" s="15">
        <v>20.985607776601203</v>
      </c>
      <c r="Q20" s="15" t="s">
        <v>106</v>
      </c>
      <c r="R20" s="15">
        <v>11.773493969491142</v>
      </c>
      <c r="S20" s="15">
        <v>11.211224339502431</v>
      </c>
      <c r="T20" s="15">
        <v>9.3478167149512839</v>
      </c>
    </row>
    <row r="21" spans="1:20" x14ac:dyDescent="0.25">
      <c r="A21" s="15">
        <v>21</v>
      </c>
      <c r="B21" s="15">
        <v>153.4438328333483</v>
      </c>
      <c r="C21" s="2">
        <v>389.10825618049898</v>
      </c>
      <c r="D21" s="15">
        <v>588.82448562769548</v>
      </c>
      <c r="E21" s="15">
        <v>370.96391578816156</v>
      </c>
      <c r="F21" s="15">
        <v>45.874574592023926</v>
      </c>
      <c r="I21" s="15">
        <v>15</v>
      </c>
      <c r="J21" s="15">
        <v>40.941423212668845</v>
      </c>
      <c r="K21" s="15">
        <v>451.28407722631272</v>
      </c>
      <c r="L21" s="15">
        <v>58.746768037895869</v>
      </c>
      <c r="M21" s="15">
        <v>19.207171172692124</v>
      </c>
      <c r="N21" s="15">
        <v>21.035745296259517</v>
      </c>
      <c r="Q21" s="15" t="s">
        <v>110</v>
      </c>
      <c r="R21" s="15">
        <v>6.3009087137885844</v>
      </c>
      <c r="S21" s="15">
        <v>3.5502347018621578</v>
      </c>
      <c r="T21" s="15">
        <v>3.3869992165540119</v>
      </c>
    </row>
    <row r="22" spans="1:20" x14ac:dyDescent="0.25">
      <c r="I22" s="15">
        <v>21</v>
      </c>
      <c r="J22" s="15">
        <v>38.180919972538135</v>
      </c>
      <c r="K22" s="15">
        <v>503.91448692960279</v>
      </c>
      <c r="L22" s="15">
        <v>68.472146976648972</v>
      </c>
      <c r="M22" s="15">
        <v>31.607323111301508</v>
      </c>
      <c r="N22" s="15">
        <v>25.275960511745666</v>
      </c>
    </row>
    <row r="25" spans="1:20" x14ac:dyDescent="0.25">
      <c r="Q25" s="16"/>
    </row>
    <row r="26" spans="1:20" x14ac:dyDescent="0.25">
      <c r="Q26" s="17"/>
    </row>
    <row r="27" spans="1:20" x14ac:dyDescent="0.25">
      <c r="Q27" s="18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844BC-2EE0-4C28-9D21-168CCA137427}">
  <dimension ref="A1:BK91"/>
  <sheetViews>
    <sheetView tabSelected="1" zoomScale="55" zoomScaleNormal="55" workbookViewId="0">
      <selection activeCell="A2" sqref="A2"/>
    </sheetView>
  </sheetViews>
  <sheetFormatPr defaultRowHeight="13.8" x14ac:dyDescent="0.25"/>
  <cols>
    <col min="1" max="32" width="8.88671875" style="15"/>
    <col min="33" max="63" width="8.88671875" style="19"/>
    <col min="64" max="16384" width="8.88671875" style="15"/>
  </cols>
  <sheetData>
    <row r="1" spans="1:63" x14ac:dyDescent="0.25">
      <c r="A1" s="15" t="s">
        <v>194</v>
      </c>
      <c r="P1" s="15" t="s">
        <v>193</v>
      </c>
      <c r="AF1" s="15" t="s">
        <v>189</v>
      </c>
      <c r="AG1" s="22" t="s">
        <v>185</v>
      </c>
      <c r="AH1" s="15" t="s">
        <v>172</v>
      </c>
      <c r="AI1" s="15" t="s">
        <v>171</v>
      </c>
      <c r="AJ1" s="15" t="s">
        <v>170</v>
      </c>
      <c r="AK1" s="15" t="s">
        <v>169</v>
      </c>
      <c r="AL1" s="15" t="s">
        <v>168</v>
      </c>
      <c r="AM1" s="15" t="s">
        <v>167</v>
      </c>
      <c r="AN1" s="22" t="s">
        <v>190</v>
      </c>
      <c r="AO1" s="22" t="s">
        <v>185</v>
      </c>
      <c r="AP1" s="15" t="s">
        <v>172</v>
      </c>
      <c r="AQ1" s="15" t="s">
        <v>171</v>
      </c>
      <c r="AR1" s="15" t="s">
        <v>170</v>
      </c>
      <c r="AS1" s="15" t="s">
        <v>169</v>
      </c>
      <c r="AT1" s="15" t="s">
        <v>168</v>
      </c>
      <c r="AU1" s="15" t="s">
        <v>167</v>
      </c>
      <c r="AV1" s="22" t="s">
        <v>191</v>
      </c>
      <c r="AW1" s="22" t="s">
        <v>185</v>
      </c>
      <c r="AX1" s="15" t="s">
        <v>172</v>
      </c>
      <c r="AY1" s="15" t="s">
        <v>171</v>
      </c>
      <c r="AZ1" s="15" t="s">
        <v>170</v>
      </c>
      <c r="BA1" s="15" t="s">
        <v>169</v>
      </c>
      <c r="BB1" s="15" t="s">
        <v>168</v>
      </c>
      <c r="BC1" s="15" t="s">
        <v>167</v>
      </c>
      <c r="BD1" s="22" t="s">
        <v>192</v>
      </c>
      <c r="BE1" s="19" t="s">
        <v>185</v>
      </c>
      <c r="BF1" s="15" t="s">
        <v>172</v>
      </c>
      <c r="BG1" s="15" t="s">
        <v>171</v>
      </c>
      <c r="BH1" s="15" t="s">
        <v>170</v>
      </c>
      <c r="BI1" s="15" t="s">
        <v>169</v>
      </c>
      <c r="BJ1" s="15" t="s">
        <v>168</v>
      </c>
      <c r="BK1" s="15" t="s">
        <v>167</v>
      </c>
    </row>
    <row r="2" spans="1:63" x14ac:dyDescent="0.25">
      <c r="A2" s="15" t="s">
        <v>195</v>
      </c>
      <c r="H2" s="15" t="s">
        <v>164</v>
      </c>
      <c r="P2" s="15" t="s">
        <v>165</v>
      </c>
      <c r="X2" s="15" t="s">
        <v>166</v>
      </c>
      <c r="AG2" s="23">
        <v>-18</v>
      </c>
      <c r="AH2" s="22">
        <v>7.32</v>
      </c>
      <c r="AI2" s="22"/>
      <c r="AJ2" s="22"/>
      <c r="AK2" s="22"/>
      <c r="AL2" s="22"/>
      <c r="AM2" s="22"/>
      <c r="AN2" s="22"/>
      <c r="AO2" s="23">
        <v>-18</v>
      </c>
      <c r="AP2" s="22">
        <v>8.0699999999999994E-2</v>
      </c>
      <c r="AQ2" s="22"/>
      <c r="AR2" s="22"/>
      <c r="AS2" s="22"/>
      <c r="AT2" s="22"/>
      <c r="AU2" s="22"/>
      <c r="AV2" s="22"/>
      <c r="AW2" s="23">
        <v>-18</v>
      </c>
      <c r="AX2" s="22">
        <v>3.7115215479331569</v>
      </c>
      <c r="AY2" s="22"/>
      <c r="AZ2" s="22"/>
      <c r="BA2" s="22"/>
      <c r="BB2" s="22"/>
      <c r="BC2" s="22"/>
      <c r="BD2" s="22"/>
      <c r="BE2" s="23">
        <v>-18</v>
      </c>
      <c r="BF2" s="6">
        <v>0.45968205324650452</v>
      </c>
      <c r="BG2" s="6"/>
      <c r="BH2" s="6"/>
      <c r="BI2" s="6"/>
      <c r="BJ2" s="6"/>
      <c r="BK2" s="6"/>
    </row>
    <row r="3" spans="1:63" x14ac:dyDescent="0.25">
      <c r="A3" s="15" t="s">
        <v>167</v>
      </c>
      <c r="B3" s="15" t="s">
        <v>168</v>
      </c>
      <c r="C3" s="15" t="s">
        <v>169</v>
      </c>
      <c r="D3" s="15" t="s">
        <v>170</v>
      </c>
      <c r="E3" s="15" t="s">
        <v>171</v>
      </c>
      <c r="F3" s="15" t="s">
        <v>172</v>
      </c>
      <c r="H3" s="15" t="s">
        <v>167</v>
      </c>
      <c r="I3" s="15" t="s">
        <v>168</v>
      </c>
      <c r="J3" s="15" t="s">
        <v>169</v>
      </c>
      <c r="K3" s="15" t="s">
        <v>170</v>
      </c>
      <c r="L3" s="15" t="s">
        <v>171</v>
      </c>
      <c r="M3" s="15" t="s">
        <v>172</v>
      </c>
      <c r="P3" s="15" t="s">
        <v>173</v>
      </c>
      <c r="Q3" s="15" t="s">
        <v>167</v>
      </c>
      <c r="R3" s="15" t="s">
        <v>168</v>
      </c>
      <c r="S3" s="15" t="s">
        <v>169</v>
      </c>
      <c r="T3" s="15" t="s">
        <v>170</v>
      </c>
      <c r="U3" s="15" t="s">
        <v>171</v>
      </c>
      <c r="V3" s="15" t="s">
        <v>172</v>
      </c>
      <c r="X3" s="15" t="s">
        <v>173</v>
      </c>
      <c r="Y3" s="15" t="s">
        <v>167</v>
      </c>
      <c r="Z3" s="15" t="s">
        <v>168</v>
      </c>
      <c r="AA3" s="15" t="s">
        <v>169</v>
      </c>
      <c r="AB3" s="15" t="s">
        <v>170</v>
      </c>
      <c r="AC3" s="15" t="s">
        <v>171</v>
      </c>
      <c r="AD3" s="15" t="s">
        <v>172</v>
      </c>
      <c r="AG3" s="23"/>
      <c r="AH3" s="22">
        <v>7.44</v>
      </c>
      <c r="AI3" s="22"/>
      <c r="AJ3" s="22"/>
      <c r="AK3" s="22"/>
      <c r="AL3" s="22"/>
      <c r="AM3" s="22"/>
      <c r="AN3" s="22"/>
      <c r="AO3" s="23"/>
      <c r="AP3" s="22">
        <v>8.6900000000000005E-2</v>
      </c>
      <c r="AQ3" s="22"/>
      <c r="AR3" s="22"/>
      <c r="AS3" s="22"/>
      <c r="AT3" s="22"/>
      <c r="AU3" s="22"/>
      <c r="AV3" s="22"/>
      <c r="AW3" s="23"/>
      <c r="AX3" s="22">
        <v>3.4623277631193194</v>
      </c>
      <c r="AY3" s="22"/>
      <c r="AZ3" s="22"/>
      <c r="BA3" s="22"/>
      <c r="BB3" s="22"/>
      <c r="BC3" s="22"/>
      <c r="BD3" s="22"/>
      <c r="BE3" s="23"/>
      <c r="BF3" s="6">
        <v>0.4060089321965083</v>
      </c>
      <c r="BG3" s="6"/>
      <c r="BH3" s="6"/>
      <c r="BI3" s="6"/>
      <c r="BJ3" s="6"/>
      <c r="BK3" s="6"/>
    </row>
    <row r="4" spans="1:63" x14ac:dyDescent="0.25">
      <c r="A4" s="15">
        <v>9.3673599999999997</v>
      </c>
      <c r="B4" s="15">
        <v>12.299626112759645</v>
      </c>
      <c r="C4" s="15">
        <v>9.258823853211009</v>
      </c>
      <c r="D4" s="15">
        <v>15.96319465648855</v>
      </c>
      <c r="E4" s="15">
        <v>12.942283298097253</v>
      </c>
      <c r="F4" s="15">
        <v>16.290571713147411</v>
      </c>
      <c r="H4" s="15">
        <v>10.578164869029274</v>
      </c>
      <c r="I4" s="15">
        <v>6.1657400318979274</v>
      </c>
      <c r="J4" s="15">
        <v>1.7000002773893226</v>
      </c>
      <c r="K4" s="15">
        <v>9.0776106870229007</v>
      </c>
      <c r="L4" s="15">
        <v>11.54036111111111</v>
      </c>
      <c r="M4" s="15">
        <v>11.678550264550266</v>
      </c>
      <c r="P4" s="15">
        <v>357</v>
      </c>
      <c r="Q4" s="15">
        <v>112</v>
      </c>
      <c r="R4" s="15">
        <v>215</v>
      </c>
      <c r="S4" s="15">
        <v>102</v>
      </c>
      <c r="T4" s="15">
        <v>399</v>
      </c>
      <c r="U4" s="15">
        <v>306</v>
      </c>
      <c r="V4" s="15">
        <v>548</v>
      </c>
      <c r="X4" s="15">
        <v>0.81888057553956828</v>
      </c>
      <c r="Y4" s="15">
        <v>0.36716609999999994</v>
      </c>
      <c r="Z4" s="15">
        <v>0.28999035087719294</v>
      </c>
      <c r="AA4" s="15">
        <v>0.447438</v>
      </c>
      <c r="AB4" s="15">
        <v>0.53402674418604645</v>
      </c>
      <c r="AC4" s="15">
        <v>0.77774234234234219</v>
      </c>
      <c r="AD4" s="15">
        <v>0.86118119658119652</v>
      </c>
      <c r="AG4" s="23"/>
      <c r="AH4" s="22">
        <v>7.6</v>
      </c>
      <c r="AI4" s="22"/>
      <c r="AJ4" s="22"/>
      <c r="AK4" s="22"/>
      <c r="AL4" s="22"/>
      <c r="AM4" s="22"/>
      <c r="AN4" s="22"/>
      <c r="AO4" s="23"/>
      <c r="AP4" s="22">
        <v>8.3600000000000008E-2</v>
      </c>
      <c r="AQ4" s="22"/>
      <c r="AR4" s="22"/>
      <c r="AS4" s="22"/>
      <c r="AT4" s="22"/>
      <c r="AU4" s="22"/>
      <c r="AV4" s="22"/>
      <c r="AW4" s="23"/>
      <c r="AX4" s="22">
        <v>3.2776311931984745</v>
      </c>
      <c r="AY4" s="22"/>
      <c r="AZ4" s="22"/>
      <c r="BA4" s="22"/>
      <c r="BB4" s="22"/>
      <c r="BC4" s="22"/>
      <c r="BD4" s="22"/>
      <c r="BE4" s="23"/>
      <c r="BF4" s="6">
        <v>0.37453183520599254</v>
      </c>
      <c r="BG4" s="6"/>
      <c r="BH4" s="6"/>
      <c r="BI4" s="6"/>
      <c r="BJ4" s="6"/>
      <c r="BK4" s="6"/>
    </row>
    <row r="5" spans="1:63" x14ac:dyDescent="0.25">
      <c r="A5" s="15">
        <v>9.1972292134831459</v>
      </c>
      <c r="B5" s="15">
        <v>6.0142559523809522</v>
      </c>
      <c r="C5" s="15">
        <v>7.5820357894736841</v>
      </c>
      <c r="D5" s="15">
        <v>10.771547120418848</v>
      </c>
      <c r="E5" s="15">
        <v>11.182948717948717</v>
      </c>
      <c r="F5" s="15">
        <v>16.823088295687889</v>
      </c>
      <c r="H5" s="15">
        <v>10.670612903225805</v>
      </c>
      <c r="I5" s="15">
        <v>8.8518140293637835</v>
      </c>
      <c r="J5" s="15">
        <v>3.9769720930232557</v>
      </c>
      <c r="K5" s="15">
        <v>9.8448514851485136</v>
      </c>
      <c r="L5" s="15">
        <v>11.689603389830509</v>
      </c>
      <c r="M5" s="15">
        <v>9.1171035940803371</v>
      </c>
      <c r="P5" s="15">
        <v>313</v>
      </c>
      <c r="Q5" s="15">
        <v>129</v>
      </c>
      <c r="R5" s="15">
        <v>40</v>
      </c>
      <c r="S5" s="15">
        <v>96</v>
      </c>
      <c r="T5" s="15">
        <v>200</v>
      </c>
      <c r="U5" s="15">
        <v>218</v>
      </c>
      <c r="V5" s="15">
        <v>535</v>
      </c>
      <c r="X5" s="15">
        <v>0.61165266666666651</v>
      </c>
      <c r="Y5" s="15">
        <v>0.26340649999999993</v>
      </c>
      <c r="Z5" s="15">
        <v>0.6003409999999999</v>
      </c>
      <c r="AA5" s="15">
        <v>0.44054148936170212</v>
      </c>
      <c r="AB5" s="15">
        <v>0.57427922222222216</v>
      </c>
      <c r="AC5" s="15">
        <v>0.73025048543689319</v>
      </c>
      <c r="AD5" s="15">
        <v>0.49642228915662645</v>
      </c>
      <c r="AG5" s="23"/>
      <c r="AH5" s="22">
        <v>7.89</v>
      </c>
      <c r="AI5" s="22"/>
      <c r="AJ5" s="22"/>
      <c r="AK5" s="22"/>
      <c r="AL5" s="22"/>
      <c r="AM5" s="22"/>
      <c r="AN5" s="22"/>
      <c r="AO5" s="23"/>
      <c r="AP5" s="22">
        <v>5.5399999999999998E-2</v>
      </c>
      <c r="AQ5" s="22"/>
      <c r="AR5" s="22"/>
      <c r="AS5" s="22"/>
      <c r="AT5" s="22"/>
      <c r="AU5" s="22"/>
      <c r="AV5" s="22"/>
      <c r="AW5" s="23"/>
      <c r="AX5" s="22">
        <v>3.3010847258868372</v>
      </c>
      <c r="AY5" s="22"/>
      <c r="AZ5" s="22"/>
      <c r="BA5" s="22"/>
      <c r="BB5" s="22"/>
      <c r="BC5" s="22"/>
      <c r="BD5" s="22"/>
      <c r="BE5" s="23"/>
      <c r="BF5" s="6">
        <v>0.24071526822558459</v>
      </c>
      <c r="BG5" s="6"/>
      <c r="BH5" s="6"/>
      <c r="BI5" s="6"/>
      <c r="BJ5" s="6"/>
      <c r="BK5" s="6"/>
    </row>
    <row r="6" spans="1:63" x14ac:dyDescent="0.25">
      <c r="A6" s="15">
        <v>7.4508571428571431</v>
      </c>
      <c r="B6" s="15">
        <v>9.5514474474474476</v>
      </c>
      <c r="C6" s="15">
        <v>6.7754735682819387</v>
      </c>
      <c r="D6" s="15">
        <v>9.2339584415584426</v>
      </c>
      <c r="E6" s="15">
        <v>12.752513347022587</v>
      </c>
      <c r="F6" s="15">
        <v>10.930089285714287</v>
      </c>
      <c r="H6" s="15">
        <v>9.4100815138282403</v>
      </c>
      <c r="I6" s="15">
        <v>8.8647492113564663</v>
      </c>
      <c r="J6" s="15">
        <v>4.3718752052545158</v>
      </c>
      <c r="K6" s="15">
        <v>9.010686868686868</v>
      </c>
      <c r="L6" s="15">
        <v>10.00506105610561</v>
      </c>
      <c r="M6" s="15">
        <v>9.7889892008639308</v>
      </c>
      <c r="P6" s="15">
        <v>395</v>
      </c>
      <c r="Q6" s="15">
        <v>112</v>
      </c>
      <c r="R6" s="15">
        <v>138</v>
      </c>
      <c r="S6" s="15">
        <v>62</v>
      </c>
      <c r="T6" s="15">
        <v>87</v>
      </c>
      <c r="U6" s="15">
        <v>299</v>
      </c>
      <c r="V6" s="15">
        <v>202</v>
      </c>
      <c r="X6" s="15">
        <v>0.78374794520547919</v>
      </c>
      <c r="Y6" s="15">
        <v>0.43706249999999985</v>
      </c>
      <c r="Z6" s="15">
        <v>0.27815613636363629</v>
      </c>
      <c r="AA6" s="15">
        <v>0.38379504504504502</v>
      </c>
      <c r="AB6" s="15">
        <v>0.47469</v>
      </c>
      <c r="AC6" s="15">
        <v>0.69167452830188669</v>
      </c>
      <c r="AD6" s="15">
        <v>0.77600756756756761</v>
      </c>
      <c r="AG6" s="23"/>
      <c r="AH6" s="22">
        <v>7.26</v>
      </c>
      <c r="AI6" s="22"/>
      <c r="AJ6" s="22"/>
      <c r="AK6" s="22"/>
      <c r="AL6" s="22"/>
      <c r="AM6" s="22"/>
      <c r="AN6" s="22"/>
      <c r="AO6" s="23"/>
      <c r="AP6" s="22">
        <v>7.9399999999999998E-2</v>
      </c>
      <c r="AQ6" s="22"/>
      <c r="AR6" s="22"/>
      <c r="AS6" s="22"/>
      <c r="AT6" s="22"/>
      <c r="AU6" s="22"/>
      <c r="AV6" s="22"/>
      <c r="AW6" s="23"/>
      <c r="AX6" s="22">
        <v>3.3362650249193782</v>
      </c>
      <c r="AY6" s="22"/>
      <c r="AZ6" s="22"/>
      <c r="BA6" s="22"/>
      <c r="BB6" s="22"/>
      <c r="BC6" s="22"/>
      <c r="BD6" s="22"/>
      <c r="BE6" s="23"/>
      <c r="BF6" s="6">
        <v>0.36572622779519331</v>
      </c>
      <c r="BG6" s="6"/>
      <c r="BH6" s="6"/>
      <c r="BI6" s="6"/>
      <c r="BJ6" s="6"/>
      <c r="BK6" s="6"/>
    </row>
    <row r="7" spans="1:63" x14ac:dyDescent="0.25">
      <c r="A7" s="15">
        <v>6.9979017199017202</v>
      </c>
      <c r="B7" s="15">
        <v>6.0939974293059125</v>
      </c>
      <c r="C7" s="15">
        <v>8.3515283842794759</v>
      </c>
      <c r="D7" s="15">
        <v>7.2633550561797744</v>
      </c>
      <c r="E7" s="15">
        <v>9.0382851063829772</v>
      </c>
      <c r="F7" s="15">
        <v>17.008012738853502</v>
      </c>
      <c r="H7" s="15">
        <v>10.178402674591382</v>
      </c>
      <c r="I7" s="15">
        <v>5.1287194928684627</v>
      </c>
      <c r="J7" s="15">
        <v>2.5336249999999998</v>
      </c>
      <c r="K7" s="15">
        <v>7.7143898573692544</v>
      </c>
      <c r="L7" s="15">
        <v>9.8855731497418251</v>
      </c>
      <c r="M7" s="15">
        <v>10.693499021526421</v>
      </c>
      <c r="P7" s="15">
        <v>427</v>
      </c>
      <c r="Q7" s="15">
        <v>83</v>
      </c>
      <c r="R7" s="15">
        <v>67</v>
      </c>
      <c r="S7" s="15">
        <v>102</v>
      </c>
      <c r="T7" s="15">
        <v>69</v>
      </c>
      <c r="U7" s="15">
        <v>157</v>
      </c>
      <c r="V7" s="15">
        <v>500</v>
      </c>
      <c r="X7" s="15">
        <v>0.5911049723756906</v>
      </c>
      <c r="Y7" s="15">
        <v>0.43381099999999989</v>
      </c>
      <c r="Z7" s="15">
        <v>0.38763989361702123</v>
      </c>
      <c r="AA7" s="15">
        <v>0.45799590163934423</v>
      </c>
      <c r="AB7" s="15">
        <v>0.53085328947368404</v>
      </c>
      <c r="AC7" s="15">
        <v>0.55276131386861305</v>
      </c>
      <c r="AD7" s="15">
        <v>0.72365815602836858</v>
      </c>
      <c r="AG7" s="23"/>
      <c r="AH7" s="22">
        <v>7.55</v>
      </c>
      <c r="AI7" s="22"/>
      <c r="AJ7" s="22"/>
      <c r="AK7" s="22"/>
      <c r="AL7" s="22"/>
      <c r="AM7" s="22"/>
      <c r="AN7" s="22"/>
      <c r="AO7" s="23"/>
      <c r="AP7" s="22">
        <v>7.0300000000000001E-2</v>
      </c>
      <c r="AQ7" s="22"/>
      <c r="AR7" s="22"/>
      <c r="AS7" s="22"/>
      <c r="AT7" s="22"/>
      <c r="AU7" s="22"/>
      <c r="AV7" s="22"/>
      <c r="AW7" s="23"/>
      <c r="AX7" s="22">
        <v>3.412489006156552</v>
      </c>
      <c r="AY7" s="22"/>
      <c r="AZ7" s="22"/>
      <c r="BA7" s="22"/>
      <c r="BB7" s="22"/>
      <c r="BC7" s="22"/>
      <c r="BD7" s="22"/>
      <c r="BE7" s="23"/>
      <c r="BF7" s="6">
        <v>0.41551246537396119</v>
      </c>
      <c r="BG7" s="6"/>
      <c r="BH7" s="6"/>
      <c r="BI7" s="6"/>
      <c r="BJ7" s="6"/>
      <c r="BK7" s="6"/>
    </row>
    <row r="8" spans="1:63" x14ac:dyDescent="0.25">
      <c r="A8" s="15">
        <v>8.2690096339113683</v>
      </c>
      <c r="B8" s="15">
        <v>5.6259948586118247</v>
      </c>
      <c r="C8" s="15">
        <v>11.864546719681909</v>
      </c>
      <c r="D8" s="15">
        <v>9.5606502590673585</v>
      </c>
      <c r="E8" s="15">
        <v>13.360447983014863</v>
      </c>
      <c r="F8" s="15">
        <v>17.406891304347823</v>
      </c>
      <c r="H8" s="15">
        <v>8.0586107784431142</v>
      </c>
      <c r="I8" s="15">
        <v>4.3350815999999996</v>
      </c>
      <c r="J8" s="15">
        <v>3.2844440842787681</v>
      </c>
      <c r="K8" s="15">
        <v>11.397504798464492</v>
      </c>
      <c r="L8" s="15">
        <v>9.9880969899665537</v>
      </c>
      <c r="M8" s="15">
        <v>11.2562863340564</v>
      </c>
      <c r="P8" s="15">
        <v>417</v>
      </c>
      <c r="Q8" s="15">
        <v>133</v>
      </c>
      <c r="R8" s="15">
        <v>29</v>
      </c>
      <c r="S8" s="15">
        <v>189</v>
      </c>
      <c r="T8" s="15">
        <v>125</v>
      </c>
      <c r="U8" s="15">
        <v>295</v>
      </c>
      <c r="V8" s="15">
        <v>509</v>
      </c>
      <c r="X8" s="15">
        <v>0.96943333333333326</v>
      </c>
      <c r="Y8" s="15">
        <v>0.41824758620689639</v>
      </c>
      <c r="Z8" s="15">
        <v>0.4599377999999999</v>
      </c>
      <c r="AA8" s="15">
        <v>0.51609122807017549</v>
      </c>
      <c r="AB8" s="15">
        <v>0.42153752941176464</v>
      </c>
      <c r="AC8" s="15">
        <v>0.64950959999999991</v>
      </c>
      <c r="AD8" s="15">
        <v>0.93237719298245603</v>
      </c>
      <c r="AG8" s="23"/>
      <c r="AH8" s="22">
        <v>7.49</v>
      </c>
      <c r="AI8" s="22"/>
      <c r="AJ8" s="22"/>
      <c r="AK8" s="22"/>
      <c r="AL8" s="22"/>
      <c r="AM8" s="22"/>
      <c r="AN8" s="22"/>
      <c r="AO8" s="23"/>
      <c r="AP8" s="22">
        <v>8.0500000000000002E-2</v>
      </c>
      <c r="AQ8" s="22"/>
      <c r="AR8" s="22"/>
      <c r="AS8" s="22"/>
      <c r="AT8" s="22"/>
      <c r="AU8" s="22"/>
      <c r="AV8" s="22"/>
      <c r="AW8" s="23"/>
      <c r="AX8" s="22">
        <v>3.3861037818821456</v>
      </c>
      <c r="AY8" s="22"/>
      <c r="AZ8" s="22"/>
      <c r="BA8" s="22"/>
      <c r="BB8" s="22"/>
      <c r="BC8" s="22"/>
      <c r="BD8" s="22"/>
      <c r="BE8" s="23"/>
      <c r="BF8" s="6">
        <v>0.31323414252153486</v>
      </c>
      <c r="BG8" s="6"/>
      <c r="BH8" s="6"/>
      <c r="BI8" s="6"/>
      <c r="BJ8" s="6"/>
      <c r="BK8" s="6"/>
    </row>
    <row r="9" spans="1:63" x14ac:dyDescent="0.25">
      <c r="A9" s="15">
        <v>9.449780788177339</v>
      </c>
      <c r="B9" s="15">
        <v>12.766869897959184</v>
      </c>
      <c r="C9" s="15">
        <v>8.3401599999999991</v>
      </c>
      <c r="D9" s="15">
        <v>10.218285097192224</v>
      </c>
      <c r="E9" s="15">
        <v>12.099708086785009</v>
      </c>
      <c r="F9" s="15">
        <v>18.704485239852399</v>
      </c>
      <c r="H9" s="15">
        <v>10.428774390243902</v>
      </c>
      <c r="I9" s="15">
        <v>6.8829683655536034</v>
      </c>
      <c r="J9" s="15">
        <v>2.9518096118299444</v>
      </c>
      <c r="K9" s="15">
        <v>8.8729481037924138</v>
      </c>
      <c r="L9" s="15">
        <v>11.585746774193547</v>
      </c>
      <c r="M9" s="15">
        <v>9.793676056338029</v>
      </c>
      <c r="P9" s="15">
        <v>360</v>
      </c>
      <c r="Q9" s="15">
        <v>152</v>
      </c>
      <c r="R9" s="15">
        <v>163</v>
      </c>
      <c r="S9" s="15">
        <v>105</v>
      </c>
      <c r="T9" s="15">
        <v>175</v>
      </c>
      <c r="U9" s="15">
        <v>296</v>
      </c>
      <c r="V9" s="15">
        <v>553</v>
      </c>
      <c r="X9" s="15">
        <v>0.41055654450261775</v>
      </c>
      <c r="Y9" s="15">
        <v>0.78315766666666653</v>
      </c>
      <c r="Z9" s="15">
        <v>0.30375592592592587</v>
      </c>
      <c r="AA9" s="15">
        <v>0.50287124999999999</v>
      </c>
      <c r="AB9" s="15">
        <v>0.49653527777777773</v>
      </c>
      <c r="AC9" s="15">
        <v>1.1729708661417322</v>
      </c>
      <c r="AD9" s="15">
        <v>0.57824540816326531</v>
      </c>
      <c r="AG9" s="23"/>
      <c r="AH9" s="22">
        <v>7.78</v>
      </c>
      <c r="AI9" s="22"/>
      <c r="AJ9" s="22"/>
      <c r="AK9" s="22"/>
      <c r="AL9" s="22"/>
      <c r="AM9" s="22"/>
      <c r="AN9" s="22"/>
      <c r="AO9" s="23"/>
      <c r="AP9" s="22">
        <v>7.9500000000000001E-2</v>
      </c>
      <c r="AQ9" s="22"/>
      <c r="AR9" s="22"/>
      <c r="AS9" s="22"/>
      <c r="AT9" s="22"/>
      <c r="AU9" s="22"/>
      <c r="AV9" s="22"/>
      <c r="AW9" s="23"/>
      <c r="AX9" s="22">
        <v>3.0284374083846375</v>
      </c>
      <c r="AY9" s="22"/>
      <c r="AZ9" s="22"/>
      <c r="BA9" s="22"/>
      <c r="BB9" s="22"/>
      <c r="BC9" s="22"/>
      <c r="BD9" s="22"/>
      <c r="BE9" s="23"/>
      <c r="BF9" s="6">
        <v>0.16518004625041294</v>
      </c>
      <c r="BG9" s="6"/>
      <c r="BH9" s="6"/>
      <c r="BI9" s="6"/>
      <c r="BJ9" s="6"/>
      <c r="BK9" s="6"/>
    </row>
    <row r="10" spans="1:63" x14ac:dyDescent="0.25">
      <c r="A10" s="15">
        <v>7.4529945504087189</v>
      </c>
      <c r="B10" s="15">
        <v>10.394810810810812</v>
      </c>
      <c r="C10" s="15">
        <v>13.169777777777778</v>
      </c>
      <c r="D10" s="15">
        <v>11.015961625282166</v>
      </c>
      <c r="E10" s="15">
        <v>14.350936363636363</v>
      </c>
      <c r="F10" s="15">
        <v>16.566589160839161</v>
      </c>
      <c r="H10" s="15">
        <v>10.167539964476022</v>
      </c>
      <c r="I10" s="15">
        <v>7.8700696517412938</v>
      </c>
      <c r="J10" s="15">
        <v>4.0943928571428572</v>
      </c>
      <c r="K10" s="15">
        <v>8.5565161290322589</v>
      </c>
      <c r="L10" s="15">
        <v>13.000685714285716</v>
      </c>
      <c r="M10" s="15">
        <v>14.845189898989899</v>
      </c>
      <c r="P10" s="15">
        <v>417</v>
      </c>
      <c r="Q10" s="15">
        <v>113</v>
      </c>
      <c r="R10" s="15">
        <v>132</v>
      </c>
      <c r="S10" s="15">
        <v>279</v>
      </c>
      <c r="T10" s="15">
        <v>181</v>
      </c>
      <c r="U10" s="15">
        <v>352</v>
      </c>
      <c r="V10" s="15">
        <v>461</v>
      </c>
      <c r="X10" s="15">
        <v>0.6032198156682026</v>
      </c>
      <c r="Y10" s="15">
        <v>0.49575509803921558</v>
      </c>
      <c r="Z10" s="15">
        <v>0.35452131147540977</v>
      </c>
      <c r="AA10" s="15">
        <v>0.43891842105263157</v>
      </c>
      <c r="AB10" s="15">
        <v>0.62116736111111104</v>
      </c>
      <c r="AC10" s="15">
        <v>0.62450707964601759</v>
      </c>
      <c r="AD10" s="15">
        <v>0.4791407407407407</v>
      </c>
      <c r="AG10" s="23"/>
      <c r="AH10" s="22">
        <v>7.65</v>
      </c>
      <c r="AI10" s="22"/>
      <c r="AJ10" s="22"/>
      <c r="AK10" s="22"/>
      <c r="AL10" s="22"/>
      <c r="AM10" s="22"/>
      <c r="AN10" s="22"/>
      <c r="AO10" s="23"/>
      <c r="AP10" s="22">
        <v>7.2700000000000001E-2</v>
      </c>
      <c r="AQ10" s="22"/>
      <c r="AR10" s="22"/>
      <c r="AS10" s="22"/>
      <c r="AT10" s="22"/>
      <c r="AU10" s="22"/>
      <c r="AV10" s="22"/>
      <c r="AW10" s="23"/>
      <c r="AX10" s="22">
        <v>3.6147757255936677</v>
      </c>
      <c r="AY10" s="22"/>
      <c r="AZ10" s="22"/>
      <c r="BA10" s="22"/>
      <c r="BB10" s="22"/>
      <c r="BC10" s="22"/>
      <c r="BD10" s="22"/>
      <c r="BE10" s="23"/>
      <c r="BF10" s="6">
        <v>0.31233732431025507</v>
      </c>
      <c r="BG10" s="6"/>
      <c r="BH10" s="6"/>
      <c r="BI10" s="6"/>
      <c r="BJ10" s="6"/>
      <c r="BK10" s="6"/>
    </row>
    <row r="11" spans="1:63" x14ac:dyDescent="0.25">
      <c r="A11" s="15">
        <v>4.6581122112211215</v>
      </c>
      <c r="B11" s="15">
        <v>13.098360655737705</v>
      </c>
      <c r="C11" s="15">
        <v>13.445026785714285</v>
      </c>
      <c r="D11" s="15">
        <v>6.8499032258064512</v>
      </c>
      <c r="E11" s="15">
        <v>16.170923076923078</v>
      </c>
      <c r="F11" s="15">
        <v>10.981094674556212</v>
      </c>
      <c r="H11" s="15">
        <v>7.4117642526964556</v>
      </c>
      <c r="I11" s="15">
        <v>9.77259923664122</v>
      </c>
      <c r="J11" s="15">
        <v>3.9297500000000003</v>
      </c>
      <c r="K11" s="15">
        <v>9.3993197674418614</v>
      </c>
      <c r="L11" s="15">
        <v>11.601192307692308</v>
      </c>
      <c r="M11" s="15">
        <v>11.255721518987343</v>
      </c>
      <c r="P11" s="15">
        <v>329</v>
      </c>
      <c r="Q11" s="15">
        <v>43</v>
      </c>
      <c r="R11" s="15">
        <v>179</v>
      </c>
      <c r="S11" s="15">
        <v>193</v>
      </c>
      <c r="T11" s="15">
        <v>79</v>
      </c>
      <c r="U11" s="15">
        <v>468</v>
      </c>
      <c r="V11" s="15">
        <v>179</v>
      </c>
      <c r="X11" s="15">
        <v>0.6901778947368421</v>
      </c>
      <c r="Y11" s="15">
        <v>0.38618945312499997</v>
      </c>
      <c r="Z11" s="15">
        <v>0.28047249999999996</v>
      </c>
      <c r="AA11" s="15">
        <v>0.42288833333333331</v>
      </c>
      <c r="AB11" s="15">
        <v>0.51193574712643664</v>
      </c>
      <c r="AC11" s="15">
        <v>0.70178910256410254</v>
      </c>
      <c r="AD11" s="15">
        <v>0.95397523809523799</v>
      </c>
      <c r="AG11" s="23"/>
      <c r="AH11" s="22">
        <v>7.86</v>
      </c>
      <c r="AI11" s="22"/>
      <c r="AJ11" s="22"/>
      <c r="AK11" s="22"/>
      <c r="AL11" s="22"/>
      <c r="AM11" s="22"/>
      <c r="AN11" s="22"/>
      <c r="AO11" s="23"/>
      <c r="AP11" s="22">
        <v>7.7299999999999994E-2</v>
      </c>
      <c r="AQ11" s="22"/>
      <c r="AR11" s="22"/>
      <c r="AS11" s="22"/>
      <c r="AT11" s="22"/>
      <c r="AU11" s="22"/>
      <c r="AV11" s="22"/>
      <c r="AW11" s="23"/>
      <c r="AX11" s="22">
        <v>3.3773087071240102</v>
      </c>
      <c r="AY11" s="22"/>
      <c r="AZ11" s="22"/>
      <c r="BA11" s="22"/>
      <c r="BB11" s="22"/>
      <c r="BC11" s="22"/>
      <c r="BD11" s="22"/>
      <c r="BE11" s="23"/>
      <c r="BF11" s="6">
        <v>0.26229508196721313</v>
      </c>
      <c r="BG11" s="6"/>
      <c r="BH11" s="6"/>
      <c r="BI11" s="6"/>
      <c r="BJ11" s="6"/>
      <c r="BK11" s="6"/>
    </row>
    <row r="12" spans="1:63" x14ac:dyDescent="0.25">
      <c r="A12" s="15">
        <v>8.4895868945868944</v>
      </c>
      <c r="B12" s="15">
        <v>7.7959292035398233</v>
      </c>
      <c r="C12" s="15">
        <v>11.836926365795723</v>
      </c>
      <c r="D12" s="15">
        <v>5.2256521739130442</v>
      </c>
      <c r="E12" s="15">
        <v>12.495661885245902</v>
      </c>
      <c r="F12" s="15">
        <v>15.747496240601503</v>
      </c>
      <c r="H12" s="15">
        <v>10.091570512820512</v>
      </c>
      <c r="I12" s="15">
        <v>7.0349815745393638</v>
      </c>
      <c r="J12" s="15">
        <v>4.0686366843033506</v>
      </c>
      <c r="K12" s="15">
        <v>8.9701616161616151</v>
      </c>
      <c r="L12" s="15">
        <v>9.8200776942355894</v>
      </c>
      <c r="M12" s="15">
        <v>11.333706586826349</v>
      </c>
      <c r="P12" s="15">
        <v>328</v>
      </c>
      <c r="Q12" s="15">
        <v>149</v>
      </c>
      <c r="R12" s="15">
        <v>106</v>
      </c>
      <c r="S12" s="15">
        <v>158</v>
      </c>
      <c r="T12" s="15">
        <v>49</v>
      </c>
      <c r="U12" s="15">
        <v>279</v>
      </c>
      <c r="V12" s="15">
        <v>379</v>
      </c>
      <c r="X12" s="15">
        <v>0.66911543859649114</v>
      </c>
      <c r="Y12" s="15">
        <v>0.46353282051282041</v>
      </c>
      <c r="Z12" s="15">
        <v>0.32310299999999997</v>
      </c>
      <c r="AA12" s="15">
        <v>0.50130444444444444</v>
      </c>
      <c r="AB12" s="15">
        <v>0.52233073529411755</v>
      </c>
      <c r="AC12" s="15">
        <v>0.61556559999999994</v>
      </c>
      <c r="AD12" s="15">
        <v>1.4481561797752807</v>
      </c>
      <c r="AG12" s="23"/>
      <c r="AH12" s="22">
        <v>7.54</v>
      </c>
      <c r="AI12" s="22"/>
      <c r="AJ12" s="22"/>
      <c r="AK12" s="22"/>
      <c r="AL12" s="22"/>
      <c r="AM12" s="22"/>
      <c r="AN12" s="22"/>
      <c r="AO12" s="23"/>
      <c r="AP12" s="22">
        <v>7.22E-2</v>
      </c>
      <c r="AQ12" s="22"/>
      <c r="AR12" s="22"/>
      <c r="AS12" s="22"/>
      <c r="AT12" s="22"/>
      <c r="AU12" s="22"/>
      <c r="AV12" s="22"/>
      <c r="AW12" s="23"/>
      <c r="AX12" s="22">
        <v>3.8082673702726466</v>
      </c>
      <c r="AY12" s="22"/>
      <c r="AZ12" s="22"/>
      <c r="BA12" s="22"/>
      <c r="BB12" s="22"/>
      <c r="BC12" s="22"/>
      <c r="BD12" s="22"/>
      <c r="BE12" s="23"/>
      <c r="BF12" s="6">
        <v>0.17356089094590685</v>
      </c>
      <c r="BG12" s="6"/>
      <c r="BH12" s="6"/>
      <c r="BI12" s="6"/>
      <c r="BJ12" s="6"/>
      <c r="BK12" s="6"/>
    </row>
    <row r="13" spans="1:63" x14ac:dyDescent="0.25">
      <c r="A13" s="15">
        <v>7.8396397515527951</v>
      </c>
      <c r="B13" s="15">
        <v>5.8628988764044943</v>
      </c>
      <c r="C13" s="15">
        <v>13.640725274725275</v>
      </c>
      <c r="D13" s="15">
        <v>12.143805803571427</v>
      </c>
      <c r="E13" s="15">
        <v>10.649265848670757</v>
      </c>
      <c r="F13" s="15">
        <v>10.147420948616601</v>
      </c>
      <c r="H13" s="15">
        <v>8.5351570680628264</v>
      </c>
      <c r="I13" s="15">
        <v>7.7915348837209306</v>
      </c>
      <c r="J13" s="15">
        <v>5.4897762128325507</v>
      </c>
      <c r="L13" s="15">
        <v>10.360863436123349</v>
      </c>
      <c r="M13" s="15">
        <v>10.220555133079847</v>
      </c>
      <c r="P13" s="15">
        <v>513</v>
      </c>
      <c r="Q13" s="15">
        <v>107</v>
      </c>
      <c r="R13" s="15">
        <v>48</v>
      </c>
      <c r="S13" s="15">
        <v>269</v>
      </c>
      <c r="T13" s="15">
        <v>274</v>
      </c>
      <c r="U13" s="15">
        <v>206</v>
      </c>
      <c r="V13" s="15">
        <v>199</v>
      </c>
      <c r="X13" s="15">
        <v>0.82037981651376135</v>
      </c>
      <c r="Y13" s="15">
        <v>0.61772339999999992</v>
      </c>
      <c r="Z13" s="15">
        <v>0.64678499999999983</v>
      </c>
      <c r="AA13" s="15">
        <v>0.43087910447761196</v>
      </c>
      <c r="AB13" s="15">
        <v>0.38078025641025631</v>
      </c>
      <c r="AC13" s="15">
        <v>0.69147586206896539</v>
      </c>
      <c r="AD13" s="15">
        <v>0.79506705202312133</v>
      </c>
      <c r="AG13" s="23"/>
      <c r="AH13" s="22">
        <v>7.33</v>
      </c>
      <c r="AI13" s="22"/>
      <c r="AJ13" s="22"/>
      <c r="AK13" s="22"/>
      <c r="AL13" s="22"/>
      <c r="AM13" s="22"/>
      <c r="AN13" s="22"/>
      <c r="AO13" s="23"/>
      <c r="AP13" s="22">
        <v>7.4899999999999994E-2</v>
      </c>
      <c r="AQ13" s="22"/>
      <c r="AR13" s="22"/>
      <c r="AS13" s="22"/>
      <c r="AT13" s="22"/>
      <c r="AU13" s="22"/>
      <c r="AV13" s="22"/>
      <c r="AW13" s="23"/>
      <c r="AX13" s="22">
        <v>3.3069481090589266</v>
      </c>
      <c r="AY13" s="22"/>
      <c r="AZ13" s="22"/>
      <c r="BA13" s="22"/>
      <c r="BB13" s="22"/>
      <c r="BC13" s="22"/>
      <c r="BD13" s="22"/>
      <c r="BE13" s="23"/>
      <c r="BF13" s="6">
        <v>0.35121328224776499</v>
      </c>
      <c r="BG13" s="6"/>
      <c r="BH13" s="6"/>
      <c r="BI13" s="6"/>
      <c r="BJ13" s="6"/>
      <c r="BK13" s="6"/>
    </row>
    <row r="14" spans="1:63" x14ac:dyDescent="0.25">
      <c r="A14" s="15">
        <v>6.6061725067385444</v>
      </c>
      <c r="B14" s="15">
        <v>8.9345467980295563</v>
      </c>
      <c r="C14" s="15">
        <v>10.186185336048881</v>
      </c>
      <c r="D14" s="15">
        <v>8.8081935483870968</v>
      </c>
      <c r="E14" s="15">
        <v>12.667833333333334</v>
      </c>
      <c r="F14" s="15">
        <v>10.808344467640918</v>
      </c>
      <c r="H14" s="15">
        <v>9.3156914700544462</v>
      </c>
      <c r="J14" s="15">
        <v>6.3240937500000003</v>
      </c>
      <c r="L14" s="15">
        <v>13.643415384615382</v>
      </c>
      <c r="M14" s="15">
        <v>9.4961825938566555</v>
      </c>
      <c r="P14" s="15">
        <v>390</v>
      </c>
      <c r="Q14" s="15">
        <v>62</v>
      </c>
      <c r="R14" s="15">
        <v>118</v>
      </c>
      <c r="S14" s="15">
        <v>110</v>
      </c>
      <c r="T14" s="15">
        <v>101</v>
      </c>
      <c r="U14" s="15">
        <v>260</v>
      </c>
      <c r="V14" s="15">
        <v>225</v>
      </c>
      <c r="X14" s="15">
        <v>0.58397168141592914</v>
      </c>
      <c r="Y14" s="15">
        <v>0.30110581395348834</v>
      </c>
      <c r="Z14" s="15">
        <v>0.42239086206896542</v>
      </c>
      <c r="AA14" s="15">
        <v>0.65602499999999997</v>
      </c>
      <c r="AB14" s="15">
        <v>0.47731860465116283</v>
      </c>
      <c r="AC14" s="15">
        <v>0.54934296296296292</v>
      </c>
      <c r="AD14" s="15">
        <v>0.81774454545454534</v>
      </c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6"/>
      <c r="BG14" s="6"/>
      <c r="BH14" s="6"/>
      <c r="BI14" s="6"/>
      <c r="BJ14" s="6"/>
      <c r="BK14" s="6"/>
    </row>
    <row r="15" spans="1:63" x14ac:dyDescent="0.25">
      <c r="A15" s="15">
        <v>7.8849824999999996</v>
      </c>
      <c r="B15" s="15">
        <v>7.7583597122302157</v>
      </c>
      <c r="C15" s="15">
        <v>11.994860000000001</v>
      </c>
      <c r="D15" s="15">
        <v>8.864180661577608</v>
      </c>
      <c r="E15" s="15">
        <v>13.178182648401826</v>
      </c>
      <c r="F15" s="15">
        <v>14.226943844492443</v>
      </c>
      <c r="H15" s="15">
        <v>12.236258577405858</v>
      </c>
      <c r="J15" s="15">
        <v>3.7536285714285715</v>
      </c>
      <c r="L15" s="15">
        <v>13.833439024390245</v>
      </c>
      <c r="M15" s="15">
        <v>10.906226130653266</v>
      </c>
      <c r="P15" s="15">
        <v>327</v>
      </c>
      <c r="Q15" s="15">
        <v>107</v>
      </c>
      <c r="R15" s="15">
        <v>107</v>
      </c>
      <c r="S15" s="15">
        <v>137</v>
      </c>
      <c r="T15" s="15">
        <v>125</v>
      </c>
      <c r="U15" s="15">
        <v>299</v>
      </c>
      <c r="V15" s="15">
        <v>337</v>
      </c>
      <c r="X15" s="15">
        <v>0.63731974522292989</v>
      </c>
      <c r="Y15" s="15">
        <v>0.4694055882352941</v>
      </c>
      <c r="AA15" s="15">
        <v>0.2794588235294117</v>
      </c>
      <c r="AB15" s="15">
        <v>0.42046140845070412</v>
      </c>
      <c r="AC15" s="15">
        <v>0.62680000000000002</v>
      </c>
      <c r="AD15" s="15">
        <v>0.81588681318681311</v>
      </c>
      <c r="AG15" s="23">
        <v>-12</v>
      </c>
      <c r="AH15" s="22">
        <v>6.23</v>
      </c>
      <c r="AI15" s="22">
        <v>7.62</v>
      </c>
      <c r="AJ15" s="22"/>
      <c r="AK15" s="22"/>
      <c r="AL15" s="22"/>
      <c r="AM15" s="22"/>
      <c r="AN15" s="22"/>
      <c r="AO15" s="23">
        <v>-12</v>
      </c>
      <c r="AP15" s="22">
        <v>0.1229</v>
      </c>
      <c r="AQ15" s="22">
        <v>8.3999999999999991E-2</v>
      </c>
      <c r="AR15" s="22"/>
      <c r="AS15" s="22"/>
      <c r="AT15" s="22"/>
      <c r="AU15" s="22"/>
      <c r="AV15" s="22"/>
      <c r="AW15" s="23">
        <v>-12</v>
      </c>
      <c r="AX15" s="22">
        <v>3.4431395015754802</v>
      </c>
      <c r="AY15" s="22">
        <v>3.5356200527704478</v>
      </c>
      <c r="AZ15" s="22"/>
      <c r="BA15" s="22"/>
      <c r="BB15" s="22"/>
      <c r="BC15" s="22"/>
      <c r="BD15" s="22"/>
      <c r="BE15" s="23">
        <v>-12</v>
      </c>
      <c r="BF15" s="6"/>
      <c r="BG15" s="6">
        <v>0.24638127502309826</v>
      </c>
      <c r="BH15" s="6"/>
      <c r="BI15" s="6"/>
      <c r="BJ15" s="6"/>
      <c r="BK15" s="6"/>
    </row>
    <row r="16" spans="1:63" x14ac:dyDescent="0.25">
      <c r="A16" s="15">
        <v>8.1848498583569409</v>
      </c>
      <c r="B16" s="15">
        <v>10.816372596153846</v>
      </c>
      <c r="C16" s="15">
        <v>14.96663038548753</v>
      </c>
      <c r="D16" s="15">
        <v>10.157775675675676</v>
      </c>
      <c r="E16" s="15">
        <v>9.4004304857621435</v>
      </c>
      <c r="F16" s="15">
        <v>14.396676258992805</v>
      </c>
      <c r="H16" s="15">
        <v>7.3095412293853075</v>
      </c>
      <c r="L16" s="15">
        <v>11.450895522388057</v>
      </c>
      <c r="M16" s="15">
        <v>11.091289982425309</v>
      </c>
      <c r="Q16" s="15">
        <v>66</v>
      </c>
      <c r="R16" s="15">
        <v>139</v>
      </c>
      <c r="S16" s="15">
        <v>256</v>
      </c>
      <c r="T16" s="15">
        <v>155</v>
      </c>
      <c r="U16" s="15">
        <v>140</v>
      </c>
      <c r="V16" s="15">
        <v>310</v>
      </c>
      <c r="AG16" s="23"/>
      <c r="AH16" s="22">
        <v>6.19</v>
      </c>
      <c r="AI16" s="22">
        <v>7.68</v>
      </c>
      <c r="AJ16" s="22"/>
      <c r="AK16" s="22"/>
      <c r="AL16" s="22"/>
      <c r="AM16" s="22"/>
      <c r="AN16" s="22"/>
      <c r="AO16" s="23"/>
      <c r="AP16" s="22">
        <v>0.1133</v>
      </c>
      <c r="AQ16" s="22">
        <v>7.6600000000000001E-2</v>
      </c>
      <c r="AR16" s="22"/>
      <c r="AS16" s="22"/>
      <c r="AT16" s="22"/>
      <c r="AU16" s="22"/>
      <c r="AV16" s="22"/>
      <c r="AW16" s="23"/>
      <c r="AX16" s="22">
        <v>2.8988828415926666</v>
      </c>
      <c r="AY16" s="22">
        <v>3.6411609498680737</v>
      </c>
      <c r="AZ16" s="22"/>
      <c r="BA16" s="22"/>
      <c r="BB16" s="22"/>
      <c r="BC16" s="22"/>
      <c r="BD16" s="22"/>
      <c r="BE16" s="23"/>
      <c r="BF16" s="6"/>
      <c r="BG16" s="6">
        <v>0.44042084658673841</v>
      </c>
      <c r="BH16" s="6"/>
      <c r="BI16" s="6"/>
      <c r="BJ16" s="6"/>
      <c r="BK16" s="6"/>
    </row>
    <row r="17" spans="1:63" x14ac:dyDescent="0.25">
      <c r="A17" s="15">
        <v>7.38114640883978</v>
      </c>
      <c r="B17" s="15">
        <v>10.79244327176781</v>
      </c>
      <c r="C17" s="15">
        <v>11.62254280155642</v>
      </c>
      <c r="D17" s="15">
        <v>9.1504485981308417</v>
      </c>
      <c r="E17" s="15">
        <v>13.64426017699115</v>
      </c>
      <c r="F17" s="15">
        <v>13.314714964370546</v>
      </c>
      <c r="H17" s="15">
        <v>6.4134788461538461</v>
      </c>
      <c r="L17" s="15">
        <v>11.173610849056603</v>
      </c>
      <c r="M17" s="15">
        <v>8.6779117647058825</v>
      </c>
      <c r="Q17" s="15">
        <v>73</v>
      </c>
      <c r="R17" s="15">
        <v>148</v>
      </c>
      <c r="S17" s="15">
        <v>257</v>
      </c>
      <c r="T17" s="15">
        <v>147</v>
      </c>
      <c r="U17" s="15">
        <v>299</v>
      </c>
      <c r="V17" s="15">
        <v>274</v>
      </c>
      <c r="AG17" s="23"/>
      <c r="AH17" s="22">
        <v>6.07</v>
      </c>
      <c r="AI17" s="22">
        <v>7.42</v>
      </c>
      <c r="AJ17" s="22"/>
      <c r="AK17" s="22"/>
      <c r="AL17" s="22"/>
      <c r="AM17" s="22"/>
      <c r="AN17" s="22"/>
      <c r="AO17" s="23"/>
      <c r="AP17" s="22">
        <v>0.1096</v>
      </c>
      <c r="AQ17" s="22">
        <v>8.3100000000000007E-2</v>
      </c>
      <c r="AR17" s="22"/>
      <c r="AS17" s="22"/>
      <c r="AT17" s="22"/>
      <c r="AU17" s="22"/>
      <c r="AV17" s="22"/>
      <c r="AW17" s="23"/>
      <c r="AX17" s="22">
        <v>2.3918647951876255</v>
      </c>
      <c r="AY17" s="22">
        <v>3.1574318381706239</v>
      </c>
      <c r="AZ17" s="22"/>
      <c r="BA17" s="22"/>
      <c r="BB17" s="22"/>
      <c r="BC17" s="22"/>
      <c r="BD17" s="22"/>
      <c r="BE17" s="23"/>
      <c r="BF17" s="6"/>
      <c r="BG17" s="6">
        <v>0.14929829799940281</v>
      </c>
      <c r="BH17" s="6"/>
      <c r="BI17" s="6"/>
      <c r="BJ17" s="6"/>
      <c r="BK17" s="6"/>
    </row>
    <row r="18" spans="1:63" x14ac:dyDescent="0.25">
      <c r="A18" s="15">
        <v>7.1010056497175134</v>
      </c>
      <c r="B18" s="15">
        <v>11.324403141361257</v>
      </c>
      <c r="C18" s="15">
        <v>10.756437853107345</v>
      </c>
      <c r="D18" s="15">
        <v>10.267323607427057</v>
      </c>
      <c r="E18" s="15">
        <v>11.47409706959707</v>
      </c>
      <c r="F18" s="15">
        <v>16.90690301724138</v>
      </c>
      <c r="H18" s="15">
        <v>11.021371165644172</v>
      </c>
      <c r="L18" s="15">
        <v>11.045197309417041</v>
      </c>
      <c r="Q18" s="15">
        <v>50</v>
      </c>
      <c r="R18" s="15">
        <v>175</v>
      </c>
      <c r="S18" s="15">
        <v>151</v>
      </c>
      <c r="T18" s="15">
        <v>173</v>
      </c>
      <c r="U18" s="15">
        <v>191</v>
      </c>
      <c r="V18" s="15">
        <v>521</v>
      </c>
      <c r="AG18" s="23"/>
      <c r="AH18" s="22">
        <v>5.95</v>
      </c>
      <c r="AI18" s="22">
        <v>7.33</v>
      </c>
      <c r="AJ18" s="22"/>
      <c r="AK18" s="22"/>
      <c r="AL18" s="22"/>
      <c r="AM18" s="22"/>
      <c r="AN18" s="22"/>
      <c r="AO18" s="23"/>
      <c r="AP18" s="22">
        <v>0.1067</v>
      </c>
      <c r="AQ18" s="22">
        <v>7.4399999999999994E-2</v>
      </c>
      <c r="AR18" s="22"/>
      <c r="AS18" s="22"/>
      <c r="AT18" s="22"/>
      <c r="AU18" s="22"/>
      <c r="AV18" s="22"/>
      <c r="AW18" s="23"/>
      <c r="AX18" s="22">
        <v>2.7184187911773128</v>
      </c>
      <c r="AY18" s="22">
        <v>3.1955438287892108</v>
      </c>
      <c r="AZ18" s="22"/>
      <c r="BA18" s="22"/>
      <c r="BB18" s="22"/>
      <c r="BC18" s="22"/>
      <c r="BD18" s="22"/>
      <c r="BE18" s="23"/>
      <c r="BF18" s="6"/>
      <c r="BG18" s="6">
        <v>0.46620046620046618</v>
      </c>
      <c r="BH18" s="6"/>
      <c r="BI18" s="6"/>
      <c r="BJ18" s="6"/>
      <c r="BK18" s="6"/>
    </row>
    <row r="19" spans="1:63" x14ac:dyDescent="0.25">
      <c r="A19" s="15">
        <v>6.8984657894736836</v>
      </c>
      <c r="B19" s="15">
        <v>8.6558050000000009</v>
      </c>
      <c r="C19" s="15">
        <v>8.9364694323144107</v>
      </c>
      <c r="D19" s="15">
        <v>8.1786113744075823</v>
      </c>
      <c r="E19" s="15">
        <v>12.23748275862069</v>
      </c>
      <c r="F19" s="15">
        <v>17.189845041322315</v>
      </c>
      <c r="L19" s="15">
        <v>9.8263971962616825</v>
      </c>
      <c r="Q19" s="15">
        <v>52</v>
      </c>
      <c r="R19" s="15">
        <v>89</v>
      </c>
      <c r="S19" s="15">
        <v>96</v>
      </c>
      <c r="T19" s="15">
        <v>123</v>
      </c>
      <c r="U19" s="15">
        <v>258</v>
      </c>
      <c r="V19" s="15">
        <v>511</v>
      </c>
      <c r="AG19" s="23"/>
      <c r="AH19" s="22">
        <v>6.02</v>
      </c>
      <c r="AI19" s="22">
        <v>7.45</v>
      </c>
      <c r="AJ19" s="22"/>
      <c r="AK19" s="22"/>
      <c r="AL19" s="22"/>
      <c r="AM19" s="22"/>
      <c r="AN19" s="22"/>
      <c r="AO19" s="23"/>
      <c r="AP19" s="22">
        <v>0.1094</v>
      </c>
      <c r="AQ19" s="22">
        <v>7.2800000000000004E-2</v>
      </c>
      <c r="AR19" s="22"/>
      <c r="AS19" s="22"/>
      <c r="AT19" s="22"/>
      <c r="AU19" s="22"/>
      <c r="AV19" s="22"/>
      <c r="AW19" s="23"/>
      <c r="AX19" s="22">
        <v>2.4806645660269262</v>
      </c>
      <c r="AY19" s="22">
        <v>3.4593960715332743</v>
      </c>
      <c r="AZ19" s="22"/>
      <c r="BA19" s="22"/>
      <c r="BB19" s="22"/>
      <c r="BC19" s="22"/>
      <c r="BD19" s="22"/>
      <c r="BE19" s="23"/>
      <c r="BF19" s="6"/>
      <c r="BG19" s="6">
        <v>0.42879019908116384</v>
      </c>
      <c r="BH19" s="6"/>
      <c r="BI19" s="6"/>
      <c r="BJ19" s="6"/>
      <c r="BK19" s="6"/>
    </row>
    <row r="20" spans="1:63" x14ac:dyDescent="0.25">
      <c r="A20" s="15">
        <v>5.874700564971751</v>
      </c>
      <c r="B20" s="15">
        <v>7.6284611650485434</v>
      </c>
      <c r="C20" s="15">
        <v>9.9370090744101649</v>
      </c>
      <c r="D20" s="15">
        <v>11.849618932038835</v>
      </c>
      <c r="E20" s="15">
        <v>10.851951582867784</v>
      </c>
      <c r="F20" s="15">
        <v>10.131428251121077</v>
      </c>
      <c r="Q20" s="15">
        <v>42</v>
      </c>
      <c r="R20" s="15">
        <v>83</v>
      </c>
      <c r="S20" s="15">
        <v>80</v>
      </c>
      <c r="T20" s="15">
        <v>182</v>
      </c>
      <c r="U20" s="15">
        <v>183</v>
      </c>
      <c r="V20" s="15">
        <v>157</v>
      </c>
      <c r="AG20" s="23"/>
      <c r="AH20" s="22">
        <v>5.88</v>
      </c>
      <c r="AI20" s="22">
        <v>7.5</v>
      </c>
      <c r="AJ20" s="22"/>
      <c r="AK20" s="22"/>
      <c r="AL20" s="22"/>
      <c r="AM20" s="22"/>
      <c r="AN20" s="22"/>
      <c r="AO20" s="23"/>
      <c r="AP20" s="22">
        <v>0.1188</v>
      </c>
      <c r="AQ20" s="22">
        <v>8.1699999999999995E-2</v>
      </c>
      <c r="AR20" s="22"/>
      <c r="AS20" s="22"/>
      <c r="AT20" s="22"/>
      <c r="AU20" s="22"/>
      <c r="AV20" s="22"/>
      <c r="AW20" s="23"/>
      <c r="AX20" s="22">
        <v>3.3256946433686618</v>
      </c>
      <c r="AY20" s="22">
        <v>3.4418059220170036</v>
      </c>
      <c r="AZ20" s="22"/>
      <c r="BA20" s="22"/>
      <c r="BB20" s="22"/>
      <c r="BC20" s="22"/>
      <c r="BD20" s="22"/>
      <c r="BE20" s="23"/>
      <c r="BF20" s="6"/>
      <c r="BG20" s="6">
        <v>0.11037527593818984</v>
      </c>
      <c r="BH20" s="6"/>
      <c r="BI20" s="6"/>
      <c r="BJ20" s="6"/>
      <c r="BK20" s="6"/>
    </row>
    <row r="21" spans="1:63" x14ac:dyDescent="0.25">
      <c r="A21" s="15">
        <v>5.9855111111111112</v>
      </c>
      <c r="B21" s="15">
        <v>11.05788950276243</v>
      </c>
      <c r="C21" s="15">
        <v>8.5695662921348319</v>
      </c>
      <c r="D21" s="15">
        <v>10.025192307692306</v>
      </c>
      <c r="E21" s="15">
        <v>14.182193029490616</v>
      </c>
      <c r="F21" s="15">
        <v>13.680197938144332</v>
      </c>
      <c r="Q21" s="15">
        <v>61</v>
      </c>
      <c r="R21" s="15">
        <v>191</v>
      </c>
      <c r="S21" s="15">
        <v>77</v>
      </c>
      <c r="T21" s="15">
        <v>153</v>
      </c>
      <c r="U21" s="15">
        <v>326</v>
      </c>
      <c r="V21" s="15">
        <v>245</v>
      </c>
      <c r="AG21" s="23"/>
      <c r="AH21" s="22">
        <v>5.63</v>
      </c>
      <c r="AI21" s="22">
        <v>7.44</v>
      </c>
      <c r="AJ21" s="22"/>
      <c r="AK21" s="22"/>
      <c r="AL21" s="22"/>
      <c r="AM21" s="22"/>
      <c r="AN21" s="22"/>
      <c r="AO21" s="23"/>
      <c r="AP21" s="22">
        <v>0.105</v>
      </c>
      <c r="AQ21" s="22">
        <v>8.4699999999999998E-2</v>
      </c>
      <c r="AR21" s="22"/>
      <c r="AS21" s="22"/>
      <c r="AT21" s="22"/>
      <c r="AU21" s="22"/>
      <c r="AV21" s="22"/>
      <c r="AW21" s="23"/>
      <c r="AX21" s="22">
        <v>3.13090804926955</v>
      </c>
      <c r="AY21" s="22">
        <v>3.7115215479331569</v>
      </c>
      <c r="AZ21" s="22"/>
      <c r="BA21" s="22"/>
      <c r="BB21" s="22"/>
      <c r="BC21" s="22"/>
      <c r="BD21" s="22"/>
      <c r="BE21" s="23"/>
      <c r="BF21" s="6"/>
      <c r="BG21" s="6">
        <v>0.47445255474452552</v>
      </c>
      <c r="BH21" s="6"/>
      <c r="BI21" s="6"/>
      <c r="BJ21" s="6"/>
      <c r="BK21" s="6"/>
    </row>
    <row r="22" spans="1:63" x14ac:dyDescent="0.25">
      <c r="A22" s="15">
        <v>8.6738781249999999</v>
      </c>
      <c r="B22" s="15">
        <v>5.4489636363636373</v>
      </c>
      <c r="C22" s="15">
        <v>11.639253521126761</v>
      </c>
      <c r="D22" s="15">
        <v>9.9475757575757573</v>
      </c>
      <c r="E22" s="15">
        <v>8.4966000000000008</v>
      </c>
      <c r="F22" s="15">
        <v>15.990178571428572</v>
      </c>
      <c r="Q22" s="15">
        <v>116</v>
      </c>
      <c r="R22" s="15">
        <v>57</v>
      </c>
      <c r="S22" s="15">
        <v>205</v>
      </c>
      <c r="T22" s="15">
        <v>165</v>
      </c>
      <c r="U22" s="15">
        <v>111</v>
      </c>
      <c r="V22" s="15">
        <v>432</v>
      </c>
      <c r="AG22" s="23"/>
      <c r="AH22" s="22">
        <v>5.67</v>
      </c>
      <c r="AI22" s="22">
        <v>7.28</v>
      </c>
      <c r="AJ22" s="22"/>
      <c r="AK22" s="22"/>
      <c r="AL22" s="22"/>
      <c r="AM22" s="22"/>
      <c r="AN22" s="22"/>
      <c r="AO22" s="23"/>
      <c r="AP22" s="22">
        <v>0.1234</v>
      </c>
      <c r="AQ22" s="22">
        <v>7.8399999999999997E-2</v>
      </c>
      <c r="AR22" s="22"/>
      <c r="AS22" s="22"/>
      <c r="AT22" s="22"/>
      <c r="AU22" s="22"/>
      <c r="AV22" s="22"/>
      <c r="AW22" s="23"/>
      <c r="AX22" s="22">
        <v>3.1881982240045832</v>
      </c>
      <c r="AY22" s="22">
        <v>3.556141893872764</v>
      </c>
      <c r="AZ22" s="22"/>
      <c r="BA22" s="22"/>
      <c r="BB22" s="22"/>
      <c r="BC22" s="22"/>
      <c r="BD22" s="22"/>
      <c r="BE22" s="23"/>
      <c r="BF22" s="6"/>
      <c r="BG22" s="6">
        <v>0.22075055187637968</v>
      </c>
      <c r="BH22" s="6"/>
      <c r="BI22" s="6"/>
      <c r="BJ22" s="6"/>
      <c r="BK22" s="6"/>
    </row>
    <row r="23" spans="1:63" x14ac:dyDescent="0.25">
      <c r="A23" s="15">
        <v>8.2873782234957023</v>
      </c>
      <c r="B23" s="15">
        <v>8.0078869565217392</v>
      </c>
      <c r="C23" s="15">
        <v>11.245715935334873</v>
      </c>
      <c r="D23" s="15">
        <v>8.9761103896103887</v>
      </c>
      <c r="E23" s="15">
        <v>12.658415754923414</v>
      </c>
      <c r="F23" s="15">
        <v>12.125490566037735</v>
      </c>
      <c r="Q23" s="15">
        <v>120</v>
      </c>
      <c r="R23" s="15">
        <v>125</v>
      </c>
      <c r="S23" s="15">
        <v>168</v>
      </c>
      <c r="T23" s="15">
        <v>131</v>
      </c>
      <c r="U23" s="15">
        <v>270</v>
      </c>
      <c r="V23" s="15">
        <v>275</v>
      </c>
      <c r="Y23" s="15" t="s">
        <v>172</v>
      </c>
      <c r="Z23" s="15" t="s">
        <v>171</v>
      </c>
      <c r="AA23" s="15" t="s">
        <v>170</v>
      </c>
      <c r="AB23" s="15" t="s">
        <v>169</v>
      </c>
      <c r="AC23" s="15" t="s">
        <v>168</v>
      </c>
      <c r="AD23" s="15" t="s">
        <v>167</v>
      </c>
      <c r="AG23" s="23"/>
      <c r="AH23" s="22">
        <v>5.57</v>
      </c>
      <c r="AI23" s="22">
        <v>7.53</v>
      </c>
      <c r="AJ23" s="22"/>
      <c r="AK23" s="22"/>
      <c r="AL23" s="22"/>
      <c r="AM23" s="22"/>
      <c r="AN23" s="22"/>
      <c r="AO23" s="23"/>
      <c r="AP23" s="22">
        <v>0.1179</v>
      </c>
      <c r="AQ23" s="22">
        <v>7.9399999999999998E-2</v>
      </c>
      <c r="AR23" s="22"/>
      <c r="AS23" s="22"/>
      <c r="AT23" s="22"/>
      <c r="AU23" s="22"/>
      <c r="AV23" s="22"/>
      <c r="AW23" s="23"/>
      <c r="AX23" s="22">
        <v>3.4431395015754802</v>
      </c>
      <c r="AY23" s="22">
        <v>3.2893579595426559</v>
      </c>
      <c r="AZ23" s="22"/>
      <c r="BA23" s="22"/>
      <c r="BB23" s="22"/>
      <c r="BC23" s="22"/>
      <c r="BD23" s="22"/>
      <c r="BE23" s="23"/>
      <c r="BF23" s="6"/>
      <c r="BG23" s="6">
        <v>0.19138755980861244</v>
      </c>
      <c r="BH23" s="6"/>
      <c r="BI23" s="6"/>
      <c r="BJ23" s="6"/>
      <c r="BK23" s="6"/>
    </row>
    <row r="24" spans="1:63" x14ac:dyDescent="0.25">
      <c r="A24" s="15">
        <v>8.8354740259740261</v>
      </c>
      <c r="B24" s="15">
        <v>5.3933857493857484</v>
      </c>
      <c r="C24" s="15">
        <v>9.889549356223176</v>
      </c>
      <c r="D24" s="15">
        <v>9.8612081218274099</v>
      </c>
      <c r="E24" s="15">
        <v>12.879429447852761</v>
      </c>
      <c r="F24" s="15">
        <v>11.889548387096776</v>
      </c>
      <c r="Q24" s="15">
        <v>119</v>
      </c>
      <c r="R24" s="15">
        <v>38</v>
      </c>
      <c r="S24" s="15">
        <v>119</v>
      </c>
      <c r="T24" s="15">
        <v>156</v>
      </c>
      <c r="U24" s="15">
        <v>291</v>
      </c>
      <c r="V24" s="15">
        <v>307</v>
      </c>
      <c r="AG24" s="23"/>
      <c r="AH24" s="22">
        <v>5.92</v>
      </c>
      <c r="AI24" s="22">
        <v>7.55</v>
      </c>
      <c r="AJ24" s="22"/>
      <c r="AK24" s="22"/>
      <c r="AL24" s="22"/>
      <c r="AM24" s="22"/>
      <c r="AN24" s="22"/>
      <c r="AO24" s="23"/>
      <c r="AP24" s="22">
        <v>0.1125</v>
      </c>
      <c r="AQ24" s="22">
        <v>0.08</v>
      </c>
      <c r="AR24" s="22"/>
      <c r="AS24" s="22"/>
      <c r="AT24" s="22"/>
      <c r="AU24" s="22"/>
      <c r="AV24" s="22"/>
      <c r="AW24" s="23"/>
      <c r="AX24" s="22">
        <v>3.1423660842165568</v>
      </c>
      <c r="AY24" s="22">
        <v>3.2981530343007908</v>
      </c>
      <c r="AZ24" s="22"/>
      <c r="BA24" s="22"/>
      <c r="BB24" s="22"/>
      <c r="BC24" s="22"/>
      <c r="BD24" s="22"/>
      <c r="BE24" s="23"/>
      <c r="BF24" s="6"/>
      <c r="BG24" s="6">
        <v>0</v>
      </c>
      <c r="BH24" s="6"/>
      <c r="BI24" s="6"/>
      <c r="BJ24" s="6"/>
      <c r="BK24" s="6"/>
    </row>
    <row r="25" spans="1:63" x14ac:dyDescent="0.25">
      <c r="A25" s="15">
        <v>8.9251569230769228</v>
      </c>
      <c r="D25" s="15">
        <v>9.4026464891041162</v>
      </c>
      <c r="E25" s="15">
        <v>10.783037037037039</v>
      </c>
      <c r="F25" s="15">
        <v>11.179450342465755</v>
      </c>
      <c r="Q25" s="15">
        <v>118</v>
      </c>
      <c r="T25" s="15">
        <v>160</v>
      </c>
      <c r="U25" s="15">
        <v>233</v>
      </c>
      <c r="V25" s="15">
        <v>152</v>
      </c>
      <c r="AG25" s="23"/>
      <c r="AH25" s="22">
        <v>6.15</v>
      </c>
      <c r="AI25" s="22">
        <v>7.4</v>
      </c>
      <c r="AJ25" s="22"/>
      <c r="AK25" s="22"/>
      <c r="AL25" s="22"/>
      <c r="AM25" s="22"/>
      <c r="AN25" s="22"/>
      <c r="AO25" s="23"/>
      <c r="AP25" s="22">
        <v>0.1079</v>
      </c>
      <c r="AQ25" s="22">
        <v>8.3000000000000004E-2</v>
      </c>
      <c r="AR25" s="22"/>
      <c r="AS25" s="22"/>
      <c r="AT25" s="22"/>
      <c r="AU25" s="22"/>
      <c r="AV25" s="22"/>
      <c r="AW25" s="23"/>
      <c r="AX25" s="22">
        <v>2.2629619020338012</v>
      </c>
      <c r="AY25" s="22">
        <v>3.8082673702726466</v>
      </c>
      <c r="AZ25" s="22"/>
      <c r="BA25" s="22"/>
      <c r="BB25" s="22"/>
      <c r="BC25" s="22"/>
      <c r="BD25" s="22"/>
      <c r="BE25" s="23"/>
      <c r="BF25" s="6"/>
      <c r="BG25" s="6">
        <v>0.1951219512195122</v>
      </c>
      <c r="BH25" s="6"/>
      <c r="BI25" s="6"/>
      <c r="BJ25" s="6"/>
      <c r="BK25" s="6"/>
    </row>
    <row r="26" spans="1:63" x14ac:dyDescent="0.25">
      <c r="A26" s="15">
        <v>7.5002450142450146</v>
      </c>
      <c r="D26" s="15">
        <v>11.558279518072291</v>
      </c>
      <c r="E26" s="15">
        <v>15.704729306487696</v>
      </c>
      <c r="F26" s="15">
        <v>14.537876923076922</v>
      </c>
      <c r="Q26" s="15">
        <v>77</v>
      </c>
      <c r="T26" s="15">
        <v>213</v>
      </c>
      <c r="U26" s="15">
        <v>454</v>
      </c>
      <c r="V26" s="15">
        <v>373</v>
      </c>
      <c r="AG26" s="23"/>
      <c r="AH26" s="22">
        <v>5.84</v>
      </c>
      <c r="AI26" s="22">
        <v>7.39</v>
      </c>
      <c r="AJ26" s="22"/>
      <c r="AK26" s="22"/>
      <c r="AL26" s="22"/>
      <c r="AM26" s="22"/>
      <c r="AN26" s="22"/>
      <c r="AO26" s="23"/>
      <c r="AP26" s="22">
        <v>0.1172</v>
      </c>
      <c r="AQ26" s="22">
        <v>8.0399999999999999E-2</v>
      </c>
      <c r="AR26" s="22"/>
      <c r="AS26" s="22"/>
      <c r="AT26" s="22"/>
      <c r="AU26" s="22"/>
      <c r="AV26" s="22"/>
      <c r="AW26" s="23"/>
      <c r="AX26" s="22">
        <v>2.2114007447722717</v>
      </c>
      <c r="AY26" s="22">
        <v>3.3655819407798293</v>
      </c>
      <c r="AZ26" s="22"/>
      <c r="BA26" s="22"/>
      <c r="BB26" s="22"/>
      <c r="BC26" s="22"/>
      <c r="BD26" s="22"/>
      <c r="BE26" s="23"/>
      <c r="BF26" s="6"/>
      <c r="BG26" s="6">
        <v>0.166631951676734</v>
      </c>
      <c r="BH26" s="6"/>
      <c r="BI26" s="6"/>
      <c r="BJ26" s="6"/>
      <c r="BK26" s="6"/>
    </row>
    <row r="27" spans="1:63" x14ac:dyDescent="0.25">
      <c r="A27" s="15">
        <v>7.010450160771704</v>
      </c>
      <c r="D27" s="15">
        <v>7.2132409326424867</v>
      </c>
      <c r="E27" s="15">
        <v>11.813799256505577</v>
      </c>
      <c r="F27" s="15">
        <v>13.713140035906642</v>
      </c>
      <c r="Q27" s="15">
        <v>48</v>
      </c>
      <c r="T27" s="15">
        <v>113</v>
      </c>
      <c r="U27" s="15">
        <v>172</v>
      </c>
      <c r="V27" s="15">
        <v>303</v>
      </c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6"/>
      <c r="BG27" s="6"/>
      <c r="BH27" s="6"/>
      <c r="BI27" s="6"/>
      <c r="BJ27" s="6"/>
      <c r="BK27" s="6"/>
    </row>
    <row r="28" spans="1:63" x14ac:dyDescent="0.25">
      <c r="A28" s="15">
        <v>6.6492584541062802</v>
      </c>
      <c r="D28" s="15">
        <v>9.8241111111111117</v>
      </c>
      <c r="E28" s="15">
        <v>12.721417582417581</v>
      </c>
      <c r="F28" s="15">
        <v>9.7100855148342049</v>
      </c>
      <c r="Q28" s="15">
        <v>76</v>
      </c>
      <c r="T28" s="15">
        <v>92</v>
      </c>
      <c r="U28" s="15">
        <v>289</v>
      </c>
      <c r="V28" s="15">
        <v>163</v>
      </c>
      <c r="AG28" s="23">
        <v>-6</v>
      </c>
      <c r="AH28" s="22">
        <v>6.28</v>
      </c>
      <c r="AI28" s="22">
        <v>5.82</v>
      </c>
      <c r="AJ28" s="22">
        <v>7.53</v>
      </c>
      <c r="AK28" s="22"/>
      <c r="AL28" s="22"/>
      <c r="AM28" s="22"/>
      <c r="AN28" s="22"/>
      <c r="AO28" s="23">
        <v>-6</v>
      </c>
      <c r="AP28" s="22">
        <v>9.2499999999999999E-2</v>
      </c>
      <c r="AQ28" s="22">
        <v>0.12039999999999999</v>
      </c>
      <c r="AR28" s="22">
        <v>7.6399999999999996E-2</v>
      </c>
      <c r="AS28" s="22"/>
      <c r="AT28" s="22"/>
      <c r="AU28" s="22"/>
      <c r="AV28" s="22"/>
      <c r="AW28" s="23">
        <v>-6</v>
      </c>
      <c r="AX28" s="22">
        <v>5.370109766394596</v>
      </c>
      <c r="AY28" s="22">
        <v>3.2053852764250932</v>
      </c>
      <c r="AZ28" s="22">
        <v>3.7906772207563759</v>
      </c>
      <c r="BA28" s="22"/>
      <c r="BB28" s="22"/>
      <c r="BC28" s="22"/>
      <c r="BD28" s="22"/>
      <c r="BE28" s="23">
        <v>-6</v>
      </c>
      <c r="BF28" s="6"/>
      <c r="BG28" s="6"/>
      <c r="BH28" s="6">
        <v>0.53440213760855049</v>
      </c>
      <c r="BI28" s="6"/>
      <c r="BJ28" s="6"/>
      <c r="BK28" s="6"/>
    </row>
    <row r="29" spans="1:63" x14ac:dyDescent="0.25">
      <c r="A29" s="15">
        <v>6.9661142857142861</v>
      </c>
      <c r="D29" s="15">
        <v>9.3657249999999994</v>
      </c>
      <c r="E29" s="15">
        <v>11.634782828282829</v>
      </c>
      <c r="F29" s="15">
        <v>17.405978378378382</v>
      </c>
      <c r="Q29" s="15">
        <v>82</v>
      </c>
      <c r="T29" s="15">
        <v>179</v>
      </c>
      <c r="U29" s="15">
        <v>231</v>
      </c>
      <c r="V29" s="15">
        <v>558</v>
      </c>
      <c r="AG29" s="23"/>
      <c r="AH29" s="22">
        <v>6.38</v>
      </c>
      <c r="AI29" s="22">
        <v>6.3</v>
      </c>
      <c r="AJ29" s="22">
        <v>7.77</v>
      </c>
      <c r="AK29" s="22"/>
      <c r="AL29" s="22"/>
      <c r="AM29" s="22"/>
      <c r="AN29" s="22"/>
      <c r="AO29" s="23"/>
      <c r="AP29" s="22">
        <v>8.8900000000000007E-2</v>
      </c>
      <c r="AQ29" s="22">
        <v>0.1101</v>
      </c>
      <c r="AR29" s="22">
        <v>7.4200000000000016E-2</v>
      </c>
      <c r="AS29" s="22"/>
      <c r="AT29" s="22"/>
      <c r="AU29" s="22"/>
      <c r="AV29" s="22"/>
      <c r="AW29" s="23"/>
      <c r="AX29" s="22">
        <v>4.3822122150295524</v>
      </c>
      <c r="AY29" s="22">
        <v>2.492122600973933</v>
      </c>
      <c r="AZ29" s="22">
        <v>3.9167399589563172</v>
      </c>
      <c r="BA29" s="22"/>
      <c r="BB29" s="22"/>
      <c r="BC29" s="22"/>
      <c r="BD29" s="22"/>
      <c r="BE29" s="23"/>
      <c r="BF29" s="6"/>
      <c r="BG29" s="6"/>
      <c r="BH29" s="6">
        <v>0.28971511347175277</v>
      </c>
      <c r="BI29" s="6"/>
      <c r="BJ29" s="6"/>
      <c r="BK29" s="6"/>
    </row>
    <row r="30" spans="1:63" x14ac:dyDescent="0.25">
      <c r="A30" s="15">
        <v>6.2190492227979268</v>
      </c>
      <c r="D30" s="15">
        <v>9.6404319654427653</v>
      </c>
      <c r="E30" s="15">
        <v>12.380883771929824</v>
      </c>
      <c r="F30" s="15">
        <v>14.982840490797544</v>
      </c>
      <c r="Q30" s="15">
        <v>65</v>
      </c>
      <c r="T30" s="15">
        <v>149</v>
      </c>
      <c r="U30" s="15">
        <v>255</v>
      </c>
      <c r="V30" s="15">
        <v>407</v>
      </c>
      <c r="AG30" s="23"/>
      <c r="AH30" s="22">
        <v>6.2</v>
      </c>
      <c r="AI30" s="22">
        <v>6.07</v>
      </c>
      <c r="AJ30" s="22">
        <v>7.72</v>
      </c>
      <c r="AK30" s="22"/>
      <c r="AL30" s="22"/>
      <c r="AM30" s="22"/>
      <c r="AN30" s="22"/>
      <c r="AO30" s="23"/>
      <c r="AP30" s="22">
        <v>9.1399999999999995E-2</v>
      </c>
      <c r="AQ30" s="22">
        <v>9.6699999999999994E-2</v>
      </c>
      <c r="AR30" s="22">
        <v>8.9700000000000002E-2</v>
      </c>
      <c r="AS30" s="22"/>
      <c r="AT30" s="22"/>
      <c r="AU30" s="22"/>
      <c r="AV30" s="22"/>
      <c r="AW30" s="23"/>
      <c r="AX30" s="22">
        <v>5.0745848578665917</v>
      </c>
      <c r="AY30" s="22">
        <v>2.3431681466628471</v>
      </c>
      <c r="AZ30" s="22">
        <v>3.0225740252125477</v>
      </c>
      <c r="BA30" s="22"/>
      <c r="BB30" s="22"/>
      <c r="BC30" s="22"/>
      <c r="BD30" s="22"/>
      <c r="BE30" s="23"/>
      <c r="BF30" s="6"/>
      <c r="BG30" s="6"/>
      <c r="BH30" s="6">
        <v>0.38910505836575876</v>
      </c>
      <c r="BI30" s="6"/>
      <c r="BJ30" s="6"/>
      <c r="BK30" s="6"/>
    </row>
    <row r="31" spans="1:63" x14ac:dyDescent="0.25">
      <c r="A31" s="15">
        <v>8.8235217391304346</v>
      </c>
      <c r="D31" s="15">
        <v>13.806386609071275</v>
      </c>
      <c r="E31" s="15">
        <v>11.867185185185184</v>
      </c>
      <c r="F31" s="15">
        <v>13.232250505050505</v>
      </c>
      <c r="Q31" s="15">
        <v>108</v>
      </c>
      <c r="T31" s="15">
        <v>292</v>
      </c>
      <c r="U31" s="15">
        <v>225</v>
      </c>
      <c r="V31" s="15">
        <v>304</v>
      </c>
      <c r="AG31" s="23"/>
      <c r="AH31" s="22">
        <v>6.03</v>
      </c>
      <c r="AI31" s="22">
        <v>5.93</v>
      </c>
      <c r="AJ31" s="22">
        <v>7.61</v>
      </c>
      <c r="AK31" s="22"/>
      <c r="AL31" s="22"/>
      <c r="AM31" s="22"/>
      <c r="AN31" s="22"/>
      <c r="AO31" s="23"/>
      <c r="AP31" s="22">
        <v>0.1091</v>
      </c>
      <c r="AQ31" s="22">
        <v>0.1008</v>
      </c>
      <c r="AR31" s="22">
        <v>8.7900000000000006E-2</v>
      </c>
      <c r="AS31" s="22"/>
      <c r="AT31" s="22"/>
      <c r="AU31" s="22"/>
      <c r="AV31" s="22"/>
      <c r="AW31" s="23"/>
      <c r="AX31" s="22">
        <v>3.9093723613847455</v>
      </c>
      <c r="AY31" s="22">
        <v>3.2798625035806355</v>
      </c>
      <c r="AZ31" s="22">
        <v>3.4359425388449134</v>
      </c>
      <c r="BA31" s="22"/>
      <c r="BB31" s="22"/>
      <c r="BC31" s="22"/>
      <c r="BD31" s="22"/>
      <c r="BE31" s="23"/>
      <c r="BF31" s="6"/>
      <c r="BG31" s="6"/>
      <c r="BH31" s="6">
        <v>-0.3249390739236393</v>
      </c>
      <c r="BI31" s="6"/>
      <c r="BJ31" s="6"/>
      <c r="BK31" s="6"/>
    </row>
    <row r="32" spans="1:63" x14ac:dyDescent="0.25">
      <c r="A32" s="15">
        <v>7.3996005154639173</v>
      </c>
      <c r="D32" s="15">
        <v>7.407032667876587</v>
      </c>
      <c r="E32" s="15">
        <v>11.6678876146789</v>
      </c>
      <c r="F32" s="15">
        <v>13.786834307992203</v>
      </c>
      <c r="Q32" s="15">
        <v>84</v>
      </c>
      <c r="T32" s="15">
        <v>95</v>
      </c>
      <c r="U32" s="15">
        <v>211</v>
      </c>
      <c r="V32" s="15">
        <v>347</v>
      </c>
      <c r="AG32" s="23"/>
      <c r="AH32" s="22">
        <v>6.47</v>
      </c>
      <c r="AI32" s="22">
        <v>5.88</v>
      </c>
      <c r="AJ32" s="22">
        <v>7.24</v>
      </c>
      <c r="AK32" s="22"/>
      <c r="AL32" s="22"/>
      <c r="AM32" s="22"/>
      <c r="AN32" s="22"/>
      <c r="AO32" s="23"/>
      <c r="AP32" s="22">
        <v>0.1071</v>
      </c>
      <c r="AQ32" s="22">
        <v>0.1104</v>
      </c>
      <c r="AR32" s="22">
        <v>7.8899999999999998E-2</v>
      </c>
      <c r="AS32" s="22"/>
      <c r="AT32" s="22"/>
      <c r="AU32" s="22"/>
      <c r="AV32" s="22"/>
      <c r="AW32" s="23"/>
      <c r="AX32" s="22">
        <v>5.3222628764424424</v>
      </c>
      <c r="AY32" s="22">
        <v>3.4545975365224861</v>
      </c>
      <c r="AZ32" s="22">
        <v>2.9961888009381408</v>
      </c>
      <c r="BA32" s="22"/>
      <c r="BB32" s="22"/>
      <c r="BC32" s="22"/>
      <c r="BD32" s="22"/>
      <c r="BE32" s="23"/>
      <c r="BF32" s="6"/>
      <c r="BG32" s="6"/>
      <c r="BH32" s="6">
        <v>0.17937219730941703</v>
      </c>
      <c r="BI32" s="6"/>
      <c r="BJ32" s="6"/>
      <c r="BK32" s="6"/>
    </row>
    <row r="33" spans="1:63" x14ac:dyDescent="0.25">
      <c r="A33" s="15">
        <v>8.2241904761904756</v>
      </c>
      <c r="D33" s="15">
        <v>6.5837489878542508</v>
      </c>
      <c r="E33" s="15">
        <v>13.004686015831133</v>
      </c>
      <c r="F33" s="15">
        <v>11.445669245647968</v>
      </c>
      <c r="Q33" s="15">
        <v>140</v>
      </c>
      <c r="T33" s="15">
        <v>68</v>
      </c>
      <c r="U33" s="15">
        <v>257</v>
      </c>
      <c r="V33" s="15">
        <v>256</v>
      </c>
      <c r="AG33" s="23"/>
      <c r="AH33" s="22">
        <v>6.15</v>
      </c>
      <c r="AI33" s="22">
        <v>5.82</v>
      </c>
      <c r="AJ33" s="22">
        <v>7.75</v>
      </c>
      <c r="AK33" s="22"/>
      <c r="AL33" s="22"/>
      <c r="AM33" s="22"/>
      <c r="AN33" s="22"/>
      <c r="AO33" s="23"/>
      <c r="AP33" s="22">
        <v>9.7600000000000006E-2</v>
      </c>
      <c r="AQ33" s="22">
        <v>0.1208</v>
      </c>
      <c r="AR33" s="22">
        <v>8.4499999999999992E-2</v>
      </c>
      <c r="AS33" s="22"/>
      <c r="AT33" s="22"/>
      <c r="AU33" s="22"/>
      <c r="AV33" s="22"/>
      <c r="AW33" s="23"/>
      <c r="AX33" s="22">
        <v>3.5857022234731217</v>
      </c>
      <c r="AY33" s="22">
        <v>2.4176453738183898</v>
      </c>
      <c r="AZ33" s="22">
        <v>3.5268249780123129</v>
      </c>
      <c r="BA33" s="22"/>
      <c r="BB33" s="22"/>
      <c r="BC33" s="22"/>
      <c r="BD33" s="22"/>
      <c r="BE33" s="23"/>
      <c r="BF33" s="6"/>
      <c r="BG33" s="6"/>
      <c r="BH33" s="6">
        <v>0.83732057416267947</v>
      </c>
      <c r="BI33" s="6"/>
      <c r="BJ33" s="6"/>
      <c r="BK33" s="6"/>
    </row>
    <row r="34" spans="1:63" x14ac:dyDescent="0.25">
      <c r="A34" s="15">
        <v>5.360221709006928</v>
      </c>
      <c r="D34" s="15">
        <v>8.1387011494252874</v>
      </c>
      <c r="E34" s="15">
        <v>13.309704387990761</v>
      </c>
      <c r="F34" s="15">
        <v>15.038078059071731</v>
      </c>
      <c r="Q34" s="15">
        <v>72</v>
      </c>
      <c r="T34" s="15">
        <v>108</v>
      </c>
      <c r="U34" s="15">
        <v>302</v>
      </c>
      <c r="V34" s="15">
        <v>294</v>
      </c>
      <c r="AG34" s="23"/>
      <c r="AH34" s="22">
        <v>6.2</v>
      </c>
      <c r="AI34" s="22">
        <v>5.9</v>
      </c>
      <c r="AJ34" s="22">
        <v>7.5</v>
      </c>
      <c r="AK34" s="22"/>
      <c r="AL34" s="22"/>
      <c r="AM34" s="22"/>
      <c r="AN34" s="22"/>
      <c r="AO34" s="23"/>
      <c r="AP34" s="22">
        <v>0.08</v>
      </c>
      <c r="AQ34" s="22">
        <v>0.1008</v>
      </c>
      <c r="AR34" s="22">
        <v>8.6999999999999994E-2</v>
      </c>
      <c r="AS34" s="22"/>
      <c r="AT34" s="22"/>
      <c r="AU34" s="22"/>
      <c r="AV34" s="22"/>
      <c r="AW34" s="23"/>
      <c r="AX34" s="22">
        <v>3.824936673233887</v>
      </c>
      <c r="AY34" s="22">
        <v>3.0993984531652821</v>
      </c>
      <c r="AZ34" s="22">
        <v>3.5678686602169449</v>
      </c>
      <c r="BA34" s="22"/>
      <c r="BB34" s="22"/>
      <c r="BC34" s="22"/>
      <c r="BD34" s="22"/>
      <c r="BE34" s="23"/>
      <c r="BF34" s="6"/>
      <c r="BG34" s="6"/>
      <c r="BH34" s="6">
        <v>0.17319016279875304</v>
      </c>
      <c r="BI34" s="6"/>
      <c r="BJ34" s="6"/>
      <c r="BK34" s="6"/>
    </row>
    <row r="35" spans="1:63" x14ac:dyDescent="0.25">
      <c r="A35" s="15">
        <v>7.8320537897310514</v>
      </c>
      <c r="D35" s="15">
        <v>9.1978620689655184</v>
      </c>
      <c r="E35" s="15">
        <v>13.981695473251028</v>
      </c>
      <c r="F35" s="15">
        <v>17.970776576576576</v>
      </c>
      <c r="Q35" s="15">
        <v>107</v>
      </c>
      <c r="T35" s="15">
        <v>135</v>
      </c>
      <c r="U35" s="15">
        <v>361</v>
      </c>
      <c r="V35" s="15">
        <v>675</v>
      </c>
      <c r="AG35" s="23"/>
      <c r="AH35" s="22">
        <v>6.33</v>
      </c>
      <c r="AI35" s="22">
        <v>6.02</v>
      </c>
      <c r="AJ35" s="22">
        <v>7.72</v>
      </c>
      <c r="AK35" s="22"/>
      <c r="AL35" s="22"/>
      <c r="AM35" s="22"/>
      <c r="AN35" s="22"/>
      <c r="AO35" s="23"/>
      <c r="AP35" s="22">
        <v>8.5500000000000007E-2</v>
      </c>
      <c r="AQ35" s="22">
        <v>8.6800000000000002E-2</v>
      </c>
      <c r="AR35" s="22">
        <v>8.5099999999999995E-2</v>
      </c>
      <c r="AS35" s="22"/>
      <c r="AT35" s="22"/>
      <c r="AU35" s="22"/>
      <c r="AV35" s="22"/>
      <c r="AW35" s="23"/>
      <c r="AX35" s="22">
        <v>4.9676329862088373</v>
      </c>
      <c r="AY35" s="22">
        <v>2.4176453738183898</v>
      </c>
      <c r="AZ35" s="22">
        <v>3.6822046320727053</v>
      </c>
      <c r="BA35" s="22"/>
      <c r="BB35" s="22"/>
      <c r="BC35" s="22"/>
      <c r="BD35" s="22"/>
      <c r="BE35" s="23"/>
      <c r="BF35" s="6"/>
      <c r="BG35" s="6"/>
      <c r="BH35" s="6">
        <v>0.62421972534332082</v>
      </c>
      <c r="BI35" s="6"/>
      <c r="BJ35" s="6"/>
      <c r="BK35" s="6"/>
    </row>
    <row r="36" spans="1:63" x14ac:dyDescent="0.25">
      <c r="A36" s="15">
        <v>7.2873662790697669</v>
      </c>
      <c r="D36" s="15">
        <v>11.911358241758242</v>
      </c>
      <c r="E36" s="15">
        <v>13.060110251450675</v>
      </c>
      <c r="Q36" s="15">
        <v>63</v>
      </c>
      <c r="T36" s="15">
        <v>214</v>
      </c>
      <c r="U36" s="15">
        <v>296</v>
      </c>
      <c r="AG36" s="23"/>
      <c r="AH36" s="22">
        <v>6.45</v>
      </c>
      <c r="AI36" s="22">
        <v>6.11</v>
      </c>
      <c r="AJ36" s="22">
        <v>7.45</v>
      </c>
      <c r="AK36" s="22"/>
      <c r="AL36" s="22"/>
      <c r="AM36" s="22"/>
      <c r="AN36" s="22"/>
      <c r="AO36" s="23"/>
      <c r="AP36" s="22">
        <v>0.1203</v>
      </c>
      <c r="AQ36" s="22">
        <v>0.1134</v>
      </c>
      <c r="AR36" s="22">
        <v>7.7799999999999994E-2</v>
      </c>
      <c r="AS36" s="22"/>
      <c r="AT36" s="22"/>
      <c r="AU36" s="22"/>
      <c r="AV36" s="22"/>
      <c r="AW36" s="23"/>
      <c r="AX36" s="22">
        <v>4.8747537292428937</v>
      </c>
      <c r="AY36" s="22">
        <v>2.2686909195073044</v>
      </c>
      <c r="AZ36" s="22">
        <v>3.2365875109938429</v>
      </c>
      <c r="BA36" s="22"/>
      <c r="BB36" s="22"/>
      <c r="BC36" s="22"/>
      <c r="BD36" s="22"/>
      <c r="BE36" s="23"/>
      <c r="BF36" s="6"/>
      <c r="BG36" s="6"/>
      <c r="BH36" s="6">
        <v>0.27726432532347506</v>
      </c>
      <c r="BI36" s="6"/>
      <c r="BJ36" s="6"/>
      <c r="BK36" s="6"/>
    </row>
    <row r="37" spans="1:63" x14ac:dyDescent="0.25">
      <c r="A37" s="15">
        <v>6.5911733668341714</v>
      </c>
      <c r="D37" s="15">
        <v>8.1027445887445886</v>
      </c>
      <c r="E37" s="15">
        <v>12.525922413793104</v>
      </c>
      <c r="F37" s="21"/>
      <c r="Q37" s="15">
        <v>42</v>
      </c>
      <c r="T37" s="15">
        <v>112</v>
      </c>
      <c r="U37" s="15">
        <v>292</v>
      </c>
      <c r="AG37" s="23"/>
      <c r="AH37" s="22">
        <v>6.79</v>
      </c>
      <c r="AI37" s="22">
        <v>5.35</v>
      </c>
      <c r="AJ37" s="22">
        <v>7.7</v>
      </c>
      <c r="AK37" s="22"/>
      <c r="AL37" s="22"/>
      <c r="AM37" s="22"/>
      <c r="AN37" s="22"/>
      <c r="AO37" s="23"/>
      <c r="AP37" s="22">
        <v>9.1200000000000003E-2</v>
      </c>
      <c r="AQ37" s="22">
        <v>0.1082</v>
      </c>
      <c r="AR37" s="22">
        <v>7.8899999999999998E-2</v>
      </c>
      <c r="AS37" s="22"/>
      <c r="AT37" s="22"/>
      <c r="AU37" s="22"/>
      <c r="AV37" s="22"/>
      <c r="AW37" s="23"/>
      <c r="AX37" s="22">
        <v>4.3146636645088652</v>
      </c>
      <c r="AY37" s="22">
        <v>3.3486107132626755</v>
      </c>
      <c r="AZ37" s="22">
        <v>3.8756962767516852</v>
      </c>
      <c r="BA37" s="22"/>
      <c r="BB37" s="22"/>
      <c r="BC37" s="22"/>
      <c r="BD37" s="22"/>
      <c r="BE37" s="23"/>
      <c r="BF37" s="6"/>
      <c r="BG37" s="6"/>
      <c r="BH37" s="6">
        <v>-6.5093572009764039E-2</v>
      </c>
      <c r="BI37" s="6"/>
      <c r="BJ37" s="6"/>
      <c r="BK37" s="6"/>
    </row>
    <row r="38" spans="1:63" x14ac:dyDescent="0.25">
      <c r="A38" s="15">
        <v>6.0094800936768147</v>
      </c>
      <c r="D38" s="15">
        <v>12.929737470167066</v>
      </c>
      <c r="E38" s="15">
        <v>10.251392033542976</v>
      </c>
      <c r="Q38" s="15">
        <v>49</v>
      </c>
      <c r="T38" s="15">
        <v>248</v>
      </c>
      <c r="U38" s="15">
        <v>188</v>
      </c>
      <c r="AG38" s="23"/>
      <c r="AH38" s="22">
        <v>6.31</v>
      </c>
      <c r="AI38" s="22">
        <v>5.44</v>
      </c>
      <c r="AJ38" s="22">
        <v>7.63</v>
      </c>
      <c r="AK38" s="22"/>
      <c r="AL38" s="22"/>
      <c r="AM38" s="22"/>
      <c r="AN38" s="22"/>
      <c r="AO38" s="23"/>
      <c r="AP38" s="22">
        <v>0.1082</v>
      </c>
      <c r="AQ38" s="22">
        <v>9.6799999999999997E-2</v>
      </c>
      <c r="AR38" s="22">
        <v>7.8799999999999995E-2</v>
      </c>
      <c r="AS38" s="22"/>
      <c r="AT38" s="22"/>
      <c r="AU38" s="22"/>
      <c r="AV38" s="22"/>
      <c r="AW38" s="23"/>
      <c r="AX38" s="22">
        <v>3.8164931044188011</v>
      </c>
      <c r="AY38" s="22">
        <v>2.8759667716986534</v>
      </c>
      <c r="AZ38" s="22">
        <v>3.57080035180299</v>
      </c>
      <c r="BA38" s="22"/>
      <c r="BB38" s="22"/>
      <c r="BC38" s="22"/>
      <c r="BD38" s="22"/>
      <c r="BE38" s="23"/>
      <c r="BF38" s="6"/>
      <c r="BG38" s="6"/>
      <c r="BH38" s="6">
        <v>0.51746442432082795</v>
      </c>
      <c r="BI38" s="6"/>
      <c r="BJ38" s="6"/>
      <c r="BK38" s="6"/>
    </row>
    <row r="39" spans="1:63" x14ac:dyDescent="0.25">
      <c r="D39" s="15">
        <v>8.8387763496143954</v>
      </c>
      <c r="E39" s="15">
        <v>11.300966740576497</v>
      </c>
      <c r="T39" s="15">
        <v>113</v>
      </c>
      <c r="U39" s="15">
        <v>207</v>
      </c>
      <c r="AG39" s="23"/>
      <c r="AH39" s="22">
        <v>6.59</v>
      </c>
      <c r="AI39" s="22">
        <v>5.91</v>
      </c>
      <c r="AJ39" s="22">
        <v>7.58</v>
      </c>
      <c r="AK39" s="22"/>
      <c r="AL39" s="22"/>
      <c r="AM39" s="22"/>
      <c r="AN39" s="22"/>
      <c r="AO39" s="23"/>
      <c r="AP39" s="22">
        <v>9.3299999999999994E-2</v>
      </c>
      <c r="AQ39" s="22">
        <v>0.1196</v>
      </c>
      <c r="AR39" s="22">
        <v>8.2400000000000001E-2</v>
      </c>
      <c r="AS39" s="22"/>
      <c r="AT39" s="22"/>
      <c r="AU39" s="22"/>
      <c r="AV39" s="22"/>
      <c r="AW39" s="23"/>
      <c r="AX39" s="22">
        <v>5.0098508302842673</v>
      </c>
      <c r="AY39" s="22">
        <v>3.3572042394729307</v>
      </c>
      <c r="AZ39" s="22">
        <v>3.6206391087657575</v>
      </c>
      <c r="BA39" s="22"/>
      <c r="BB39" s="22"/>
      <c r="BC39" s="22"/>
      <c r="BD39" s="22"/>
      <c r="BE39" s="23"/>
      <c r="BF39" s="6"/>
      <c r="BG39" s="6"/>
      <c r="BH39" s="6">
        <v>0.57494866529774125</v>
      </c>
      <c r="BI39" s="6"/>
      <c r="BJ39" s="6"/>
      <c r="BK39" s="6"/>
    </row>
    <row r="40" spans="1:63" x14ac:dyDescent="0.25">
      <c r="E40" s="15">
        <v>14.95009324009324</v>
      </c>
      <c r="U40" s="15">
        <v>369</v>
      </c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3"/>
      <c r="AX40" s="22"/>
      <c r="AY40" s="22"/>
      <c r="AZ40" s="22"/>
      <c r="BA40" s="22"/>
      <c r="BB40" s="22"/>
      <c r="BC40" s="22"/>
      <c r="BD40" s="22"/>
      <c r="BE40" s="22"/>
      <c r="BF40" s="6"/>
      <c r="BG40" s="6"/>
      <c r="BH40" s="6"/>
      <c r="BI40" s="6"/>
      <c r="BJ40" s="6"/>
      <c r="BK40" s="6"/>
    </row>
    <row r="41" spans="1:63" x14ac:dyDescent="0.25">
      <c r="E41" s="15">
        <v>12.205608445297504</v>
      </c>
      <c r="F41" s="21"/>
      <c r="U41" s="15">
        <v>209</v>
      </c>
      <c r="AG41" s="23">
        <v>0</v>
      </c>
      <c r="AH41" s="22">
        <v>6.88</v>
      </c>
      <c r="AI41" s="22">
        <v>6.48</v>
      </c>
      <c r="AJ41" s="22">
        <v>5.5</v>
      </c>
      <c r="AK41" s="22">
        <v>7.22</v>
      </c>
      <c r="AL41" s="22">
        <v>7.25</v>
      </c>
      <c r="AM41" s="22">
        <v>7.6</v>
      </c>
      <c r="AN41" s="22"/>
      <c r="AO41" s="23">
        <v>0</v>
      </c>
      <c r="AP41" s="22">
        <v>6.6500000000000004E-2</v>
      </c>
      <c r="AQ41" s="22">
        <v>9.4399999999999998E-2</v>
      </c>
      <c r="AR41" s="22">
        <v>0.10539999999999999</v>
      </c>
      <c r="AS41" s="22">
        <v>8.879999999999999E-2</v>
      </c>
      <c r="AT41" s="22">
        <v>4.1399999999999992E-2</v>
      </c>
      <c r="AU41" s="22">
        <v>3.8399999999999997E-2</v>
      </c>
      <c r="AV41" s="22"/>
      <c r="AW41" s="23">
        <v>0</v>
      </c>
      <c r="AX41" s="22">
        <v>4.4521681562396562</v>
      </c>
      <c r="AY41" s="22">
        <v>3.824936673233887</v>
      </c>
      <c r="AZ41" s="22">
        <v>2.5551417931824694</v>
      </c>
      <c r="BA41" s="22">
        <v>2.9447149813806925</v>
      </c>
      <c r="BB41" s="22">
        <v>3.2970495560011455</v>
      </c>
      <c r="BC41" s="22">
        <v>2.9905471211687198</v>
      </c>
      <c r="BD41" s="22"/>
      <c r="BE41" s="23">
        <v>0</v>
      </c>
      <c r="BF41" s="6">
        <v>1.2970168612191959</v>
      </c>
      <c r="BG41" s="6">
        <v>0.60090135202804207</v>
      </c>
      <c r="BH41" s="6">
        <v>0.77848549186128801</v>
      </c>
      <c r="BI41" s="6">
        <v>0.28169014084507044</v>
      </c>
      <c r="BJ41" s="6">
        <v>0.15860428231562251</v>
      </c>
      <c r="BK41" s="6">
        <v>0.48760666395774077</v>
      </c>
    </row>
    <row r="42" spans="1:63" x14ac:dyDescent="0.25">
      <c r="E42" s="15">
        <v>13.235566801619433</v>
      </c>
      <c r="U42" s="15">
        <v>326</v>
      </c>
      <c r="AG42" s="23"/>
      <c r="AH42" s="22">
        <v>6.75</v>
      </c>
      <c r="AI42" s="22">
        <v>6.77</v>
      </c>
      <c r="AJ42" s="22">
        <v>5.48</v>
      </c>
      <c r="AK42" s="22">
        <v>7.42</v>
      </c>
      <c r="AL42" s="22">
        <v>7.35</v>
      </c>
      <c r="AM42" s="22">
        <v>7.33</v>
      </c>
      <c r="AN42" s="22"/>
      <c r="AO42" s="23"/>
      <c r="AP42" s="22">
        <v>7.7600000000000002E-2</v>
      </c>
      <c r="AQ42" s="22">
        <v>9.3799999999999994E-2</v>
      </c>
      <c r="AR42" s="22">
        <v>0.1086</v>
      </c>
      <c r="AS42" s="22">
        <v>7.8600000000000003E-2</v>
      </c>
      <c r="AT42" s="22">
        <v>4.2800000000000005E-2</v>
      </c>
      <c r="AU42" s="22">
        <v>3.32E-2</v>
      </c>
      <c r="AV42" s="22"/>
      <c r="AW42" s="23"/>
      <c r="AX42" s="22">
        <v>6.9281694803045362</v>
      </c>
      <c r="AY42" s="22">
        <v>3.5688150858429495</v>
      </c>
      <c r="AZ42" s="22">
        <v>1.9564594672013749</v>
      </c>
      <c r="BA42" s="22">
        <v>3.0908049269550277</v>
      </c>
      <c r="BB42" s="22">
        <v>3.6608421655686052</v>
      </c>
      <c r="BC42" s="22">
        <v>3.3801203093669434</v>
      </c>
      <c r="BD42" s="22"/>
      <c r="BE42" s="23"/>
      <c r="BF42" s="6">
        <v>1.2505210504376825</v>
      </c>
      <c r="BG42" s="6">
        <v>0.65487884741322855</v>
      </c>
      <c r="BH42" s="6">
        <v>0.19074868860276586</v>
      </c>
      <c r="BI42" s="6">
        <v>0.42553191489361702</v>
      </c>
      <c r="BJ42" s="6">
        <v>0.5002501250625313</v>
      </c>
      <c r="BK42" s="6">
        <v>-0.26720106880427524</v>
      </c>
    </row>
    <row r="43" spans="1:63" x14ac:dyDescent="0.25">
      <c r="E43" s="15">
        <v>13.685099221789883</v>
      </c>
      <c r="U43" s="15">
        <v>283</v>
      </c>
      <c r="AG43" s="23"/>
      <c r="AH43" s="22">
        <v>7.1</v>
      </c>
      <c r="AI43" s="22">
        <v>6.8</v>
      </c>
      <c r="AJ43" s="22">
        <v>6.18</v>
      </c>
      <c r="AK43" s="22">
        <v>7.5</v>
      </c>
      <c r="AL43" s="22">
        <v>7.42</v>
      </c>
      <c r="AM43" s="22">
        <v>7.47</v>
      </c>
      <c r="AN43" s="22"/>
      <c r="AO43" s="23"/>
      <c r="AP43" s="22">
        <v>6.9500000000000006E-2</v>
      </c>
      <c r="AQ43" s="22">
        <v>9.6199999999999994E-2</v>
      </c>
      <c r="AR43" s="22">
        <v>9.7200000000000009E-2</v>
      </c>
      <c r="AS43" s="22">
        <v>7.8399999999999997E-2</v>
      </c>
      <c r="AT43" s="22">
        <v>4.41E-2</v>
      </c>
      <c r="AU43" s="22">
        <v>2.5600000000000005E-2</v>
      </c>
      <c r="AV43" s="22"/>
      <c r="AW43" s="23"/>
      <c r="AX43" s="22">
        <v>4.5448526977821917</v>
      </c>
      <c r="AY43" s="22">
        <v>4.8803827751196174</v>
      </c>
      <c r="AZ43" s="22">
        <v>2.8759667716986534</v>
      </c>
      <c r="BA43" s="22">
        <v>2.996276138642223</v>
      </c>
      <c r="BB43" s="22">
        <v>3.7754225150386715</v>
      </c>
      <c r="BC43" s="22">
        <v>3.0908049269550277</v>
      </c>
      <c r="BD43" s="22"/>
      <c r="BE43" s="23"/>
      <c r="BF43" s="6">
        <v>0.75219389887170918</v>
      </c>
      <c r="BG43" s="6">
        <v>0.57471264367816088</v>
      </c>
      <c r="BH43" s="6">
        <v>0</v>
      </c>
      <c r="BI43" s="6">
        <v>0.23432923257176333</v>
      </c>
      <c r="BJ43" s="6">
        <v>0.32327586206896552</v>
      </c>
      <c r="BK43" s="6">
        <v>0.47393364928909953</v>
      </c>
    </row>
    <row r="44" spans="1:63" x14ac:dyDescent="0.25">
      <c r="E44" s="15">
        <v>10.376646090534978</v>
      </c>
      <c r="U44" s="15">
        <v>188</v>
      </c>
      <c r="AG44" s="23"/>
      <c r="AH44" s="22">
        <v>6.95</v>
      </c>
      <c r="AI44" s="22">
        <v>6.6</v>
      </c>
      <c r="AJ44" s="22">
        <v>6.23</v>
      </c>
      <c r="AK44" s="22">
        <v>7.28</v>
      </c>
      <c r="AL44" s="22">
        <v>7.62</v>
      </c>
      <c r="AM44" s="22">
        <v>7.5</v>
      </c>
      <c r="AN44" s="22"/>
      <c r="AO44" s="23"/>
      <c r="AP44" s="22">
        <v>6.4600000000000005E-2</v>
      </c>
      <c r="AQ44" s="22">
        <v>8.4499999999999992E-2</v>
      </c>
      <c r="AR44" s="22">
        <v>0.11279999999999998</v>
      </c>
      <c r="AS44" s="22">
        <v>8.4999999999999992E-2</v>
      </c>
      <c r="AT44" s="22">
        <v>5.0800000000000012E-2</v>
      </c>
      <c r="AU44" s="22">
        <v>2.7400000000000001E-2</v>
      </c>
      <c r="AV44" s="22"/>
      <c r="AW44" s="23"/>
      <c r="AX44" s="22">
        <v>4.6474677259185704</v>
      </c>
      <c r="AY44" s="22">
        <v>5.1646495918941735</v>
      </c>
      <c r="AZ44" s="22">
        <v>2.744199369808078</v>
      </c>
      <c r="BA44" s="22">
        <v>3.2197078201088516</v>
      </c>
      <c r="BB44" s="22">
        <v>3.0908049269550277</v>
      </c>
      <c r="BC44" s="22">
        <v>3.1165855055857916</v>
      </c>
      <c r="BD44" s="22"/>
      <c r="BE44" s="23"/>
      <c r="BF44" s="6">
        <v>0.58616647127784294</v>
      </c>
      <c r="BG44" s="6">
        <v>0.33094318808604523</v>
      </c>
      <c r="BH44" s="6">
        <v>0.42265426880811496</v>
      </c>
      <c r="BI44" s="6">
        <v>0.43368268883267075</v>
      </c>
      <c r="BJ44" s="6">
        <v>0.38591413410516162</v>
      </c>
      <c r="BK44" s="6">
        <v>0.36845983787767134</v>
      </c>
    </row>
    <row r="45" spans="1:63" x14ac:dyDescent="0.25">
      <c r="E45" s="15">
        <v>12.018964656964656</v>
      </c>
      <c r="U45" s="15">
        <v>279</v>
      </c>
      <c r="AG45" s="23"/>
      <c r="AH45" s="22">
        <v>6.93</v>
      </c>
      <c r="AI45" s="22">
        <v>6.6</v>
      </c>
      <c r="AJ45" s="22">
        <v>5.53</v>
      </c>
      <c r="AK45" s="22">
        <v>7.62</v>
      </c>
      <c r="AL45" s="22">
        <v>7.58</v>
      </c>
      <c r="AM45" s="22">
        <v>7.53</v>
      </c>
      <c r="AN45" s="22"/>
      <c r="AO45" s="23"/>
      <c r="AP45" s="22">
        <v>5.8500000000000003E-2</v>
      </c>
      <c r="AQ45" s="22">
        <v>9.7900000000000001E-2</v>
      </c>
      <c r="AR45" s="22">
        <v>0.11599999999999999</v>
      </c>
      <c r="AS45" s="22">
        <v>9.7299999999999998E-2</v>
      </c>
      <c r="AT45" s="22">
        <v>4.5800000000000007E-2</v>
      </c>
      <c r="AU45" s="22">
        <v>3.110000000000001E-2</v>
      </c>
      <c r="AV45" s="22"/>
      <c r="AW45" s="23"/>
      <c r="AX45" s="22">
        <v>4.7732538894405829</v>
      </c>
      <c r="AY45" s="22">
        <v>4.5116802701942023</v>
      </c>
      <c r="AZ45" s="22">
        <v>1.9736465196218846</v>
      </c>
      <c r="BA45" s="22">
        <v>3.5147522199942705</v>
      </c>
      <c r="BB45" s="22">
        <v>3.431681466628473</v>
      </c>
      <c r="BC45" s="22">
        <v>3.0965339444285305</v>
      </c>
      <c r="BD45" s="22"/>
      <c r="BE45" s="23"/>
      <c r="BF45" s="6">
        <v>0.948509485094851</v>
      </c>
      <c r="BG45" s="6">
        <v>0.59760956175298807</v>
      </c>
      <c r="BH45" s="6">
        <v>0.16528925619834711</v>
      </c>
      <c r="BI45" s="6">
        <v>0.28462998102466791</v>
      </c>
      <c r="BJ45" s="6">
        <v>0.2789400278940028</v>
      </c>
      <c r="BK45" s="6">
        <v>0.23487962419260131</v>
      </c>
    </row>
    <row r="46" spans="1:63" x14ac:dyDescent="0.25">
      <c r="E46" s="15">
        <v>10.132359615384614</v>
      </c>
      <c r="U46" s="15">
        <v>151</v>
      </c>
      <c r="AG46" s="23"/>
      <c r="AH46" s="22">
        <v>6.63</v>
      </c>
      <c r="AI46" s="22">
        <v>6.55</v>
      </c>
      <c r="AJ46" s="22">
        <v>5.98</v>
      </c>
      <c r="AK46" s="22">
        <v>7.58</v>
      </c>
      <c r="AL46" s="22">
        <v>7.68</v>
      </c>
      <c r="AM46" s="22">
        <v>7.52</v>
      </c>
      <c r="AN46" s="22"/>
      <c r="AO46" s="23"/>
      <c r="AP46" s="22">
        <v>6.9900000000000004E-2</v>
      </c>
      <c r="AQ46" s="22">
        <v>7.9699999999999993E-2</v>
      </c>
      <c r="AR46" s="22">
        <v>0.1205</v>
      </c>
      <c r="AS46" s="22">
        <v>7.8800000000000009E-2</v>
      </c>
      <c r="AT46" s="22">
        <v>4.5000000000000012E-2</v>
      </c>
      <c r="AU46" s="22">
        <v>3.110000000000001E-2</v>
      </c>
      <c r="AV46" s="22"/>
      <c r="AW46" s="23"/>
      <c r="AX46" s="22">
        <v>4.1277722608407821</v>
      </c>
      <c r="AY46" s="22">
        <v>4.0726146918097381</v>
      </c>
      <c r="AZ46" s="22">
        <v>2.8816957891721575</v>
      </c>
      <c r="BA46" s="22">
        <v>3.5605843597822973</v>
      </c>
      <c r="BB46" s="22">
        <v>3.0764823832712689</v>
      </c>
      <c r="BC46" s="22">
        <v>3.0163276997994837</v>
      </c>
      <c r="BD46" s="22"/>
      <c r="BE46" s="23"/>
      <c r="BF46" s="6">
        <v>0.75309306078536853</v>
      </c>
      <c r="BG46" s="6">
        <v>0.18083182640144665</v>
      </c>
      <c r="BH46" s="6">
        <v>-0.34542314335060448</v>
      </c>
      <c r="BI46" s="6">
        <v>0.12033694344163658</v>
      </c>
      <c r="BJ46" s="6">
        <v>0.46948356807511737</v>
      </c>
      <c r="BK46" s="6">
        <v>0.36923076923076925</v>
      </c>
    </row>
    <row r="47" spans="1:63" x14ac:dyDescent="0.25">
      <c r="AG47" s="23"/>
      <c r="AH47" s="22">
        <v>7</v>
      </c>
      <c r="AI47" s="22">
        <v>6.57</v>
      </c>
      <c r="AJ47" s="22">
        <v>6.13</v>
      </c>
      <c r="AK47" s="22">
        <v>7.55</v>
      </c>
      <c r="AL47" s="22">
        <v>7.57</v>
      </c>
      <c r="AM47" s="22">
        <v>7.32</v>
      </c>
      <c r="AN47" s="22"/>
      <c r="AO47" s="23"/>
      <c r="AP47" s="22">
        <v>7.6100000000000001E-2</v>
      </c>
      <c r="AQ47" s="22">
        <v>9.11E-2</v>
      </c>
      <c r="AR47" s="22">
        <v>9.5500000000000002E-2</v>
      </c>
      <c r="AS47" s="22">
        <v>8.8400000000000006E-2</v>
      </c>
      <c r="AT47" s="22">
        <v>3.8099999999999995E-2</v>
      </c>
      <c r="AU47" s="22">
        <v>2.98E-2</v>
      </c>
      <c r="AV47" s="22"/>
      <c r="AW47" s="23"/>
      <c r="AX47" s="22">
        <v>4.3561734524991724</v>
      </c>
      <c r="AY47" s="22">
        <v>5.5811989867717422</v>
      </c>
      <c r="AZ47" s="22">
        <v>2.1254654826697221</v>
      </c>
      <c r="BA47" s="22">
        <v>3.1022629619020337</v>
      </c>
      <c r="BB47" s="22">
        <v>3.1509596104268116</v>
      </c>
      <c r="BC47" s="22">
        <v>3.4202234316814661</v>
      </c>
      <c r="BD47" s="22"/>
      <c r="BE47" s="23"/>
      <c r="BF47" s="6">
        <v>1.1347517730496455</v>
      </c>
      <c r="BG47" s="6">
        <v>0.42507970244420828</v>
      </c>
      <c r="BH47" s="6">
        <v>0.2696629213483146</v>
      </c>
      <c r="BI47" s="6">
        <v>0.15847860538827258</v>
      </c>
      <c r="BJ47" s="6">
        <v>0.38709677419354838</v>
      </c>
      <c r="BK47" s="6">
        <v>0.14301036825169824</v>
      </c>
    </row>
    <row r="48" spans="1:63" x14ac:dyDescent="0.25">
      <c r="AG48" s="23"/>
      <c r="AH48" s="22">
        <v>7.07</v>
      </c>
      <c r="AI48" s="22">
        <v>6.52</v>
      </c>
      <c r="AJ48" s="22">
        <v>6.35</v>
      </c>
      <c r="AK48" s="22">
        <v>7.22</v>
      </c>
      <c r="AL48" s="22">
        <v>7.58</v>
      </c>
      <c r="AM48" s="22">
        <v>7.63</v>
      </c>
      <c r="AN48" s="22"/>
      <c r="AO48" s="23"/>
      <c r="AP48" s="22">
        <v>5.7199999999999994E-2</v>
      </c>
      <c r="AQ48" s="22">
        <v>0.1011</v>
      </c>
      <c r="AR48" s="22">
        <v>0.10489999999999999</v>
      </c>
      <c r="AS48" s="22">
        <v>7.5600000000000001E-2</v>
      </c>
      <c r="AT48" s="22">
        <v>4.7200000000000006E-2</v>
      </c>
      <c r="AU48" s="22">
        <v>2.6100000000000002E-2</v>
      </c>
      <c r="AV48" s="22"/>
      <c r="AW48" s="23"/>
      <c r="AX48" s="22">
        <v>4.4157563720622308</v>
      </c>
      <c r="AY48" s="22">
        <v>3.6391781593019985</v>
      </c>
      <c r="AZ48" s="22">
        <v>2.8673732454883987</v>
      </c>
      <c r="BA48" s="22">
        <v>3.3973073617874534</v>
      </c>
      <c r="BB48" s="22">
        <v>3.19965625895159</v>
      </c>
      <c r="BC48" s="22">
        <v>3.1223145230592952</v>
      </c>
      <c r="BD48" s="22"/>
      <c r="BE48" s="23"/>
      <c r="BF48" s="6">
        <v>0.55370985603543743</v>
      </c>
      <c r="BG48" s="6">
        <v>0.33112582781456956</v>
      </c>
      <c r="BH48" s="6">
        <v>1.1076923076923078</v>
      </c>
      <c r="BI48" s="6">
        <v>0.16090104585679807</v>
      </c>
      <c r="BJ48" s="6">
        <v>0.28301886792452829</v>
      </c>
      <c r="BK48" s="6">
        <v>0.33898305084745761</v>
      </c>
    </row>
    <row r="49" spans="33:63" x14ac:dyDescent="0.25">
      <c r="AG49" s="23"/>
      <c r="AH49" s="22">
        <v>6.95</v>
      </c>
      <c r="AI49" s="22">
        <v>6.68</v>
      </c>
      <c r="AJ49" s="22">
        <v>5.95</v>
      </c>
      <c r="AK49" s="22">
        <v>7.65</v>
      </c>
      <c r="AL49" s="22">
        <v>7.32</v>
      </c>
      <c r="AM49" s="22">
        <v>7.67</v>
      </c>
      <c r="AN49" s="22"/>
      <c r="AO49" s="23"/>
      <c r="AP49" s="22">
        <v>5.2399999999999995E-2</v>
      </c>
      <c r="AQ49" s="22">
        <v>8.5900000000000004E-2</v>
      </c>
      <c r="AR49" s="22">
        <v>0.1052</v>
      </c>
      <c r="AS49" s="22">
        <v>8.3900000000000002E-2</v>
      </c>
      <c r="AT49" s="22">
        <v>4.5300000000000007E-2</v>
      </c>
      <c r="AU49" s="22">
        <v>3.15E-2</v>
      </c>
      <c r="AV49" s="22"/>
      <c r="AW49" s="23"/>
      <c r="AX49" s="22">
        <v>5.6074147633234031</v>
      </c>
      <c r="AY49" s="22">
        <v>4.9085280045032365</v>
      </c>
      <c r="AZ49" s="22">
        <v>3.0621598395875109</v>
      </c>
      <c r="BA49" s="22">
        <v>3.0850759094815237</v>
      </c>
      <c r="BB49" s="22">
        <v>3.8212546548266975</v>
      </c>
      <c r="BC49" s="22">
        <v>3.769693497565167</v>
      </c>
      <c r="BD49" s="22"/>
      <c r="BE49" s="23"/>
      <c r="BF49" s="6">
        <v>0.49059689288634506</v>
      </c>
      <c r="BG49" s="6">
        <v>0.46430644225188622</v>
      </c>
      <c r="BH49" s="6">
        <v>0</v>
      </c>
      <c r="BI49" s="6">
        <v>0.22988505747126436</v>
      </c>
      <c r="BJ49" s="6">
        <v>0.19314340898116852</v>
      </c>
      <c r="BK49" s="6">
        <v>0.35087719298245612</v>
      </c>
    </row>
    <row r="50" spans="33:63" x14ac:dyDescent="0.25">
      <c r="AG50" s="23"/>
      <c r="AH50" s="22">
        <v>6.7</v>
      </c>
      <c r="AI50" s="22">
        <v>6.77</v>
      </c>
      <c r="AJ50" s="22">
        <v>6.05</v>
      </c>
      <c r="AK50" s="22">
        <v>7.37</v>
      </c>
      <c r="AL50" s="22">
        <v>7.23</v>
      </c>
      <c r="AM50" s="22">
        <v>7.67</v>
      </c>
      <c r="AN50" s="22"/>
      <c r="AO50" s="23"/>
      <c r="AP50" s="22">
        <v>5.5600000000000004E-2</v>
      </c>
      <c r="AQ50" s="22">
        <v>8.7300000000000003E-2</v>
      </c>
      <c r="AR50" s="22">
        <v>0.1113</v>
      </c>
      <c r="AS50" s="22">
        <v>8.09E-2</v>
      </c>
      <c r="AT50" s="22">
        <v>3.5900000000000001E-2</v>
      </c>
      <c r="AU50" s="22">
        <v>3.4099999999999998E-2</v>
      </c>
      <c r="AV50" s="22"/>
      <c r="AW50" s="23"/>
      <c r="AX50" s="22">
        <v>5.2101952995696799</v>
      </c>
      <c r="AY50" s="22">
        <v>3.96003377427526</v>
      </c>
      <c r="AZ50" s="22">
        <v>2.7986250358063591</v>
      </c>
      <c r="BA50" s="22">
        <v>3.7553709538814091</v>
      </c>
      <c r="BB50" s="22">
        <v>3.2655399598968775</v>
      </c>
      <c r="BC50" s="22">
        <v>3.3199656258951582</v>
      </c>
      <c r="BD50" s="22"/>
      <c r="BE50" s="23"/>
      <c r="BF50" s="6">
        <v>0.35714285714285715</v>
      </c>
      <c r="BG50" s="6">
        <v>0.81267777326290125</v>
      </c>
      <c r="BH50" s="6">
        <v>0.43706293706293708</v>
      </c>
      <c r="BI50" s="6">
        <v>8.4068936527952928E-2</v>
      </c>
      <c r="BJ50" s="6">
        <v>0.23310023310023309</v>
      </c>
      <c r="BK50" s="6">
        <v>0.22710068130204392</v>
      </c>
    </row>
    <row r="51" spans="33:63" x14ac:dyDescent="0.25">
      <c r="AG51" s="23"/>
      <c r="AH51" s="22">
        <v>7.07</v>
      </c>
      <c r="AI51" s="22">
        <v>6.87</v>
      </c>
      <c r="AJ51" s="22">
        <v>6.08</v>
      </c>
      <c r="AK51" s="22">
        <v>7.53</v>
      </c>
      <c r="AL51" s="22">
        <v>7.33</v>
      </c>
      <c r="AM51" s="22">
        <v>7.38</v>
      </c>
      <c r="AN51" s="22"/>
      <c r="AO51" s="23"/>
      <c r="AP51" s="22">
        <v>6.5200000000000008E-2</v>
      </c>
      <c r="AQ51" s="22">
        <v>9.01E-2</v>
      </c>
      <c r="AR51" s="22">
        <v>0.10299999999999999</v>
      </c>
      <c r="AS51" s="22">
        <v>7.7700000000000005E-2</v>
      </c>
      <c r="AT51" s="22">
        <v>4.7E-2</v>
      </c>
      <c r="AU51" s="22">
        <v>2.69E-2</v>
      </c>
      <c r="AV51" s="22"/>
      <c r="AW51" s="23"/>
      <c r="AX51" s="22">
        <v>4.4356173452499172</v>
      </c>
      <c r="AY51" s="22">
        <v>3.7799043062200961</v>
      </c>
      <c r="AZ51" s="22">
        <v>3.1566886279003152</v>
      </c>
      <c r="BA51" s="22">
        <v>3.7668289888284159</v>
      </c>
      <c r="BB51" s="22">
        <v>3.4861071326267541</v>
      </c>
      <c r="BC51" s="22">
        <v>3.2368948725293611</v>
      </c>
      <c r="BD51" s="22"/>
      <c r="BE51" s="23"/>
      <c r="BF51" s="6">
        <v>0.74534161490683226</v>
      </c>
      <c r="BG51" s="6">
        <v>0.69390902081727057</v>
      </c>
      <c r="BH51" s="6">
        <v>0.54249547920433994</v>
      </c>
      <c r="BI51" s="6">
        <v>0.32441200324412001</v>
      </c>
      <c r="BJ51" s="6">
        <v>-0.29629629629629628</v>
      </c>
      <c r="BK51" s="6">
        <v>0.1936108422071636</v>
      </c>
    </row>
    <row r="52" spans="33:63" x14ac:dyDescent="0.25">
      <c r="AG52" s="23"/>
      <c r="AH52" s="22">
        <v>7.03</v>
      </c>
      <c r="AI52" s="22">
        <v>6.47</v>
      </c>
      <c r="AJ52" s="22">
        <v>5.98</v>
      </c>
      <c r="AK52" s="22">
        <v>7.2</v>
      </c>
      <c r="AL52" s="22">
        <v>7.42</v>
      </c>
      <c r="AM52" s="22">
        <v>7.2</v>
      </c>
      <c r="AN52" s="22"/>
      <c r="AO52" s="23"/>
      <c r="AP52" s="22">
        <v>8.1100000000000005E-2</v>
      </c>
      <c r="AQ52" s="22">
        <v>6.8099999999999994E-2</v>
      </c>
      <c r="AR52" s="22">
        <v>0.11260000000000001</v>
      </c>
      <c r="AS52" s="22">
        <v>9.2700000000000005E-2</v>
      </c>
      <c r="AT52" s="22">
        <v>4.5999999999999999E-2</v>
      </c>
      <c r="AU52" s="22">
        <v>3.1199999999999999E-2</v>
      </c>
      <c r="AV52" s="22"/>
      <c r="AW52" s="23"/>
      <c r="AX52" s="22">
        <v>6.3091691492883148</v>
      </c>
      <c r="AY52" s="22">
        <v>3.8727835631860397</v>
      </c>
      <c r="AZ52" s="22">
        <v>3.1509596104268116</v>
      </c>
      <c r="BA52" s="22">
        <v>2.9819535949584646</v>
      </c>
      <c r="BB52" s="22">
        <v>3.431681466628473</v>
      </c>
      <c r="BC52" s="22">
        <v>3.6465196218848472</v>
      </c>
      <c r="BD52" s="22"/>
      <c r="BE52" s="23"/>
      <c r="BF52" s="6">
        <v>1.3648771610555051</v>
      </c>
      <c r="BG52" s="6">
        <v>0.38289725590299939</v>
      </c>
      <c r="BH52" s="6">
        <v>0.6972111553784861</v>
      </c>
      <c r="BI52" s="6">
        <v>0.36968576709796674</v>
      </c>
      <c r="BJ52" s="6">
        <v>0.48426150121065376</v>
      </c>
      <c r="BK52" s="6">
        <v>0.1786511835640911</v>
      </c>
    </row>
    <row r="53" spans="33:63" x14ac:dyDescent="0.25"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6"/>
      <c r="BG53" s="6"/>
      <c r="BH53" s="6"/>
      <c r="BI53" s="6"/>
      <c r="BJ53" s="6"/>
      <c r="BK53" s="6"/>
    </row>
    <row r="54" spans="33:63" x14ac:dyDescent="0.25">
      <c r="AG54" s="23">
        <v>6</v>
      </c>
      <c r="AH54" s="22">
        <v>6.83</v>
      </c>
      <c r="AI54" s="22">
        <v>6.01</v>
      </c>
      <c r="AJ54" s="22">
        <v>5.66</v>
      </c>
      <c r="AK54" s="22">
        <v>6.3999999999999995</v>
      </c>
      <c r="AL54" s="22">
        <v>7.19</v>
      </c>
      <c r="AM54" s="22">
        <v>7.48</v>
      </c>
      <c r="AN54" s="22"/>
      <c r="AO54" s="23">
        <v>6</v>
      </c>
      <c r="AP54" s="22">
        <v>8.1799999999999998E-2</v>
      </c>
      <c r="AQ54" s="22">
        <v>9.7900000000000001E-2</v>
      </c>
      <c r="AR54" s="22">
        <v>7.6899999999999996E-2</v>
      </c>
      <c r="AS54" s="22">
        <v>9.7100000000000006E-2</v>
      </c>
      <c r="AT54" s="22">
        <v>5.5100000000000003E-2</v>
      </c>
      <c r="AU54" s="22">
        <v>2.3400000000000004E-2</v>
      </c>
      <c r="AV54" s="22"/>
      <c r="AW54" s="23">
        <v>6</v>
      </c>
      <c r="AX54" s="22">
        <v>5.5599877262964092</v>
      </c>
      <c r="AY54" s="22">
        <v>4.2204568023833176</v>
      </c>
      <c r="AZ54" s="22">
        <v>3.1213059386433999</v>
      </c>
      <c r="BA54" s="22">
        <v>3.4871939206304536</v>
      </c>
      <c r="BB54" s="22">
        <v>3.3380242048972701</v>
      </c>
      <c r="BC54" s="22">
        <v>2.9355474247115114</v>
      </c>
      <c r="BD54" s="22"/>
      <c r="BE54" s="23">
        <v>24</v>
      </c>
      <c r="BF54" s="6">
        <v>0.55904961565338929</v>
      </c>
      <c r="BG54" s="6">
        <v>0.83102493074792239</v>
      </c>
      <c r="BH54" s="6">
        <v>1.0682945440671499</v>
      </c>
      <c r="BI54" s="6">
        <v>0.73360843649701968</v>
      </c>
      <c r="BJ54" s="6">
        <v>0.26160889470241988</v>
      </c>
      <c r="BK54" s="6">
        <v>0.48338368580060426</v>
      </c>
    </row>
    <row r="55" spans="33:63" x14ac:dyDescent="0.25">
      <c r="AG55" s="23"/>
      <c r="AH55" s="22">
        <v>6.09</v>
      </c>
      <c r="AI55" s="22">
        <v>6.3</v>
      </c>
      <c r="AJ55" s="22">
        <v>6.96</v>
      </c>
      <c r="AK55" s="22">
        <v>6.2999999999999989</v>
      </c>
      <c r="AL55" s="22">
        <v>7.35</v>
      </c>
      <c r="AM55" s="22">
        <v>7.2</v>
      </c>
      <c r="AN55" s="22"/>
      <c r="AO55" s="23"/>
      <c r="AP55" s="22">
        <v>6.7599999999999993E-2</v>
      </c>
      <c r="AQ55" s="22">
        <v>7.9100000000000004E-2</v>
      </c>
      <c r="AR55" s="22">
        <v>8.8700000000000001E-2</v>
      </c>
      <c r="AS55" s="22">
        <v>9.9500000000000005E-2</v>
      </c>
      <c r="AT55" s="22">
        <v>5.5300000000000009E-2</v>
      </c>
      <c r="AU55" s="22">
        <v>2.1600000000000001E-2</v>
      </c>
      <c r="AV55" s="22"/>
      <c r="AW55" s="23"/>
      <c r="AX55" s="22">
        <v>4.9186867137158634</v>
      </c>
      <c r="AY55" s="22">
        <v>5.2399867593512086</v>
      </c>
      <c r="AZ55" s="22">
        <v>3.8221221502955247</v>
      </c>
      <c r="BA55" s="22">
        <v>2.1024486349563749</v>
      </c>
      <c r="BB55" s="22">
        <v>3.1972980579791725</v>
      </c>
      <c r="BC55" s="22">
        <v>3.7151702786377712</v>
      </c>
      <c r="BD55" s="22"/>
      <c r="BE55" s="23"/>
      <c r="BF55" s="6">
        <v>1.4835419564209551</v>
      </c>
      <c r="BG55" s="6">
        <v>0.87964814074370257</v>
      </c>
      <c r="BH55" s="6">
        <v>1.0476190476190477</v>
      </c>
      <c r="BI55" s="6">
        <v>0.61823802163833075</v>
      </c>
      <c r="BJ55" s="6">
        <v>0.50761421319796951</v>
      </c>
      <c r="BK55" s="6">
        <v>0.12795905310300704</v>
      </c>
    </row>
    <row r="56" spans="33:63" x14ac:dyDescent="0.25">
      <c r="AG56" s="23"/>
      <c r="AH56" s="22">
        <v>6.32</v>
      </c>
      <c r="AI56" s="22">
        <v>6.34</v>
      </c>
      <c r="AJ56" s="22">
        <v>6.63</v>
      </c>
      <c r="AK56" s="22">
        <v>6.6999999999999993</v>
      </c>
      <c r="AL56" s="22">
        <v>7.55</v>
      </c>
      <c r="AM56" s="22">
        <v>7.29</v>
      </c>
      <c r="AN56" s="22"/>
      <c r="AO56" s="23"/>
      <c r="AP56" s="22">
        <v>6.4100000000000004E-2</v>
      </c>
      <c r="AQ56" s="22">
        <v>8.0299999999999996E-2</v>
      </c>
      <c r="AR56" s="22">
        <v>0.1008</v>
      </c>
      <c r="AS56" s="22">
        <v>8.9499999999999996E-2</v>
      </c>
      <c r="AT56" s="22">
        <v>5.1999999999999998E-2</v>
      </c>
      <c r="AU56" s="22">
        <v>1.9500000000000003E-2</v>
      </c>
      <c r="AV56" s="22"/>
      <c r="AW56" s="23"/>
      <c r="AX56" s="22">
        <v>4.7529917152500767</v>
      </c>
      <c r="AY56" s="22">
        <v>5.4683879510095998</v>
      </c>
      <c r="AZ56" s="22">
        <v>4.2386715451730934</v>
      </c>
      <c r="BA56" s="22">
        <v>2.47115113988179</v>
      </c>
      <c r="BB56" s="22">
        <v>3.6701379116239803</v>
      </c>
      <c r="BC56" s="22">
        <v>3.5097101041373491</v>
      </c>
      <c r="BD56" s="22"/>
      <c r="BE56" s="23"/>
      <c r="BF56" s="6">
        <v>1.368421052631579</v>
      </c>
      <c r="BG56" s="6">
        <v>0.70237050043898153</v>
      </c>
      <c r="BH56" s="6">
        <v>0.7725736359246741</v>
      </c>
      <c r="BI56" s="6">
        <v>0.63723258989531184</v>
      </c>
      <c r="BJ56" s="6">
        <v>0.53908355795148244</v>
      </c>
      <c r="BK56" s="6">
        <v>0.37476577139287948</v>
      </c>
    </row>
    <row r="57" spans="33:63" x14ac:dyDescent="0.25">
      <c r="AG57" s="23"/>
      <c r="AH57" s="22">
        <v>6.46</v>
      </c>
      <c r="AI57" s="22">
        <v>6.14</v>
      </c>
      <c r="AJ57" s="22">
        <v>6.3</v>
      </c>
      <c r="AK57" s="22">
        <v>6.3999999999999995</v>
      </c>
      <c r="AL57" s="22">
        <v>7.55</v>
      </c>
      <c r="AM57" s="22">
        <v>7.29</v>
      </c>
      <c r="AN57" s="22"/>
      <c r="AO57" s="23"/>
      <c r="AP57" s="22">
        <v>7.0000000000000007E-2</v>
      </c>
      <c r="AQ57" s="22">
        <v>0.1014</v>
      </c>
      <c r="AR57" s="22">
        <v>9.2600000000000002E-2</v>
      </c>
      <c r="AS57" s="22">
        <v>0.10140000000000002</v>
      </c>
      <c r="AT57" s="22">
        <v>6.9700000000000012E-2</v>
      </c>
      <c r="AU57" s="22">
        <v>1.4600000000000002E-2</v>
      </c>
      <c r="AV57" s="22"/>
      <c r="AW57" s="23"/>
      <c r="AX57" s="22">
        <v>5.4403191162933418</v>
      </c>
      <c r="AY57" s="22">
        <v>4.5945051307514078</v>
      </c>
      <c r="AZ57" s="22">
        <v>3.4393470306783005</v>
      </c>
      <c r="BA57" s="22">
        <v>1.9110610751477624</v>
      </c>
      <c r="BB57" s="22">
        <v>3.703912186884323</v>
      </c>
      <c r="BC57" s="22">
        <v>3.4815648747537291</v>
      </c>
      <c r="BD57" s="22"/>
      <c r="BE57" s="23"/>
      <c r="BF57" s="6">
        <v>1.3015184381778742</v>
      </c>
      <c r="BG57" s="6">
        <v>0.54674685620557684</v>
      </c>
      <c r="BH57" s="6">
        <v>0.79483358171882768</v>
      </c>
      <c r="BI57" s="6">
        <v>0.67658998646820023</v>
      </c>
      <c r="BJ57" s="6">
        <v>0.24600246002460024</v>
      </c>
      <c r="BK57" s="6">
        <v>0.1287001287001287</v>
      </c>
    </row>
    <row r="58" spans="33:63" x14ac:dyDescent="0.25">
      <c r="AG58" s="23"/>
      <c r="AH58" s="22">
        <v>7.03</v>
      </c>
      <c r="AI58" s="22">
        <v>6.16</v>
      </c>
      <c r="AJ58" s="22">
        <v>6.49</v>
      </c>
      <c r="AK58" s="22">
        <v>6.5799999999999992</v>
      </c>
      <c r="AL58" s="22">
        <v>7.11</v>
      </c>
      <c r="AM58" s="22">
        <v>7.45</v>
      </c>
      <c r="AN58" s="22"/>
      <c r="AO58" s="23"/>
      <c r="AP58" s="22">
        <v>0.1105</v>
      </c>
      <c r="AQ58" s="22">
        <v>5.3699999999999998E-2</v>
      </c>
      <c r="AR58" s="22">
        <v>0.1051</v>
      </c>
      <c r="AS58" s="22">
        <v>7.7700000000000005E-2</v>
      </c>
      <c r="AT58" s="22">
        <v>3.5400000000000001E-2</v>
      </c>
      <c r="AU58" s="22">
        <v>1.9500000000000003E-2</v>
      </c>
      <c r="AV58" s="22"/>
      <c r="AW58" s="23"/>
      <c r="AX58" s="22">
        <v>4.8174286590978825</v>
      </c>
      <c r="AY58" s="22">
        <v>5.5412115193644498</v>
      </c>
      <c r="AZ58" s="22">
        <v>3.239515902054602</v>
      </c>
      <c r="BA58" s="22">
        <v>2.5302561215873909</v>
      </c>
      <c r="BB58" s="22">
        <v>3.3774275260343374</v>
      </c>
      <c r="BC58" s="22">
        <v>3.2620320855614975</v>
      </c>
      <c r="BD58" s="22"/>
      <c r="BE58" s="23"/>
      <c r="BF58" s="6">
        <v>0.71877807726864329</v>
      </c>
      <c r="BG58" s="6">
        <v>0.60544904137235112</v>
      </c>
      <c r="BH58" s="6">
        <v>0.73327222731439046</v>
      </c>
      <c r="BI58" s="6">
        <v>0.53262316910785623</v>
      </c>
      <c r="BJ58" s="6">
        <v>0.16051364365971107</v>
      </c>
      <c r="BK58" s="6">
        <v>0.29112081513828236</v>
      </c>
    </row>
    <row r="59" spans="33:63" x14ac:dyDescent="0.25">
      <c r="AG59" s="23"/>
      <c r="AH59" s="22">
        <v>6.7</v>
      </c>
      <c r="AI59" s="22">
        <v>6.45</v>
      </c>
      <c r="AJ59" s="22">
        <v>5.68</v>
      </c>
      <c r="AK59" s="22">
        <v>6.3999999999999995</v>
      </c>
      <c r="AL59" s="22">
        <v>7.19</v>
      </c>
      <c r="AM59" s="22">
        <v>7.23</v>
      </c>
      <c r="AN59" s="22"/>
      <c r="AO59" s="23"/>
      <c r="AP59" s="22">
        <v>6.2300000000000001E-2</v>
      </c>
      <c r="AQ59" s="22">
        <v>6.7500000000000004E-2</v>
      </c>
      <c r="AR59" s="22">
        <v>9.8599999999999993E-2</v>
      </c>
      <c r="AS59" s="22">
        <v>7.8699999999999992E-2</v>
      </c>
      <c r="AT59" s="22">
        <v>6.720000000000001E-2</v>
      </c>
      <c r="AU59" s="22">
        <v>2.6100000000000005E-2</v>
      </c>
      <c r="AV59" s="22"/>
      <c r="AW59" s="23"/>
      <c r="AX59" s="22">
        <v>5.8975145750230134</v>
      </c>
      <c r="AY59" s="22">
        <v>5.3326713008937441</v>
      </c>
      <c r="AZ59" s="22">
        <v>3.039684773430904</v>
      </c>
      <c r="BA59" s="22">
        <v>2.4627075710667041</v>
      </c>
      <c r="BB59" s="22">
        <v>3.5772586546580354</v>
      </c>
      <c r="BC59" s="22">
        <v>3.8221221502955247</v>
      </c>
      <c r="BD59" s="22"/>
      <c r="BE59" s="23"/>
      <c r="BF59" s="6">
        <v>1.4127144298688195</v>
      </c>
      <c r="BG59" s="6">
        <v>0.4784688995215311</v>
      </c>
      <c r="BH59" s="6">
        <v>0.62656641604010022</v>
      </c>
      <c r="BI59" s="6">
        <v>0.54200542005420049</v>
      </c>
      <c r="BJ59" s="6">
        <v>0.60544904137235112</v>
      </c>
      <c r="BK59" s="6">
        <v>0.25923525599481528</v>
      </c>
    </row>
    <row r="60" spans="33:63" x14ac:dyDescent="0.25">
      <c r="AG60" s="23"/>
      <c r="AH60" s="22">
        <v>6.93</v>
      </c>
      <c r="AI60" s="22">
        <v>6.64</v>
      </c>
      <c r="AJ60" s="22">
        <v>5.61</v>
      </c>
      <c r="AK60" s="22">
        <v>6.2999999999999989</v>
      </c>
      <c r="AL60" s="22">
        <v>7.41</v>
      </c>
      <c r="AM60" s="22">
        <v>7.3400000000000007</v>
      </c>
      <c r="AN60" s="22"/>
      <c r="AO60" s="23"/>
      <c r="AP60" s="22">
        <v>5.4800000000000001E-2</v>
      </c>
      <c r="AQ60" s="22">
        <v>7.5300000000000006E-2</v>
      </c>
      <c r="AR60" s="22">
        <v>0.10340000000000001</v>
      </c>
      <c r="AS60" s="22">
        <v>8.8499999999999995E-2</v>
      </c>
      <c r="AT60" s="22">
        <v>7.17E-2</v>
      </c>
      <c r="AU60" s="22">
        <v>2.87E-2</v>
      </c>
      <c r="AV60" s="22"/>
      <c r="AW60" s="23"/>
      <c r="AX60" s="22">
        <v>5.7962565204050325</v>
      </c>
      <c r="AY60" s="22">
        <v>4.167494207216154</v>
      </c>
      <c r="AZ60" s="22">
        <v>4.1570503799605971</v>
      </c>
      <c r="BA60" s="22">
        <v>2.1305938643399944</v>
      </c>
      <c r="BB60" s="22">
        <v>3.0706445257528845</v>
      </c>
      <c r="BC60" s="22">
        <v>3.5012665353222632</v>
      </c>
      <c r="BD60" s="22"/>
      <c r="BE60" s="23"/>
      <c r="BF60" s="6">
        <v>0.93333333333333335</v>
      </c>
      <c r="BG60" s="6">
        <v>0.59382422802850354</v>
      </c>
      <c r="BH60" s="6">
        <v>0.74941451990632324</v>
      </c>
      <c r="BI60" s="6">
        <v>0.52539404553415059</v>
      </c>
      <c r="BJ60" s="6">
        <v>0.47309284447072736</v>
      </c>
      <c r="BK60" s="6">
        <v>0.12345679012345678</v>
      </c>
    </row>
    <row r="61" spans="33:63" x14ac:dyDescent="0.25">
      <c r="AG61" s="23"/>
      <c r="AH61" s="22">
        <v>6.18</v>
      </c>
      <c r="AI61" s="22">
        <v>6.32</v>
      </c>
      <c r="AJ61" s="22">
        <v>5.5</v>
      </c>
      <c r="AK61" s="22">
        <v>6.7499999999999991</v>
      </c>
      <c r="AL61" s="22">
        <v>7.56</v>
      </c>
      <c r="AM61" s="22">
        <v>7.19</v>
      </c>
      <c r="AN61" s="22"/>
      <c r="AO61" s="23"/>
      <c r="AP61" s="22">
        <v>9.06E-2</v>
      </c>
      <c r="AQ61" s="22">
        <v>0.1084</v>
      </c>
      <c r="AR61" s="22">
        <v>0.10199999999999999</v>
      </c>
      <c r="AS61" s="22">
        <v>9.0499999999999997E-2</v>
      </c>
      <c r="AT61" s="22">
        <v>7.2499999999999995E-2</v>
      </c>
      <c r="AU61" s="22">
        <v>2.1700000000000001E-2</v>
      </c>
      <c r="AV61" s="22"/>
      <c r="AW61" s="23"/>
      <c r="AX61" s="22">
        <v>5.1610923596195155</v>
      </c>
      <c r="AY61" s="22">
        <v>4.6871896722939423</v>
      </c>
      <c r="AZ61" s="22">
        <v>2.876442443005911</v>
      </c>
      <c r="BA61" s="22">
        <v>1.9110610751477624</v>
      </c>
      <c r="BB61" s="22">
        <v>3.1438221221502953</v>
      </c>
      <c r="BC61" s="22">
        <v>2.9862088376020264</v>
      </c>
      <c r="BD61" s="22"/>
      <c r="BE61" s="23"/>
      <c r="BF61" s="6">
        <v>0.79822616407982261</v>
      </c>
      <c r="BG61" s="6">
        <v>1.021355617455896</v>
      </c>
      <c r="BH61" s="6">
        <v>0.91973244147157196</v>
      </c>
      <c r="BI61" s="6">
        <v>0.58975304091411718</v>
      </c>
      <c r="BJ61" s="6">
        <v>0.63948840927258188</v>
      </c>
      <c r="BK61" s="6">
        <v>0.21253985122210414</v>
      </c>
    </row>
    <row r="62" spans="33:63" x14ac:dyDescent="0.25">
      <c r="AG62" s="23"/>
      <c r="AH62" s="22">
        <v>7.33</v>
      </c>
      <c r="AI62" s="22">
        <v>6.1</v>
      </c>
      <c r="AJ62" s="22">
        <v>6.66</v>
      </c>
      <c r="AK62" s="22">
        <v>6.6499999999999995</v>
      </c>
      <c r="AL62" s="22">
        <v>7.16</v>
      </c>
      <c r="AM62" s="22">
        <v>7.48</v>
      </c>
      <c r="AN62" s="22"/>
      <c r="AO62" s="23"/>
      <c r="AP62" s="22">
        <v>6.4899999999999999E-2</v>
      </c>
      <c r="AQ62" s="22">
        <v>8.9399999999999993E-2</v>
      </c>
      <c r="AR62" s="22">
        <v>0.1041</v>
      </c>
      <c r="AS62" s="22">
        <v>9.69E-2</v>
      </c>
      <c r="AT62" s="22">
        <v>6.4399999999999999E-2</v>
      </c>
      <c r="AU62" s="22">
        <v>2.64E-2</v>
      </c>
      <c r="AV62" s="22"/>
      <c r="AW62" s="23"/>
      <c r="AX62" s="22">
        <v>4.602638846271863</v>
      </c>
      <c r="AY62" s="22">
        <v>4.3958953988745453</v>
      </c>
      <c r="AZ62" s="22">
        <v>4.0388404165493945</v>
      </c>
      <c r="BA62" s="22">
        <v>1.4410357444413171</v>
      </c>
      <c r="BB62" s="22">
        <v>2.6569096538136789</v>
      </c>
      <c r="BC62" s="22">
        <v>3.3661694342808897</v>
      </c>
      <c r="BD62" s="22"/>
      <c r="BE62" s="23"/>
      <c r="BF62" s="6">
        <v>1.4543155232374327</v>
      </c>
      <c r="BG62" s="6">
        <v>1.1286681715575622</v>
      </c>
      <c r="BH62" s="6">
        <v>1.0007147962830594</v>
      </c>
      <c r="BI62" s="6">
        <v>0.48859934853420195</v>
      </c>
      <c r="BJ62" s="6">
        <v>0.3879728419010669</v>
      </c>
      <c r="BK62" s="6">
        <v>0.16057808109193095</v>
      </c>
    </row>
    <row r="63" spans="33:63" x14ac:dyDescent="0.25">
      <c r="AG63" s="23"/>
      <c r="AH63" s="22">
        <v>6.87</v>
      </c>
      <c r="AI63" s="22">
        <v>6.62</v>
      </c>
      <c r="AJ63" s="22">
        <v>6.39</v>
      </c>
      <c r="AK63" s="22">
        <v>6.5499999999999989</v>
      </c>
      <c r="AL63" s="22">
        <v>7.59</v>
      </c>
      <c r="AM63" s="22">
        <v>7.44</v>
      </c>
      <c r="AN63" s="22"/>
      <c r="AO63" s="23"/>
      <c r="AP63" s="22">
        <v>4.8099999999999997E-2</v>
      </c>
      <c r="AQ63" s="22">
        <v>0.1036</v>
      </c>
      <c r="AR63" s="22">
        <v>0.1091</v>
      </c>
      <c r="AS63" s="22">
        <v>9.3899999999999997E-2</v>
      </c>
      <c r="AT63" s="22">
        <v>7.2400000000000006E-2</v>
      </c>
      <c r="AU63" s="22">
        <v>2.3699999999999999E-2</v>
      </c>
      <c r="AV63" s="22"/>
      <c r="AW63" s="23"/>
      <c r="AX63" s="22">
        <v>5.6121509665541582</v>
      </c>
      <c r="AY63" s="22">
        <v>5.3227408142999009</v>
      </c>
      <c r="AZ63" s="22">
        <v>4.5032367013791159</v>
      </c>
      <c r="BA63" s="22">
        <v>2.6175063326766113</v>
      </c>
      <c r="BB63" s="22">
        <v>3.2507739938080493</v>
      </c>
      <c r="BC63" s="22">
        <v>3.8305657191106106</v>
      </c>
      <c r="BD63" s="22"/>
      <c r="BE63" s="23"/>
      <c r="BF63" s="6">
        <v>1.6117216117216118</v>
      </c>
      <c r="BG63" s="6">
        <v>0.81521739130434778</v>
      </c>
      <c r="BH63" s="6">
        <v>1.0443864229765014</v>
      </c>
      <c r="BI63" s="6">
        <v>0.61491160645657184</v>
      </c>
      <c r="BJ63" s="6">
        <v>0.15168752370117558</v>
      </c>
      <c r="BK63" s="6">
        <v>0.51717768747691173</v>
      </c>
    </row>
    <row r="64" spans="33:63" x14ac:dyDescent="0.25">
      <c r="AG64" s="23"/>
      <c r="AH64" s="22">
        <v>6.96</v>
      </c>
      <c r="AI64" s="22">
        <v>6.31</v>
      </c>
      <c r="AJ64" s="22">
        <v>6.86</v>
      </c>
      <c r="AK64" s="22">
        <v>6.6</v>
      </c>
      <c r="AL64" s="22">
        <v>7.23</v>
      </c>
      <c r="AM64" s="22">
        <v>7.16</v>
      </c>
      <c r="AN64" s="22"/>
      <c r="AO64" s="23"/>
      <c r="AP64" s="22">
        <v>6.54E-2</v>
      </c>
      <c r="AQ64" s="22">
        <v>0.1067</v>
      </c>
      <c r="AR64" s="22">
        <v>0.1147</v>
      </c>
      <c r="AS64" s="22">
        <v>9.7799999999999998E-2</v>
      </c>
      <c r="AT64" s="22">
        <v>5.5800000000000002E-2</v>
      </c>
      <c r="AU64" s="22">
        <v>2.5899999999999999E-2</v>
      </c>
      <c r="AV64" s="22"/>
      <c r="AW64" s="23"/>
      <c r="AX64" s="22">
        <v>4.9677815280760971</v>
      </c>
      <c r="AY64" s="22">
        <v>4.7964250248262168</v>
      </c>
      <c r="AZ64" s="22">
        <v>4.4750914719954968</v>
      </c>
      <c r="BA64" s="22">
        <v>3.3802420489726992</v>
      </c>
      <c r="BB64" s="22">
        <v>3.7770897832817338</v>
      </c>
      <c r="BC64" s="22">
        <v>3.2873627920067552</v>
      </c>
      <c r="BD64" s="22"/>
      <c r="BE64" s="23"/>
      <c r="BF64" s="6">
        <v>1.1869436201780414</v>
      </c>
      <c r="BG64" s="6">
        <v>0.92807424593967514</v>
      </c>
      <c r="BH64" s="6">
        <v>0.73293632615666515</v>
      </c>
      <c r="BI64" s="6">
        <v>0.41407867494824019</v>
      </c>
      <c r="BJ64" s="6">
        <v>0.19821605550049554</v>
      </c>
      <c r="BK64" s="6">
        <v>0.17108639863130881</v>
      </c>
    </row>
    <row r="65" spans="33:63" x14ac:dyDescent="0.25">
      <c r="AG65" s="23"/>
      <c r="AH65" s="22">
        <v>5.83</v>
      </c>
      <c r="AI65" s="22">
        <v>6.07</v>
      </c>
      <c r="AJ65" s="22">
        <v>5.94</v>
      </c>
      <c r="AK65" s="22">
        <v>6.419999999999999</v>
      </c>
      <c r="AL65" s="22">
        <v>7.48</v>
      </c>
      <c r="AM65" s="22">
        <v>7.5</v>
      </c>
      <c r="AN65" s="22"/>
      <c r="AO65" s="23"/>
      <c r="AP65" s="22">
        <v>7.0499999999999993E-2</v>
      </c>
      <c r="AQ65" s="22">
        <v>7.7600000000000002E-2</v>
      </c>
      <c r="AR65" s="22">
        <v>9.5799999999999996E-2</v>
      </c>
      <c r="AS65" s="22">
        <v>0.10100000000000001</v>
      </c>
      <c r="AT65" s="22">
        <v>6.5699999999999995E-2</v>
      </c>
      <c r="AU65" s="22">
        <v>2.6100000000000002E-2</v>
      </c>
      <c r="AV65" s="22"/>
      <c r="AW65" s="23"/>
      <c r="AX65" s="22">
        <v>4.8972077324332624</v>
      </c>
      <c r="AY65" s="22">
        <v>4.5051307514068188</v>
      </c>
      <c r="AZ65" s="22">
        <v>4.1232761047002526</v>
      </c>
      <c r="BA65" s="22">
        <v>2.9693216999718555</v>
      </c>
      <c r="BB65" s="22">
        <v>2.4852237545735996</v>
      </c>
      <c r="BC65" s="22">
        <v>3.2704756543765829</v>
      </c>
      <c r="BD65" s="22"/>
      <c r="BE65" s="23"/>
      <c r="BF65" s="6">
        <v>1.3404825737265416</v>
      </c>
      <c r="BG65" s="6">
        <v>0.92024539877300615</v>
      </c>
      <c r="BH65" s="6">
        <v>0.48465266558966075</v>
      </c>
      <c r="BI65" s="6">
        <v>0.53130929791271342</v>
      </c>
      <c r="BJ65" s="6">
        <v>0.26684456304202803</v>
      </c>
      <c r="BK65" s="6">
        <v>0.29910269192422734</v>
      </c>
    </row>
    <row r="66" spans="33:63" x14ac:dyDescent="0.25"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</row>
    <row r="67" spans="33:63" x14ac:dyDescent="0.25">
      <c r="AG67" s="24">
        <v>12</v>
      </c>
      <c r="AH67" s="22">
        <v>5.89</v>
      </c>
      <c r="AI67" s="22">
        <v>6.68</v>
      </c>
      <c r="AJ67" s="22">
        <v>6.22</v>
      </c>
      <c r="AK67" s="22">
        <v>7.12</v>
      </c>
      <c r="AL67" s="22">
        <v>6.7</v>
      </c>
      <c r="AM67" s="22">
        <v>7.13</v>
      </c>
      <c r="AN67" s="22"/>
      <c r="AO67" s="23">
        <v>12</v>
      </c>
      <c r="AP67" s="22">
        <v>5.4100000000000002E-2</v>
      </c>
      <c r="AQ67" s="22">
        <v>4.6699999999999998E-2</v>
      </c>
      <c r="AR67" s="22">
        <v>7.5399999999999995E-2</v>
      </c>
      <c r="AS67" s="22">
        <v>5.5599999999999997E-2</v>
      </c>
      <c r="AT67" s="22">
        <v>4.0599999999999997E-2</v>
      </c>
      <c r="AU67" s="22">
        <v>2.24E-2</v>
      </c>
      <c r="AV67" s="22"/>
      <c r="AW67" s="23">
        <v>12</v>
      </c>
      <c r="AX67" s="22">
        <v>6.6034255599472989</v>
      </c>
      <c r="AY67" s="22">
        <v>5.7532985578398277</v>
      </c>
      <c r="AZ67" s="22">
        <v>3.4028467394902351</v>
      </c>
      <c r="BA67" s="22">
        <v>3.6246276067527319</v>
      </c>
      <c r="BB67" s="22">
        <v>3.7007613373055288</v>
      </c>
      <c r="BC67" s="22">
        <v>4.6309169149288314</v>
      </c>
      <c r="BD67" s="22"/>
      <c r="BE67" s="22"/>
      <c r="BF67" s="22"/>
      <c r="BG67" s="22"/>
      <c r="BH67" s="22"/>
      <c r="BI67" s="22"/>
      <c r="BJ67" s="22"/>
      <c r="BK67" s="22"/>
    </row>
    <row r="68" spans="33:63" x14ac:dyDescent="0.25">
      <c r="AG68" s="24"/>
      <c r="AH68" s="22">
        <v>6.28</v>
      </c>
      <c r="AI68" s="22">
        <v>6.97</v>
      </c>
      <c r="AJ68" s="22">
        <v>5.89</v>
      </c>
      <c r="AK68" s="22">
        <v>6.37</v>
      </c>
      <c r="AL68" s="22">
        <v>7.43</v>
      </c>
      <c r="AM68" s="22">
        <v>6.78</v>
      </c>
      <c r="AN68" s="22"/>
      <c r="AO68" s="23"/>
      <c r="AP68" s="22">
        <v>6.1699999999999998E-2</v>
      </c>
      <c r="AQ68" s="22">
        <v>6.1100000000000002E-2</v>
      </c>
      <c r="AR68" s="22">
        <v>9.8000000000000004E-2</v>
      </c>
      <c r="AS68" s="22">
        <v>4.7899999999999998E-2</v>
      </c>
      <c r="AT68" s="22">
        <v>5.3999999999999999E-2</v>
      </c>
      <c r="AU68" s="22">
        <v>2.6700000000000002E-2</v>
      </c>
      <c r="AV68" s="22"/>
      <c r="AW68" s="23"/>
      <c r="AX68" s="22">
        <v>6.3241106719367588</v>
      </c>
      <c r="AY68" s="22">
        <v>6.8211107701749008</v>
      </c>
      <c r="AZ68" s="22">
        <v>5.8126448195961613</v>
      </c>
      <c r="BA68" s="22">
        <v>4.3528632903012259</v>
      </c>
      <c r="BB68" s="22">
        <v>3.8331678252234367</v>
      </c>
      <c r="BC68" s="22">
        <v>4.442237669645813</v>
      </c>
      <c r="BD68" s="22"/>
      <c r="BE68" s="22"/>
      <c r="BF68" s="22"/>
      <c r="BG68" s="22"/>
      <c r="BH68" s="22"/>
      <c r="BI68" s="22"/>
      <c r="BJ68" s="22"/>
      <c r="BK68" s="22"/>
    </row>
    <row r="69" spans="33:63" x14ac:dyDescent="0.25">
      <c r="AG69" s="24"/>
      <c r="AH69" s="22">
        <v>7.37</v>
      </c>
      <c r="AI69" s="22">
        <v>6.19</v>
      </c>
      <c r="AJ69" s="22">
        <v>6.71</v>
      </c>
      <c r="AK69" s="22">
        <v>7.23</v>
      </c>
      <c r="AL69" s="22">
        <v>6.58</v>
      </c>
      <c r="AM69" s="22">
        <v>7.15</v>
      </c>
      <c r="AN69" s="22"/>
      <c r="AO69" s="23"/>
      <c r="AP69" s="22">
        <v>4.3700000000000003E-2</v>
      </c>
      <c r="AQ69" s="22">
        <v>8.1799999999999998E-2</v>
      </c>
      <c r="AR69" s="22">
        <v>4.8500000000000001E-2</v>
      </c>
      <c r="AS69" s="22">
        <v>0.11550000000000001</v>
      </c>
      <c r="AT69" s="22">
        <v>4.8500000000000001E-2</v>
      </c>
      <c r="AU69" s="22">
        <v>2.8000000000000001E-2</v>
      </c>
      <c r="AV69" s="22"/>
      <c r="AW69" s="23"/>
      <c r="AX69" s="22">
        <v>7.1752305665349141</v>
      </c>
      <c r="AY69" s="22">
        <v>7.2997852101871743</v>
      </c>
      <c r="AZ69" s="22">
        <v>5.2399867593512086</v>
      </c>
      <c r="BA69" s="22">
        <v>3.9721946375372399</v>
      </c>
      <c r="BB69" s="22">
        <v>4.3826547500827537</v>
      </c>
      <c r="BC69" s="22">
        <v>5.0314465408805029</v>
      </c>
      <c r="BD69" s="22"/>
      <c r="BE69" s="22"/>
      <c r="BF69" s="22"/>
      <c r="BG69" s="22"/>
      <c r="BH69" s="22"/>
      <c r="BI69" s="22"/>
      <c r="BJ69" s="22"/>
      <c r="BK69" s="22"/>
    </row>
    <row r="70" spans="33:63" x14ac:dyDescent="0.25">
      <c r="AG70" s="24"/>
      <c r="AH70" s="22">
        <v>7.28</v>
      </c>
      <c r="AI70" s="22">
        <v>6.64</v>
      </c>
      <c r="AJ70" s="22">
        <v>6.09</v>
      </c>
      <c r="AK70" s="22">
        <v>6.77</v>
      </c>
      <c r="AL70" s="22">
        <v>7.4</v>
      </c>
      <c r="AM70" s="22">
        <v>6.7</v>
      </c>
      <c r="AN70" s="22"/>
      <c r="AO70" s="23"/>
      <c r="AP70" s="22">
        <v>2.5000000000000001E-2</v>
      </c>
      <c r="AQ70" s="22">
        <v>3.1199999999999999E-2</v>
      </c>
      <c r="AR70" s="22">
        <v>6.4199999999999993E-2</v>
      </c>
      <c r="AS70" s="22">
        <v>8.72E-2</v>
      </c>
      <c r="AT70" s="22">
        <v>4.7699999999999999E-2</v>
      </c>
      <c r="AU70" s="22">
        <v>2.3E-2</v>
      </c>
      <c r="AV70" s="22"/>
      <c r="AW70" s="23"/>
      <c r="AX70" s="22">
        <v>6.6034255599472989</v>
      </c>
      <c r="AY70" s="22">
        <v>6.8886161399202201</v>
      </c>
      <c r="AZ70" s="22">
        <v>5.8953988745448536</v>
      </c>
      <c r="BA70" s="22">
        <v>3.277060575968223</v>
      </c>
      <c r="BB70" s="22">
        <v>3.7206223104932148</v>
      </c>
      <c r="BC70" s="22">
        <v>5.0777888116517715</v>
      </c>
      <c r="BD70" s="22"/>
      <c r="BE70" s="22"/>
      <c r="BF70" s="22"/>
      <c r="BG70" s="22"/>
      <c r="BH70" s="22"/>
      <c r="BI70" s="22"/>
      <c r="BJ70" s="22"/>
      <c r="BK70" s="22"/>
    </row>
    <row r="71" spans="33:63" x14ac:dyDescent="0.25">
      <c r="AG71" s="24"/>
      <c r="AH71" s="22">
        <v>6.25</v>
      </c>
      <c r="AI71" s="22">
        <v>6.49</v>
      </c>
      <c r="AJ71" s="22">
        <v>6.77</v>
      </c>
      <c r="AK71" s="22">
        <v>6.8</v>
      </c>
      <c r="AL71" s="22">
        <v>7.38</v>
      </c>
      <c r="AM71" s="22">
        <v>7.3</v>
      </c>
      <c r="AN71" s="22"/>
      <c r="AO71" s="23"/>
      <c r="AP71" s="22">
        <v>4.3999999999999997E-2</v>
      </c>
      <c r="AQ71" s="22">
        <v>4.5900000000000003E-2</v>
      </c>
      <c r="AR71" s="22">
        <v>8.3699999999999997E-2</v>
      </c>
      <c r="AS71" s="22">
        <v>0.1172</v>
      </c>
      <c r="AT71" s="22">
        <v>4.3700000000000003E-2</v>
      </c>
      <c r="AU71" s="22">
        <v>2.23E-2</v>
      </c>
      <c r="AV71" s="22"/>
      <c r="AW71" s="23"/>
      <c r="AX71" s="22">
        <v>7.3306982872200264</v>
      </c>
      <c r="AY71" s="22">
        <v>6.3761890150352869</v>
      </c>
      <c r="AZ71" s="22">
        <v>5.8854683879510103</v>
      </c>
      <c r="BA71" s="22">
        <v>4.4852697782191333</v>
      </c>
      <c r="BB71" s="22">
        <v>4.3727242634889114</v>
      </c>
      <c r="BC71" s="22">
        <v>4.9122807017543861</v>
      </c>
      <c r="BD71" s="22"/>
      <c r="BE71" s="22"/>
      <c r="BF71" s="22"/>
      <c r="BG71" s="22"/>
      <c r="BH71" s="22"/>
      <c r="BI71" s="22"/>
      <c r="BJ71" s="22"/>
      <c r="BK71" s="22"/>
    </row>
    <row r="72" spans="33:63" x14ac:dyDescent="0.25">
      <c r="AG72" s="24"/>
      <c r="AH72" s="22">
        <v>6.82</v>
      </c>
      <c r="AI72" s="22">
        <v>5.8</v>
      </c>
      <c r="AJ72" s="22">
        <v>6.32</v>
      </c>
      <c r="AK72" s="22">
        <v>6.56</v>
      </c>
      <c r="AL72" s="22">
        <v>7.03</v>
      </c>
      <c r="AM72" s="22">
        <v>7.08</v>
      </c>
      <c r="AN72" s="22"/>
      <c r="AO72" s="23"/>
      <c r="AP72" s="22">
        <v>8.5300000000000001E-2</v>
      </c>
      <c r="AQ72" s="22">
        <v>9.9900000000000003E-2</v>
      </c>
      <c r="AR72" s="22">
        <v>0.1076</v>
      </c>
      <c r="AS72" s="22">
        <v>0.10589999999999999</v>
      </c>
      <c r="AT72" s="22">
        <v>5.11E-2</v>
      </c>
      <c r="AU72" s="22">
        <v>2.5600000000000001E-2</v>
      </c>
      <c r="AV72" s="22"/>
      <c r="AW72" s="23"/>
      <c r="AX72" s="22">
        <v>6.8880105401844531</v>
      </c>
      <c r="AY72" s="22">
        <v>5.2991715250076705</v>
      </c>
      <c r="AZ72" s="22">
        <v>5.5941741145316124</v>
      </c>
      <c r="BA72" s="22">
        <v>4.5382323733862959</v>
      </c>
      <c r="BB72" s="22">
        <v>4.7633234028467397</v>
      </c>
      <c r="BC72" s="22">
        <v>5.2168156239655739</v>
      </c>
      <c r="BD72" s="22"/>
      <c r="BE72" s="22"/>
      <c r="BF72" s="22"/>
      <c r="BG72" s="22"/>
      <c r="BH72" s="22"/>
      <c r="BI72" s="22"/>
      <c r="BJ72" s="22"/>
      <c r="BK72" s="22"/>
    </row>
    <row r="73" spans="33:63" x14ac:dyDescent="0.25">
      <c r="AG73" s="24"/>
      <c r="AH73" s="22">
        <v>7.07</v>
      </c>
      <c r="AI73" s="22">
        <v>7.11</v>
      </c>
      <c r="AJ73" s="22">
        <v>6.96</v>
      </c>
      <c r="AK73" s="22">
        <v>5.76</v>
      </c>
      <c r="AL73" s="22">
        <v>6.5</v>
      </c>
      <c r="AM73" s="22">
        <v>7.43</v>
      </c>
      <c r="AN73" s="22"/>
      <c r="AO73" s="23"/>
      <c r="AP73" s="22">
        <v>3.6200000000000003E-2</v>
      </c>
      <c r="AQ73" s="22">
        <v>6.6400000000000001E-2</v>
      </c>
      <c r="AR73" s="22">
        <v>8.9300000000000004E-2</v>
      </c>
      <c r="AS73" s="22">
        <v>8.8300000000000003E-2</v>
      </c>
      <c r="AT73" s="22">
        <v>4.6399999999999997E-2</v>
      </c>
      <c r="AU73" s="22">
        <v>2.6700000000000002E-2</v>
      </c>
      <c r="AV73" s="22"/>
      <c r="AW73" s="23"/>
      <c r="AX73" s="22">
        <v>6.3241106719367588</v>
      </c>
      <c r="AY73" s="22">
        <v>6.8978214176127652</v>
      </c>
      <c r="AZ73" s="22">
        <v>6.0311155246607084</v>
      </c>
      <c r="BA73" s="22">
        <v>4.2568685865607412</v>
      </c>
      <c r="BB73" s="22">
        <v>4.9023502151605438</v>
      </c>
      <c r="BC73" s="22">
        <v>5.0380668652763996</v>
      </c>
      <c r="BD73" s="22"/>
      <c r="BE73" s="22"/>
      <c r="BF73" s="22"/>
      <c r="BG73" s="22"/>
      <c r="BH73" s="22"/>
      <c r="BI73" s="22"/>
      <c r="BJ73" s="22"/>
      <c r="BK73" s="22"/>
    </row>
    <row r="74" spans="33:63" x14ac:dyDescent="0.25">
      <c r="AG74" s="24"/>
      <c r="AH74" s="22">
        <v>6.06</v>
      </c>
      <c r="AI74" s="22">
        <v>6.88</v>
      </c>
      <c r="AJ74" s="22">
        <v>5.56</v>
      </c>
      <c r="AK74" s="22">
        <v>6.67</v>
      </c>
      <c r="AL74" s="22">
        <v>7.13</v>
      </c>
      <c r="AM74" s="22">
        <v>7.5</v>
      </c>
      <c r="AN74" s="22"/>
      <c r="AO74" s="23"/>
      <c r="AP74" s="22">
        <v>7.7299999999999994E-2</v>
      </c>
      <c r="AQ74" s="22">
        <v>4.3499999999999997E-2</v>
      </c>
      <c r="AR74" s="22">
        <v>0.1124</v>
      </c>
      <c r="AS74" s="22">
        <v>9.3899999999999997E-2</v>
      </c>
      <c r="AT74" s="22">
        <v>4.7699999999999999E-2</v>
      </c>
      <c r="AU74" s="22">
        <v>2.1000000000000001E-2</v>
      </c>
      <c r="AV74" s="22"/>
      <c r="AW74" s="23"/>
      <c r="AX74" s="22">
        <v>7.025032938076416</v>
      </c>
      <c r="AY74" s="22">
        <v>6.5326787358085303</v>
      </c>
      <c r="AZ74" s="22">
        <v>5.640516385302881</v>
      </c>
      <c r="BA74" s="22">
        <v>3.6775902019198945</v>
      </c>
      <c r="BB74" s="22">
        <v>4.1112214498510431</v>
      </c>
      <c r="BC74" s="22">
        <v>4.4356173452499172</v>
      </c>
      <c r="BD74" s="22"/>
      <c r="BE74" s="22"/>
      <c r="BF74" s="22"/>
      <c r="BG74" s="22"/>
      <c r="BH74" s="22"/>
      <c r="BI74" s="22"/>
      <c r="BJ74" s="22"/>
      <c r="BK74" s="22"/>
    </row>
    <row r="75" spans="33:63" x14ac:dyDescent="0.25">
      <c r="AG75" s="24"/>
      <c r="AH75" s="22">
        <v>6.85</v>
      </c>
      <c r="AI75" s="22">
        <v>7.34</v>
      </c>
      <c r="AJ75" s="22">
        <v>6.02</v>
      </c>
      <c r="AK75" s="22">
        <v>6.02</v>
      </c>
      <c r="AL75" s="22">
        <v>7.05</v>
      </c>
      <c r="AM75" s="22">
        <v>7.08</v>
      </c>
      <c r="AN75" s="22"/>
      <c r="AO75" s="23"/>
      <c r="AP75" s="22">
        <v>2.47E-2</v>
      </c>
      <c r="AQ75" s="22">
        <v>5.4199999999999998E-2</v>
      </c>
      <c r="AR75" s="22">
        <v>9.4100000000000003E-2</v>
      </c>
      <c r="AS75" s="22">
        <v>5.4699999999999999E-2</v>
      </c>
      <c r="AT75" s="22">
        <v>4.2500000000000003E-2</v>
      </c>
      <c r="AU75" s="22">
        <v>2.7199999999999998E-2</v>
      </c>
      <c r="AV75" s="22"/>
      <c r="AW75" s="23"/>
      <c r="AX75" s="22">
        <v>6.4953886693017129</v>
      </c>
      <c r="AY75" s="22">
        <v>5.9650199447683336</v>
      </c>
      <c r="AZ75" s="22">
        <v>5.8225753061900036</v>
      </c>
      <c r="BA75" s="22">
        <v>4.5249917245945062</v>
      </c>
      <c r="BB75" s="22">
        <v>4.0516385302879847</v>
      </c>
      <c r="BC75" s="22">
        <v>4.6507778881165187</v>
      </c>
      <c r="BD75" s="22"/>
      <c r="BE75" s="22"/>
      <c r="BF75" s="22"/>
      <c r="BG75" s="22"/>
      <c r="BH75" s="22"/>
      <c r="BI75" s="22"/>
      <c r="BJ75" s="22"/>
      <c r="BK75" s="22"/>
    </row>
    <row r="76" spans="33:63" x14ac:dyDescent="0.25">
      <c r="AG76" s="24"/>
      <c r="AH76" s="22">
        <v>6.17</v>
      </c>
      <c r="AI76" s="22">
        <v>7.56</v>
      </c>
      <c r="AJ76" s="22">
        <v>5.67</v>
      </c>
      <c r="AK76" s="22">
        <v>7.25</v>
      </c>
      <c r="AL76" s="22">
        <v>7.18</v>
      </c>
      <c r="AM76" s="22">
        <v>7.4</v>
      </c>
      <c r="AN76" s="22"/>
      <c r="AO76" s="23"/>
      <c r="AP76" s="22">
        <v>3.3000000000000002E-2</v>
      </c>
      <c r="AQ76" s="22">
        <v>6.6699999999999995E-2</v>
      </c>
      <c r="AR76" s="22">
        <v>6.5600000000000006E-2</v>
      </c>
      <c r="AS76" s="22">
        <v>3.9E-2</v>
      </c>
      <c r="AT76" s="22">
        <v>5.21E-2</v>
      </c>
      <c r="AU76" s="22">
        <v>2.9499999999999998E-2</v>
      </c>
      <c r="AV76" s="22"/>
      <c r="AW76" s="23"/>
      <c r="AX76" s="22">
        <v>6.974967061923584</v>
      </c>
      <c r="AY76" s="22">
        <v>5.9772936483583914</v>
      </c>
      <c r="AZ76" s="22">
        <v>5.1406818934127774</v>
      </c>
      <c r="BA76" s="22">
        <v>4.4654088050314469</v>
      </c>
      <c r="BB76" s="22">
        <v>4.6110559417411459</v>
      </c>
      <c r="BC76" s="22">
        <v>4.9718636213174445</v>
      </c>
      <c r="BD76" s="22"/>
      <c r="BE76" s="22"/>
      <c r="BF76" s="22"/>
      <c r="BG76" s="22"/>
      <c r="BH76" s="22"/>
      <c r="BI76" s="22"/>
      <c r="BJ76" s="22"/>
      <c r="BK76" s="22"/>
    </row>
    <row r="77" spans="33:63" x14ac:dyDescent="0.25">
      <c r="AG77" s="24"/>
      <c r="AH77" s="22">
        <v>7.39</v>
      </c>
      <c r="AI77" s="22">
        <v>7.41</v>
      </c>
      <c r="AJ77" s="22">
        <v>6.89</v>
      </c>
      <c r="AK77" s="22">
        <v>6</v>
      </c>
      <c r="AL77" s="22">
        <v>6.7</v>
      </c>
      <c r="AM77" s="22">
        <v>7.05</v>
      </c>
      <c r="AN77" s="22"/>
      <c r="AO77" s="23"/>
      <c r="AP77" s="22">
        <v>6.0400000000000002E-2</v>
      </c>
      <c r="AQ77" s="22">
        <v>0.1055</v>
      </c>
      <c r="AR77" s="22">
        <v>7.8700000000000006E-2</v>
      </c>
      <c r="AS77" s="22">
        <v>9.2499999999999999E-2</v>
      </c>
      <c r="AT77" s="22">
        <v>4.4600000000000001E-2</v>
      </c>
      <c r="AU77" s="22">
        <v>2.8899999999999999E-2</v>
      </c>
      <c r="AV77" s="22"/>
      <c r="AW77" s="23"/>
      <c r="AX77" s="22">
        <v>7.5520421607378116</v>
      </c>
      <c r="AY77" s="22">
        <v>6.8333844737649594</v>
      </c>
      <c r="AZ77" s="22">
        <v>5.3955643826547508</v>
      </c>
      <c r="BA77" s="22">
        <v>4.4323071830519698</v>
      </c>
      <c r="BB77" s="22">
        <v>4.4223766964581266</v>
      </c>
      <c r="BC77" s="22">
        <v>4.6904998344918898</v>
      </c>
      <c r="BD77" s="22"/>
      <c r="BE77" s="22"/>
      <c r="BF77" s="22"/>
      <c r="BG77" s="22"/>
      <c r="BH77" s="22"/>
      <c r="BI77" s="22"/>
      <c r="BJ77" s="22"/>
      <c r="BK77" s="22"/>
    </row>
    <row r="78" spans="33:63" x14ac:dyDescent="0.25">
      <c r="AG78" s="24"/>
      <c r="AH78" s="22">
        <v>6.64</v>
      </c>
      <c r="AI78" s="22">
        <v>5.82</v>
      </c>
      <c r="AJ78" s="22">
        <v>5.44</v>
      </c>
      <c r="AK78" s="22">
        <v>6.79</v>
      </c>
      <c r="AL78" s="22">
        <v>7.2</v>
      </c>
      <c r="AM78" s="22">
        <v>7.08</v>
      </c>
      <c r="AN78" s="22"/>
      <c r="AO78" s="23"/>
      <c r="AP78" s="22">
        <v>4.1099999999999998E-2</v>
      </c>
      <c r="AQ78" s="22">
        <v>4.0099999999999997E-2</v>
      </c>
      <c r="AR78" s="22">
        <v>8.4199999999999997E-2</v>
      </c>
      <c r="AS78" s="22">
        <v>7.9200000000000007E-2</v>
      </c>
      <c r="AT78" s="22">
        <v>4.4999999999999998E-2</v>
      </c>
      <c r="AU78" s="22">
        <v>2.75E-2</v>
      </c>
      <c r="AV78" s="22"/>
      <c r="AW78" s="23"/>
      <c r="AX78" s="22">
        <v>6.6324110671936758</v>
      </c>
      <c r="AY78" s="22">
        <v>7.4317275237803004</v>
      </c>
      <c r="AZ78" s="22">
        <v>5.1605428666004638</v>
      </c>
      <c r="BA78" s="22">
        <v>3.9126117179741811</v>
      </c>
      <c r="BB78" s="22">
        <v>3.9622641509433967</v>
      </c>
      <c r="BC78" s="22">
        <v>4.9685534591194971</v>
      </c>
      <c r="BD78" s="22"/>
      <c r="BE78" s="22"/>
      <c r="BF78" s="22"/>
      <c r="BG78" s="22"/>
      <c r="BH78" s="22"/>
      <c r="BI78" s="22"/>
      <c r="BJ78" s="22"/>
      <c r="BK78" s="22"/>
    </row>
    <row r="79" spans="33:63" x14ac:dyDescent="0.25"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</row>
    <row r="80" spans="33:63" x14ac:dyDescent="0.25">
      <c r="AG80" s="23">
        <v>24</v>
      </c>
      <c r="AH80" s="22">
        <v>7.27</v>
      </c>
      <c r="AI80" s="22">
        <v>6.4</v>
      </c>
      <c r="AJ80" s="22">
        <v>6.53</v>
      </c>
      <c r="AK80" s="22">
        <v>6.77</v>
      </c>
      <c r="AL80" s="22">
        <v>7.65</v>
      </c>
      <c r="AM80" s="22">
        <v>7.55</v>
      </c>
      <c r="AN80" s="22"/>
      <c r="AO80" s="23">
        <v>24</v>
      </c>
      <c r="AP80" s="22">
        <v>7.17E-2</v>
      </c>
      <c r="AQ80" s="22">
        <v>5.7000000000000002E-2</v>
      </c>
      <c r="AR80" s="22">
        <v>6.7799999999999999E-2</v>
      </c>
      <c r="AS80" s="22">
        <v>5.8999999999999997E-2</v>
      </c>
      <c r="AT80" s="22">
        <v>4.7300000000000002E-2</v>
      </c>
      <c r="AU80" s="22">
        <v>2.87E-2</v>
      </c>
      <c r="AV80" s="22"/>
      <c r="AW80" s="23">
        <v>24</v>
      </c>
      <c r="AX80" s="22">
        <v>7.8656716417910433</v>
      </c>
      <c r="AY80" s="22">
        <v>5.8895522388059698</v>
      </c>
      <c r="AZ80" s="22">
        <v>5.9920948616600791</v>
      </c>
      <c r="BA80" s="22">
        <v>4.9328063241106719</v>
      </c>
      <c r="BB80" s="22">
        <v>5.2094861660079053</v>
      </c>
      <c r="BC80" s="22">
        <v>5.6258234519104082</v>
      </c>
      <c r="BD80" s="22"/>
      <c r="BE80" s="22"/>
      <c r="BF80" s="22"/>
      <c r="BG80" s="22"/>
      <c r="BH80" s="22"/>
      <c r="BI80" s="22"/>
      <c r="BJ80" s="22"/>
      <c r="BK80" s="22"/>
    </row>
    <row r="81" spans="33:63" x14ac:dyDescent="0.25">
      <c r="AG81" s="23"/>
      <c r="AH81" s="22">
        <v>7.02</v>
      </c>
      <c r="AI81" s="22">
        <v>7.22</v>
      </c>
      <c r="AJ81" s="22">
        <v>5.89</v>
      </c>
      <c r="AK81" s="22">
        <v>7.31</v>
      </c>
      <c r="AL81" s="22">
        <v>7.6</v>
      </c>
      <c r="AM81" s="22">
        <v>7.28</v>
      </c>
      <c r="AN81" s="22"/>
      <c r="AO81" s="23"/>
      <c r="AP81" s="22">
        <v>3.5999999999999997E-2</v>
      </c>
      <c r="AQ81" s="22">
        <v>5.2400000000000002E-2</v>
      </c>
      <c r="AR81" s="22">
        <v>5.7700000000000001E-2</v>
      </c>
      <c r="AS81" s="22">
        <v>5.2900000000000003E-2</v>
      </c>
      <c r="AT81" s="22">
        <v>4.2500000000000003E-2</v>
      </c>
      <c r="AU81" s="22">
        <v>2.4199999999999999E-2</v>
      </c>
      <c r="AV81" s="22"/>
      <c r="AW81" s="23"/>
      <c r="AX81" s="22">
        <v>7.808955223880595</v>
      </c>
      <c r="AY81" s="22">
        <v>7.7164179104477597</v>
      </c>
      <c r="AZ81" s="22">
        <v>6.8010540184453223</v>
      </c>
      <c r="BA81" s="22">
        <v>4.2819499341238467</v>
      </c>
      <c r="BB81" s="22">
        <v>6.1818181818181808</v>
      </c>
      <c r="BC81" s="22">
        <v>6.0395256916996054</v>
      </c>
      <c r="BD81" s="22"/>
      <c r="BE81" s="22"/>
      <c r="BF81" s="22"/>
      <c r="BG81" s="22"/>
      <c r="BH81" s="22"/>
      <c r="BI81" s="22"/>
      <c r="BJ81" s="22"/>
      <c r="BK81" s="22"/>
    </row>
    <row r="82" spans="33:63" x14ac:dyDescent="0.25">
      <c r="AG82" s="23"/>
      <c r="AH82" s="22">
        <v>6.51</v>
      </c>
      <c r="AI82" s="22">
        <v>6.46</v>
      </c>
      <c r="AJ82" s="22">
        <v>7.19</v>
      </c>
      <c r="AK82" s="22">
        <v>6.38</v>
      </c>
      <c r="AL82" s="22">
        <v>7.38</v>
      </c>
      <c r="AM82" s="22">
        <v>7.38</v>
      </c>
      <c r="AN82" s="22"/>
      <c r="AO82" s="23"/>
      <c r="AP82" s="22">
        <v>3.56E-2</v>
      </c>
      <c r="AQ82" s="22">
        <v>6.7199999999999996E-2</v>
      </c>
      <c r="AR82" s="22">
        <v>6.9800000000000001E-2</v>
      </c>
      <c r="AS82" s="22">
        <v>6.6699999999999995E-2</v>
      </c>
      <c r="AT82" s="22">
        <v>4.6800000000000001E-2</v>
      </c>
      <c r="AU82" s="22">
        <v>2.1000000000000001E-2</v>
      </c>
      <c r="AV82" s="22"/>
      <c r="AW82" s="23"/>
      <c r="AX82" s="22">
        <v>7.6179104477611927</v>
      </c>
      <c r="AY82" s="22">
        <v>7.8865671641791035</v>
      </c>
      <c r="AZ82" s="22">
        <v>7.770750988142292</v>
      </c>
      <c r="BA82" s="22">
        <v>4.6060606060606055</v>
      </c>
      <c r="BB82" s="22">
        <v>6.4110671936758905</v>
      </c>
      <c r="BC82" s="22">
        <v>6.516469038208168</v>
      </c>
      <c r="BD82" s="22"/>
      <c r="BE82" s="22"/>
      <c r="BF82" s="22"/>
      <c r="BG82" s="22"/>
      <c r="BH82" s="22"/>
      <c r="BI82" s="22"/>
      <c r="BJ82" s="22"/>
      <c r="BK82" s="22"/>
    </row>
    <row r="83" spans="33:63" x14ac:dyDescent="0.25">
      <c r="AG83" s="23"/>
      <c r="AH83" s="22">
        <v>6.55</v>
      </c>
      <c r="AI83" s="22">
        <v>6.85</v>
      </c>
      <c r="AJ83" s="22">
        <v>6.85</v>
      </c>
      <c r="AK83" s="22">
        <v>7.58</v>
      </c>
      <c r="AL83" s="22">
        <v>7.35</v>
      </c>
      <c r="AM83" s="22">
        <v>6.88</v>
      </c>
      <c r="AN83" s="22"/>
      <c r="AO83" s="23"/>
      <c r="AP83" s="22">
        <v>5.8400000000000001E-2</v>
      </c>
      <c r="AQ83" s="22">
        <v>6.3899999999999998E-2</v>
      </c>
      <c r="AR83" s="22">
        <v>6.1499999999999999E-2</v>
      </c>
      <c r="AS83" s="22">
        <v>7.3099999999999998E-2</v>
      </c>
      <c r="AT83" s="22">
        <v>4.1399999999999999E-2</v>
      </c>
      <c r="AU83" s="22">
        <v>2.52E-2</v>
      </c>
      <c r="AV83" s="22"/>
      <c r="AW83" s="23"/>
      <c r="AX83" s="22">
        <v>7.5940298507462671</v>
      </c>
      <c r="AY83" s="22">
        <v>5.2029850746268655</v>
      </c>
      <c r="AZ83" s="22">
        <v>6.0632411067193672</v>
      </c>
      <c r="BA83" s="22">
        <v>5.1067193675889335</v>
      </c>
      <c r="BB83" s="22">
        <v>5.2542819499341231</v>
      </c>
      <c r="BC83" s="22">
        <v>5.6021080368906446</v>
      </c>
      <c r="BD83" s="22"/>
      <c r="BE83" s="22"/>
      <c r="BF83" s="22"/>
      <c r="BG83" s="22"/>
      <c r="BH83" s="22"/>
      <c r="BI83" s="22"/>
      <c r="BJ83" s="22"/>
      <c r="BK83" s="22"/>
    </row>
    <row r="84" spans="33:63" x14ac:dyDescent="0.25">
      <c r="AG84" s="23"/>
      <c r="AH84" s="22">
        <v>7.21</v>
      </c>
      <c r="AI84" s="22">
        <v>6.8</v>
      </c>
      <c r="AJ84" s="22">
        <v>6.12</v>
      </c>
      <c r="AK84" s="22">
        <v>7.23</v>
      </c>
      <c r="AL84" s="22">
        <v>7.13</v>
      </c>
      <c r="AM84" s="22">
        <v>6.85</v>
      </c>
      <c r="AN84" s="22"/>
      <c r="AO84" s="23"/>
      <c r="AP84" s="22">
        <v>3.2300000000000002E-2</v>
      </c>
      <c r="AQ84" s="22">
        <v>6.0999999999999999E-2</v>
      </c>
      <c r="AR84" s="22">
        <v>4.7500000000000001E-2</v>
      </c>
      <c r="AS84" s="22">
        <v>5.8400000000000001E-2</v>
      </c>
      <c r="AT84" s="22">
        <v>4.7800000000000002E-2</v>
      </c>
      <c r="AU84" s="22">
        <v>2.86E-2</v>
      </c>
      <c r="AV84" s="22"/>
      <c r="AW84" s="23"/>
      <c r="AX84" s="22">
        <v>7.6089552238805966</v>
      </c>
      <c r="AY84" s="22">
        <v>7.1164179104477601</v>
      </c>
      <c r="AZ84" s="22">
        <v>6.9828722002635049</v>
      </c>
      <c r="BA84" s="22">
        <v>6.5322793148880107</v>
      </c>
      <c r="BB84" s="22">
        <v>6.3530961791831349</v>
      </c>
      <c r="BC84" s="22">
        <v>5.5678524374176543</v>
      </c>
      <c r="BD84" s="22"/>
      <c r="BE84" s="22"/>
      <c r="BF84" s="22"/>
      <c r="BG84" s="22"/>
      <c r="BH84" s="22"/>
      <c r="BI84" s="22"/>
      <c r="BJ84" s="22"/>
      <c r="BK84" s="22"/>
    </row>
    <row r="85" spans="33:63" x14ac:dyDescent="0.25">
      <c r="AG85" s="23"/>
      <c r="AH85" s="22">
        <v>7.5</v>
      </c>
      <c r="AI85" s="22">
        <v>7.36</v>
      </c>
      <c r="AJ85" s="22">
        <v>7.8</v>
      </c>
      <c r="AK85" s="22">
        <v>7.69</v>
      </c>
      <c r="AL85" s="22">
        <v>7.53</v>
      </c>
      <c r="AM85" s="22">
        <v>7</v>
      </c>
      <c r="AN85" s="22"/>
      <c r="AO85" s="23"/>
      <c r="AP85" s="22">
        <v>3.1800000000000002E-2</v>
      </c>
      <c r="AQ85" s="22">
        <v>4.4400000000000002E-2</v>
      </c>
      <c r="AR85" s="22">
        <v>7.4800000000000005E-2</v>
      </c>
      <c r="AS85" s="22">
        <v>6.8000000000000005E-2</v>
      </c>
      <c r="AT85" s="22">
        <v>3.8899999999999997E-2</v>
      </c>
      <c r="AU85" s="22">
        <v>2.8000000000000001E-2</v>
      </c>
      <c r="AV85" s="22"/>
      <c r="AW85" s="23"/>
      <c r="AX85" s="22">
        <v>7.5373134328358198</v>
      </c>
      <c r="AY85" s="22">
        <v>5.9880597014925376</v>
      </c>
      <c r="AZ85" s="22">
        <v>5.8629776021080362</v>
      </c>
      <c r="BA85" s="22">
        <v>4.3320158102766797</v>
      </c>
      <c r="BB85" s="22">
        <v>6.4163372859025039</v>
      </c>
      <c r="BC85" s="22">
        <v>5.6811594202898537</v>
      </c>
      <c r="BD85" s="22"/>
      <c r="BE85" s="22"/>
      <c r="BF85" s="22"/>
      <c r="BG85" s="22"/>
      <c r="BH85" s="22"/>
      <c r="BI85" s="22"/>
      <c r="BJ85" s="22"/>
      <c r="BK85" s="22"/>
    </row>
    <row r="86" spans="33:63" x14ac:dyDescent="0.25">
      <c r="AG86" s="23"/>
      <c r="AH86" s="22">
        <v>6.64</v>
      </c>
      <c r="AI86" s="22">
        <v>6.74</v>
      </c>
      <c r="AJ86" s="22">
        <v>6.61</v>
      </c>
      <c r="AK86" s="22">
        <v>6.32</v>
      </c>
      <c r="AL86" s="22">
        <v>7.23</v>
      </c>
      <c r="AM86" s="22">
        <v>7.75</v>
      </c>
      <c r="AN86" s="22"/>
      <c r="AO86" s="23"/>
      <c r="AP86" s="22">
        <v>4.4999999999999998E-2</v>
      </c>
      <c r="AQ86" s="22">
        <v>5.9299999999999999E-2</v>
      </c>
      <c r="AR86" s="22">
        <v>8.5699999999999998E-2</v>
      </c>
      <c r="AS86" s="22">
        <v>4.5400000000000003E-2</v>
      </c>
      <c r="AT86" s="22">
        <v>2.7300000000000001E-2</v>
      </c>
      <c r="AU86" s="22">
        <v>2.8899999999999999E-2</v>
      </c>
      <c r="AV86" s="22"/>
      <c r="AW86" s="23"/>
      <c r="AX86" s="22">
        <v>7.7313432835820892</v>
      </c>
      <c r="AY86" s="22">
        <v>5.8746268656716421</v>
      </c>
      <c r="AZ86" s="22">
        <v>7.0329380764163361</v>
      </c>
      <c r="BA86" s="22">
        <v>4.9828722002635049</v>
      </c>
      <c r="BB86" s="22">
        <v>5.3096179183135703</v>
      </c>
      <c r="BC86" s="22">
        <v>5.8181818181818183</v>
      </c>
      <c r="BD86" s="22"/>
      <c r="BE86" s="22"/>
      <c r="BF86" s="22"/>
      <c r="BG86" s="22"/>
      <c r="BH86" s="22"/>
      <c r="BI86" s="22"/>
      <c r="BJ86" s="22"/>
      <c r="BK86" s="22"/>
    </row>
    <row r="87" spans="33:63" x14ac:dyDescent="0.25">
      <c r="AG87" s="23"/>
      <c r="AH87" s="22">
        <v>5.68</v>
      </c>
      <c r="AI87" s="22">
        <v>6.28</v>
      </c>
      <c r="AJ87" s="22">
        <v>7.16</v>
      </c>
      <c r="AK87" s="22">
        <v>5.92</v>
      </c>
      <c r="AL87" s="22">
        <v>7.4</v>
      </c>
      <c r="AM87" s="22">
        <v>7.25</v>
      </c>
      <c r="AN87" s="22"/>
      <c r="AO87" s="23"/>
      <c r="AP87" s="22">
        <v>4.6199999999999998E-2</v>
      </c>
      <c r="AQ87" s="22">
        <v>3.9600000000000003E-2</v>
      </c>
      <c r="AR87" s="22">
        <v>7.3999999999999996E-2</v>
      </c>
      <c r="AS87" s="22">
        <v>8.6199999999999999E-2</v>
      </c>
      <c r="AT87" s="22">
        <v>4.3900000000000002E-2</v>
      </c>
      <c r="AU87" s="22">
        <v>2.81E-2</v>
      </c>
      <c r="AV87" s="22"/>
      <c r="AW87" s="23"/>
      <c r="AX87" s="22">
        <v>6.6507462686567163</v>
      </c>
      <c r="AY87" s="22">
        <v>7.6865671641791025</v>
      </c>
      <c r="AZ87" s="22">
        <v>6.171277997364955</v>
      </c>
      <c r="BA87" s="22">
        <v>5.8682476943346504</v>
      </c>
      <c r="BB87" s="22">
        <v>5.6600790513833985</v>
      </c>
      <c r="BC87" s="22">
        <v>6.4611330698287217</v>
      </c>
      <c r="BD87" s="22"/>
      <c r="BE87" s="22"/>
      <c r="BF87" s="22"/>
      <c r="BG87" s="22"/>
      <c r="BH87" s="22"/>
      <c r="BI87" s="22"/>
      <c r="BJ87" s="22"/>
      <c r="BK87" s="22"/>
    </row>
    <row r="88" spans="33:63" x14ac:dyDescent="0.25">
      <c r="AG88" s="23"/>
      <c r="AH88" s="22">
        <v>6.64</v>
      </c>
      <c r="AI88" s="22">
        <v>7.2</v>
      </c>
      <c r="AJ88" s="22">
        <v>7.15</v>
      </c>
      <c r="AK88" s="22">
        <v>5.42</v>
      </c>
      <c r="AL88" s="22">
        <v>7.23</v>
      </c>
      <c r="AM88" s="22">
        <v>7.73</v>
      </c>
      <c r="AN88" s="22"/>
      <c r="AO88" s="23"/>
      <c r="AP88" s="22">
        <v>6.0199999999999997E-2</v>
      </c>
      <c r="AQ88" s="22">
        <v>8.2799999999999999E-2</v>
      </c>
      <c r="AR88" s="22">
        <v>8.2900000000000001E-2</v>
      </c>
      <c r="AS88" s="22">
        <v>8.5500000000000007E-2</v>
      </c>
      <c r="AT88" s="22">
        <v>4.5499999999999999E-2</v>
      </c>
      <c r="AU88" s="22">
        <v>2.7E-2</v>
      </c>
      <c r="AV88" s="22"/>
      <c r="AW88" s="23"/>
      <c r="AX88" s="22">
        <v>7.3014925373134334</v>
      </c>
      <c r="AY88" s="22">
        <v>7.2029850746268655</v>
      </c>
      <c r="AZ88" s="22">
        <v>5.8313570487483535</v>
      </c>
      <c r="BA88" s="22">
        <v>5.6811594202898537</v>
      </c>
      <c r="BB88" s="22">
        <v>5.3254281949934121</v>
      </c>
      <c r="BC88" s="22">
        <v>5.6600790513833985</v>
      </c>
      <c r="BD88" s="22"/>
      <c r="BE88" s="22"/>
      <c r="BF88" s="22"/>
      <c r="BG88" s="22"/>
      <c r="BH88" s="22"/>
      <c r="BI88" s="22"/>
      <c r="BJ88" s="22"/>
      <c r="BK88" s="22"/>
    </row>
    <row r="89" spans="33:63" x14ac:dyDescent="0.25">
      <c r="AG89" s="23"/>
      <c r="AH89" s="22">
        <v>7.02</v>
      </c>
      <c r="AI89" s="22">
        <v>6.32</v>
      </c>
      <c r="AJ89" s="22">
        <v>7.68</v>
      </c>
      <c r="AK89" s="22">
        <v>7.36</v>
      </c>
      <c r="AL89" s="22">
        <v>6.95</v>
      </c>
      <c r="AM89" s="22">
        <v>6.85</v>
      </c>
      <c r="AN89" s="22"/>
      <c r="AO89" s="23"/>
      <c r="AP89" s="22">
        <v>5.91E-2</v>
      </c>
      <c r="AQ89" s="22">
        <v>5.6300000000000003E-2</v>
      </c>
      <c r="AR89" s="22">
        <v>5.5199999999999999E-2</v>
      </c>
      <c r="AS89" s="22">
        <v>7.5499999999999998E-2</v>
      </c>
      <c r="AT89" s="22">
        <v>4.2200000000000001E-2</v>
      </c>
      <c r="AU89" s="22">
        <v>2.3900000000000001E-2</v>
      </c>
      <c r="AV89" s="22"/>
      <c r="AW89" s="23"/>
      <c r="AX89" s="22">
        <v>7.4029850746268657</v>
      </c>
      <c r="AY89" s="22">
        <v>8.6417910447761184</v>
      </c>
      <c r="AZ89" s="22">
        <v>6.4321475625823439</v>
      </c>
      <c r="BA89" s="22">
        <v>5.3939393939393927</v>
      </c>
      <c r="BB89" s="22">
        <v>6.1607378129117265</v>
      </c>
      <c r="BC89" s="22">
        <v>6.4110671936758905</v>
      </c>
      <c r="BD89" s="22"/>
      <c r="BE89" s="22"/>
      <c r="BF89" s="22"/>
      <c r="BG89" s="22"/>
      <c r="BH89" s="22"/>
      <c r="BI89" s="22"/>
      <c r="BJ89" s="22"/>
      <c r="BK89" s="22"/>
    </row>
    <row r="90" spans="33:63" x14ac:dyDescent="0.25">
      <c r="AG90" s="23"/>
      <c r="AH90" s="22">
        <v>6.62</v>
      </c>
      <c r="AI90" s="22">
        <v>6.21</v>
      </c>
      <c r="AJ90" s="22">
        <v>7.62</v>
      </c>
      <c r="AK90" s="22">
        <v>6.41</v>
      </c>
      <c r="AL90" s="22">
        <v>7.55</v>
      </c>
      <c r="AM90" s="22">
        <v>6.98</v>
      </c>
      <c r="AN90" s="22"/>
      <c r="AO90" s="23"/>
      <c r="AP90" s="22">
        <v>3.3099999999999997E-2</v>
      </c>
      <c r="AQ90" s="22">
        <v>6.1899999999999997E-2</v>
      </c>
      <c r="AR90" s="22">
        <v>6.7299999999999999E-2</v>
      </c>
      <c r="AS90" s="22">
        <v>7.4700000000000003E-2</v>
      </c>
      <c r="AT90" s="22">
        <v>4.5499999999999999E-2</v>
      </c>
      <c r="AU90" s="22">
        <v>2.7400000000000001E-2</v>
      </c>
      <c r="AV90" s="22"/>
      <c r="AW90" s="23"/>
      <c r="AX90" s="22">
        <v>7.7373134328358191</v>
      </c>
      <c r="AY90" s="22">
        <v>6.5611940298507463</v>
      </c>
      <c r="AZ90" s="22">
        <v>7.5019762845849804</v>
      </c>
      <c r="BA90" s="22">
        <v>5.2437417654808947</v>
      </c>
      <c r="BB90" s="22">
        <v>5.6100131752305664</v>
      </c>
      <c r="BC90" s="22">
        <v>5.9815546772068506</v>
      </c>
      <c r="BD90" s="22"/>
      <c r="BE90" s="22"/>
      <c r="BF90" s="22"/>
      <c r="BG90" s="22"/>
      <c r="BH90" s="22"/>
      <c r="BI90" s="22"/>
      <c r="BJ90" s="22"/>
      <c r="BK90" s="22"/>
    </row>
    <row r="91" spans="33:63" x14ac:dyDescent="0.25">
      <c r="AG91" s="23"/>
      <c r="AH91" s="22">
        <v>6.21</v>
      </c>
      <c r="AI91" s="22">
        <v>6.19</v>
      </c>
      <c r="AJ91" s="22">
        <v>6.24</v>
      </c>
      <c r="AK91" s="22">
        <v>7.09</v>
      </c>
      <c r="AL91" s="22">
        <v>7.75</v>
      </c>
      <c r="AM91" s="22">
        <v>7.35</v>
      </c>
      <c r="AN91" s="22"/>
      <c r="AO91" s="23"/>
      <c r="AP91" s="22">
        <v>5.0900000000000001E-2</v>
      </c>
      <c r="AQ91" s="22">
        <v>6.8599999999999994E-2</v>
      </c>
      <c r="AR91" s="22">
        <v>5.4699999999999999E-2</v>
      </c>
      <c r="AS91" s="22">
        <v>5.3400000000000003E-2</v>
      </c>
      <c r="AT91" s="22">
        <v>3.8699999999999998E-2</v>
      </c>
      <c r="AU91" s="22">
        <v>2.3400000000000001E-2</v>
      </c>
      <c r="AV91" s="22"/>
      <c r="AW91" s="23"/>
      <c r="AX91" s="22">
        <v>6.9253731343283587</v>
      </c>
      <c r="AY91" s="22">
        <v>7.5731343283582095</v>
      </c>
      <c r="AZ91" s="22">
        <v>7.3122529644268761</v>
      </c>
      <c r="BA91" s="22">
        <v>4.6060606060606055</v>
      </c>
      <c r="BB91" s="22">
        <v>6.1396574440052696</v>
      </c>
      <c r="BC91" s="22">
        <v>6.3109354413702237</v>
      </c>
      <c r="BD91" s="22"/>
      <c r="BE91" s="22"/>
      <c r="BF91" s="22"/>
      <c r="BG91" s="22"/>
      <c r="BH91" s="22"/>
      <c r="BI91" s="22"/>
      <c r="BJ91" s="22"/>
      <c r="BK91" s="22"/>
    </row>
  </sheetData>
  <mergeCells count="26">
    <mergeCell ref="AG80:AG91"/>
    <mergeCell ref="AO2:AO13"/>
    <mergeCell ref="AO15:AO26"/>
    <mergeCell ref="AO28:AO39"/>
    <mergeCell ref="AO41:AO52"/>
    <mergeCell ref="AO54:AO65"/>
    <mergeCell ref="AO67:AO78"/>
    <mergeCell ref="AO80:AO91"/>
    <mergeCell ref="AG2:AG13"/>
    <mergeCell ref="AG15:AG26"/>
    <mergeCell ref="AG28:AG39"/>
    <mergeCell ref="AG41:AG52"/>
    <mergeCell ref="AG54:AG65"/>
    <mergeCell ref="AG67:AG78"/>
    <mergeCell ref="AW80:AW91"/>
    <mergeCell ref="BE2:BE13"/>
    <mergeCell ref="BE15:BE26"/>
    <mergeCell ref="BE28:BE39"/>
    <mergeCell ref="BE41:BE52"/>
    <mergeCell ref="BE54:BE65"/>
    <mergeCell ref="AW2:AW13"/>
    <mergeCell ref="AW15:AW26"/>
    <mergeCell ref="AW28:AW40"/>
    <mergeCell ref="AW41:AW52"/>
    <mergeCell ref="AW54:AW65"/>
    <mergeCell ref="AW67:AW78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01536-678D-4D43-A6E9-67D59BB91A02}">
  <dimension ref="A1:AA36"/>
  <sheetViews>
    <sheetView topLeftCell="A10" zoomScale="80" zoomScaleNormal="80" workbookViewId="0">
      <selection activeCell="M45" sqref="M45"/>
    </sheetView>
  </sheetViews>
  <sheetFormatPr defaultRowHeight="13.8" x14ac:dyDescent="0.25"/>
  <cols>
    <col min="2" max="2" width="9.109375" bestFit="1" customWidth="1"/>
  </cols>
  <sheetData>
    <row r="1" spans="1:27" x14ac:dyDescent="0.25">
      <c r="A1" s="1" t="s">
        <v>124</v>
      </c>
    </row>
    <row r="2" spans="1:27" x14ac:dyDescent="0.25">
      <c r="A2" s="16" t="s">
        <v>68</v>
      </c>
      <c r="B2" s="2" t="s">
        <v>54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2" t="s">
        <v>60</v>
      </c>
      <c r="J2" s="17" t="s">
        <v>69</v>
      </c>
      <c r="K2" s="2" t="s">
        <v>54</v>
      </c>
      <c r="L2" s="2" t="s">
        <v>55</v>
      </c>
      <c r="M2" s="2" t="s">
        <v>56</v>
      </c>
      <c r="N2" s="2" t="s">
        <v>57</v>
      </c>
      <c r="O2" s="2" t="s">
        <v>58</v>
      </c>
      <c r="P2" s="2" t="s">
        <v>59</v>
      </c>
      <c r="Q2" s="2" t="s">
        <v>60</v>
      </c>
      <c r="S2" s="1" t="s">
        <v>117</v>
      </c>
      <c r="T2">
        <v>0</v>
      </c>
      <c r="U2">
        <v>2</v>
      </c>
      <c r="V2">
        <v>4</v>
      </c>
      <c r="W2">
        <v>7</v>
      </c>
      <c r="X2">
        <v>10</v>
      </c>
      <c r="Y2">
        <v>15</v>
      </c>
      <c r="Z2">
        <v>21</v>
      </c>
    </row>
    <row r="3" spans="1:27" x14ac:dyDescent="0.25">
      <c r="A3" s="2" t="s">
        <v>3</v>
      </c>
      <c r="B3">
        <v>15.377051973469086</v>
      </c>
      <c r="C3">
        <v>19.108885632447688</v>
      </c>
      <c r="D3">
        <v>18.677019033569163</v>
      </c>
      <c r="E3">
        <v>27.17219919256863</v>
      </c>
      <c r="F3">
        <v>49.118669034381917</v>
      </c>
      <c r="G3">
        <v>39.653156500700319</v>
      </c>
      <c r="H3">
        <v>41.803676362888538</v>
      </c>
      <c r="J3" s="2" t="s">
        <v>3</v>
      </c>
      <c r="K3">
        <v>14.367661706878016</v>
      </c>
      <c r="L3">
        <v>18.524759200526894</v>
      </c>
      <c r="M3">
        <v>25.374289652831266</v>
      </c>
      <c r="N3">
        <v>27.461776713913039</v>
      </c>
      <c r="O3">
        <v>32.378199157431347</v>
      </c>
      <c r="P3">
        <v>34.279890725618777</v>
      </c>
      <c r="Q3">
        <v>47.985801875292061</v>
      </c>
      <c r="S3" s="16" t="s">
        <v>68</v>
      </c>
      <c r="T3">
        <v>15.377051973469086</v>
      </c>
      <c r="U3">
        <v>15.805401590889256</v>
      </c>
      <c r="V3" s="2">
        <v>20.187572292925271</v>
      </c>
      <c r="W3">
        <v>24.016782958815817</v>
      </c>
      <c r="X3">
        <v>44.182494365698972</v>
      </c>
      <c r="Y3">
        <v>40.272773106621699</v>
      </c>
      <c r="Z3">
        <v>38.989707378391806</v>
      </c>
      <c r="AA3">
        <f>Z3/T3</f>
        <v>2.5355775245907339</v>
      </c>
    </row>
    <row r="4" spans="1:27" x14ac:dyDescent="0.25">
      <c r="A4" s="2" t="s">
        <v>2</v>
      </c>
      <c r="J4" s="2" t="s">
        <v>2</v>
      </c>
      <c r="L4">
        <v>19.921392257257551</v>
      </c>
      <c r="N4">
        <v>24.795276280727691</v>
      </c>
      <c r="O4">
        <v>35.637134076683743</v>
      </c>
      <c r="P4">
        <v>33.633427000600427</v>
      </c>
      <c r="Q4">
        <v>46.192284264233848</v>
      </c>
      <c r="S4" s="17" t="s">
        <v>69</v>
      </c>
      <c r="T4">
        <v>14.367661706878016</v>
      </c>
      <c r="U4">
        <v>18.436638956845371</v>
      </c>
      <c r="V4">
        <v>26.047685439524344</v>
      </c>
      <c r="W4">
        <v>24.574657720901879</v>
      </c>
      <c r="X4">
        <v>32.572477056525393</v>
      </c>
      <c r="Y4">
        <v>33.039871440444223</v>
      </c>
      <c r="Z4">
        <v>45.874574592023926</v>
      </c>
      <c r="AA4">
        <f>Z4/T4</f>
        <v>3.1929047000085671</v>
      </c>
    </row>
    <row r="5" spans="1:27" x14ac:dyDescent="0.25">
      <c r="A5" s="2" t="s">
        <v>1</v>
      </c>
      <c r="C5">
        <v>14.78161889362144</v>
      </c>
      <c r="D5">
        <v>21.698125552281379</v>
      </c>
      <c r="E5">
        <v>20.861366725063004</v>
      </c>
      <c r="F5">
        <v>39.246319697016027</v>
      </c>
      <c r="G5">
        <v>40.892389712543078</v>
      </c>
      <c r="H5">
        <v>36.175738393895074</v>
      </c>
      <c r="J5" s="2" t="s">
        <v>1</v>
      </c>
      <c r="L5">
        <v>18.261954967227009</v>
      </c>
      <c r="M5">
        <v>29.464523528365426</v>
      </c>
      <c r="N5">
        <v>24.299214496820444</v>
      </c>
      <c r="O5">
        <v>31.516551096417722</v>
      </c>
      <c r="P5">
        <v>32.23659934952736</v>
      </c>
      <c r="Q5">
        <v>50.762666711501311</v>
      </c>
      <c r="S5" s="17" t="s">
        <v>70</v>
      </c>
      <c r="T5">
        <v>16.811049405659688</v>
      </c>
      <c r="U5">
        <v>16.65471054274499</v>
      </c>
      <c r="V5">
        <v>12.827080435255345</v>
      </c>
      <c r="W5">
        <v>15.020904538787351</v>
      </c>
      <c r="X5">
        <v>20.985607776601203</v>
      </c>
      <c r="Y5">
        <v>21.035745296259517</v>
      </c>
      <c r="Z5">
        <v>25.275960511745666</v>
      </c>
      <c r="AA5">
        <f>Z5/T5</f>
        <v>1.5035325815672245</v>
      </c>
    </row>
    <row r="6" spans="1:27" x14ac:dyDescent="0.25">
      <c r="A6" s="2" t="s">
        <v>0</v>
      </c>
      <c r="C6">
        <v>13.525700246598635</v>
      </c>
      <c r="J6" s="2" t="s">
        <v>0</v>
      </c>
      <c r="L6">
        <v>17.038449402370041</v>
      </c>
      <c r="M6">
        <v>23.304243137376332</v>
      </c>
      <c r="N6">
        <v>21.742363392146345</v>
      </c>
      <c r="O6">
        <v>30.758023895568755</v>
      </c>
      <c r="P6">
        <v>32.009568686030313</v>
      </c>
      <c r="Q6">
        <v>38.557545517068498</v>
      </c>
      <c r="S6" s="17" t="s">
        <v>71</v>
      </c>
      <c r="T6">
        <v>17.244572659691865</v>
      </c>
      <c r="U6">
        <v>15.97946601455836</v>
      </c>
      <c r="V6">
        <v>13.674185375605077</v>
      </c>
      <c r="W6">
        <v>16.029111986225974</v>
      </c>
      <c r="X6">
        <v>30.862129832762559</v>
      </c>
      <c r="Y6">
        <v>32.170260054429072</v>
      </c>
      <c r="Z6">
        <v>38.194526043254477</v>
      </c>
      <c r="AA6">
        <f>Z6/T6</f>
        <v>2.2148722845728641</v>
      </c>
    </row>
    <row r="7" spans="1:27" x14ac:dyDescent="0.25">
      <c r="A7" s="1" t="s">
        <v>121</v>
      </c>
      <c r="B7" s="2">
        <f>AVERAGE(B3:B6)</f>
        <v>15.377051973469086</v>
      </c>
      <c r="C7" s="2">
        <f t="shared" ref="C7:Q7" si="0">AVERAGE(C3:C6)</f>
        <v>15.805401590889256</v>
      </c>
      <c r="D7" s="2">
        <f t="shared" si="0"/>
        <v>20.187572292925271</v>
      </c>
      <c r="E7" s="2">
        <f t="shared" si="0"/>
        <v>24.016782958815817</v>
      </c>
      <c r="F7" s="2">
        <f t="shared" si="0"/>
        <v>44.182494365698972</v>
      </c>
      <c r="G7" s="2">
        <f t="shared" si="0"/>
        <v>40.272773106621699</v>
      </c>
      <c r="H7" s="2">
        <f t="shared" si="0"/>
        <v>38.989707378391806</v>
      </c>
      <c r="I7" s="2" t="e">
        <f t="shared" si="0"/>
        <v>#DIV/0!</v>
      </c>
      <c r="J7" s="2" t="e">
        <f t="shared" si="0"/>
        <v>#DIV/0!</v>
      </c>
      <c r="K7" s="2">
        <f>AVERAGE(K3:K6)</f>
        <v>14.367661706878016</v>
      </c>
      <c r="L7" s="2">
        <f t="shared" si="0"/>
        <v>18.436638956845371</v>
      </c>
      <c r="M7" s="2">
        <f t="shared" si="0"/>
        <v>26.047685439524344</v>
      </c>
      <c r="N7" s="2">
        <f t="shared" si="0"/>
        <v>24.574657720901879</v>
      </c>
      <c r="O7" s="2">
        <f t="shared" si="0"/>
        <v>32.572477056525393</v>
      </c>
      <c r="P7" s="2">
        <f t="shared" si="0"/>
        <v>33.039871440444223</v>
      </c>
      <c r="Q7" s="2">
        <f t="shared" si="0"/>
        <v>45.874574592023926</v>
      </c>
      <c r="S7" s="18" t="s">
        <v>72</v>
      </c>
      <c r="T7">
        <v>13.76591995232627</v>
      </c>
      <c r="U7">
        <v>15.73586651543819</v>
      </c>
      <c r="V7">
        <v>19.886486007796201</v>
      </c>
      <c r="W7">
        <v>18.339481157861147</v>
      </c>
      <c r="X7">
        <v>35.151242777729124</v>
      </c>
      <c r="Y7">
        <v>37.056512788861582</v>
      </c>
      <c r="Z7">
        <v>44.385408969739501</v>
      </c>
      <c r="AA7">
        <f>Z7/T7</f>
        <v>3.2242966051999247</v>
      </c>
    </row>
    <row r="8" spans="1:27" x14ac:dyDescent="0.25">
      <c r="A8" s="1" t="s">
        <v>123</v>
      </c>
      <c r="B8">
        <f>STDEVP(B3:B6)</f>
        <v>0</v>
      </c>
      <c r="C8">
        <f t="shared" ref="C8:Q8" si="1">STDEVP(C3:C6)</f>
        <v>2.3915250394686351</v>
      </c>
      <c r="D8">
        <f t="shared" si="1"/>
        <v>1.510553259356108</v>
      </c>
      <c r="E8">
        <f t="shared" si="1"/>
        <v>3.1554162337528151</v>
      </c>
      <c r="F8">
        <f t="shared" si="1"/>
        <v>4.9361746686829244</v>
      </c>
      <c r="G8">
        <f t="shared" si="1"/>
        <v>0.61961660592137946</v>
      </c>
      <c r="H8">
        <f t="shared" si="1"/>
        <v>2.8139689844967322</v>
      </c>
      <c r="I8" t="e">
        <f t="shared" si="1"/>
        <v>#DIV/0!</v>
      </c>
      <c r="J8" t="e">
        <f t="shared" si="1"/>
        <v>#DIV/0!</v>
      </c>
      <c r="K8">
        <f>STDEVP(K3:K6)</f>
        <v>0</v>
      </c>
      <c r="L8">
        <f t="shared" si="1"/>
        <v>1.0244152071919206</v>
      </c>
      <c r="M8">
        <f t="shared" si="1"/>
        <v>2.5596041410151917</v>
      </c>
      <c r="N8">
        <f t="shared" si="1"/>
        <v>2.0298946255371564</v>
      </c>
      <c r="O8">
        <f t="shared" si="1"/>
        <v>1.8599117223551969</v>
      </c>
      <c r="P8">
        <f t="shared" si="1"/>
        <v>0.94825179256302972</v>
      </c>
      <c r="Q8">
        <f t="shared" si="1"/>
        <v>4.5274324713260903</v>
      </c>
    </row>
    <row r="10" spans="1:27" x14ac:dyDescent="0.25">
      <c r="A10" s="17" t="s">
        <v>70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2" t="s">
        <v>60</v>
      </c>
      <c r="J10" s="17" t="s">
        <v>71</v>
      </c>
      <c r="K10" s="2" t="s">
        <v>54</v>
      </c>
      <c r="L10" s="2" t="s">
        <v>55</v>
      </c>
      <c r="M10" s="2" t="s">
        <v>56</v>
      </c>
      <c r="N10" s="2" t="s">
        <v>57</v>
      </c>
      <c r="O10" s="2" t="s">
        <v>58</v>
      </c>
      <c r="P10" s="2" t="s">
        <v>59</v>
      </c>
      <c r="Q10" s="2" t="s">
        <v>60</v>
      </c>
    </row>
    <row r="11" spans="1:27" x14ac:dyDescent="0.25">
      <c r="A11" s="2" t="s">
        <v>3</v>
      </c>
      <c r="B11">
        <v>16.811049405659688</v>
      </c>
      <c r="C11">
        <v>17.425584303111005</v>
      </c>
      <c r="D11">
        <v>13.600852765805433</v>
      </c>
      <c r="E11">
        <v>15.683805674155808</v>
      </c>
      <c r="F11">
        <v>20.118532208077713</v>
      </c>
      <c r="G11">
        <v>21.431454218420839</v>
      </c>
      <c r="H11">
        <v>28.853658882809526</v>
      </c>
      <c r="J11" s="2" t="s">
        <v>3</v>
      </c>
      <c r="K11">
        <v>17.244572659691865</v>
      </c>
      <c r="L11">
        <v>16.596764727834127</v>
      </c>
      <c r="M11">
        <v>12.666651207892997</v>
      </c>
      <c r="N11">
        <v>16.414576266215011</v>
      </c>
      <c r="O11">
        <v>29.320752009112706</v>
      </c>
      <c r="P11">
        <v>28.356349573374871</v>
      </c>
      <c r="Q11">
        <v>29.574875036383023</v>
      </c>
    </row>
    <row r="12" spans="1:27" x14ac:dyDescent="0.25">
      <c r="A12" s="2" t="s">
        <v>2</v>
      </c>
      <c r="C12">
        <v>16.19223491677165</v>
      </c>
      <c r="D12">
        <v>12.661256691588326</v>
      </c>
      <c r="E12">
        <v>14.655848787896575</v>
      </c>
      <c r="F12">
        <v>21.760682249267234</v>
      </c>
      <c r="G12">
        <v>20.296615016078807</v>
      </c>
      <c r="H12">
        <v>22.994460114304673</v>
      </c>
      <c r="J12" s="2" t="s">
        <v>2</v>
      </c>
      <c r="L12">
        <v>16.49030299025743</v>
      </c>
      <c r="M12">
        <v>13.966247084035347</v>
      </c>
      <c r="N12">
        <v>15.643647706236937</v>
      </c>
      <c r="O12">
        <v>32.506699015045662</v>
      </c>
      <c r="P12">
        <v>35.863024215527247</v>
      </c>
      <c r="Q12">
        <v>44.201802777589968</v>
      </c>
    </row>
    <row r="13" spans="1:27" x14ac:dyDescent="0.25">
      <c r="A13" s="2" t="s">
        <v>1</v>
      </c>
      <c r="C13">
        <v>16.346312408352311</v>
      </c>
      <c r="D13">
        <v>12.219131848372273</v>
      </c>
      <c r="E13">
        <v>14.723059154309668</v>
      </c>
      <c r="F13">
        <v>21.077608872458669</v>
      </c>
      <c r="G13">
        <v>21.379166654278901</v>
      </c>
      <c r="H13">
        <v>23.979762538122792</v>
      </c>
      <c r="J13" s="2" t="s">
        <v>1</v>
      </c>
      <c r="L13">
        <v>15.409362774563409</v>
      </c>
      <c r="M13">
        <v>14.38965783488689</v>
      </c>
      <c r="O13">
        <v>30.758938474129305</v>
      </c>
      <c r="P13">
        <v>32.29140637438509</v>
      </c>
      <c r="Q13">
        <v>40.806900315790443</v>
      </c>
    </row>
    <row r="14" spans="1:27" x14ac:dyDescent="0.25">
      <c r="A14" s="2" t="s">
        <v>0</v>
      </c>
      <c r="J14" s="2" t="s">
        <v>0</v>
      </c>
      <c r="L14">
        <v>15.421433565578475</v>
      </c>
    </row>
    <row r="15" spans="1:27" x14ac:dyDescent="0.25">
      <c r="A15" s="1" t="s">
        <v>121</v>
      </c>
      <c r="B15" s="2">
        <f>AVERAGE(B11:B14)</f>
        <v>16.811049405659688</v>
      </c>
      <c r="C15" s="2">
        <f t="shared" ref="C15:Q15" si="2">AVERAGE(C11:C14)</f>
        <v>16.65471054274499</v>
      </c>
      <c r="D15" s="2">
        <f t="shared" si="2"/>
        <v>12.827080435255345</v>
      </c>
      <c r="E15" s="2">
        <f t="shared" si="2"/>
        <v>15.020904538787351</v>
      </c>
      <c r="F15" s="2">
        <f t="shared" si="2"/>
        <v>20.985607776601203</v>
      </c>
      <c r="G15" s="2">
        <f t="shared" si="2"/>
        <v>21.035745296259517</v>
      </c>
      <c r="H15" s="2">
        <f t="shared" si="2"/>
        <v>25.275960511745666</v>
      </c>
      <c r="I15" s="2" t="e">
        <f t="shared" si="2"/>
        <v>#DIV/0!</v>
      </c>
      <c r="J15" s="2" t="e">
        <f t="shared" si="2"/>
        <v>#DIV/0!</v>
      </c>
      <c r="K15" s="2">
        <f>AVERAGE(K11:K14)</f>
        <v>17.244572659691865</v>
      </c>
      <c r="L15" s="2">
        <f t="shared" si="2"/>
        <v>15.97946601455836</v>
      </c>
      <c r="M15" s="2">
        <f t="shared" si="2"/>
        <v>13.674185375605077</v>
      </c>
      <c r="N15" s="2">
        <f t="shared" si="2"/>
        <v>16.029111986225974</v>
      </c>
      <c r="O15" s="2">
        <f t="shared" si="2"/>
        <v>30.862129832762559</v>
      </c>
      <c r="P15" s="2">
        <f t="shared" si="2"/>
        <v>32.170260054429072</v>
      </c>
      <c r="Q15" s="2">
        <f t="shared" si="2"/>
        <v>38.194526043254477</v>
      </c>
    </row>
    <row r="16" spans="1:27" x14ac:dyDescent="0.25">
      <c r="A16" s="1" t="s">
        <v>123</v>
      </c>
      <c r="B16">
        <f>STDEVP(B11:B14)</f>
        <v>0</v>
      </c>
      <c r="C16">
        <f t="shared" ref="C16:Q16" si="3">STDEVP(C11:C14)</f>
        <v>0.54870741090225206</v>
      </c>
      <c r="D16">
        <f t="shared" si="3"/>
        <v>0.57614310079521747</v>
      </c>
      <c r="E16">
        <f t="shared" si="3"/>
        <v>0.46954427891516121</v>
      </c>
      <c r="F16">
        <f t="shared" si="3"/>
        <v>0.67355392789487234</v>
      </c>
      <c r="G16">
        <f t="shared" si="3"/>
        <v>0.52307977444553277</v>
      </c>
      <c r="H16">
        <f t="shared" si="3"/>
        <v>2.5615944829122914</v>
      </c>
      <c r="I16" t="e">
        <f t="shared" si="3"/>
        <v>#DIV/0!</v>
      </c>
      <c r="J16" t="e">
        <f t="shared" si="3"/>
        <v>#DIV/0!</v>
      </c>
      <c r="K16">
        <f>STDEVP(K11:K14)</f>
        <v>0</v>
      </c>
      <c r="L16">
        <f t="shared" si="3"/>
        <v>0.56533840209217145</v>
      </c>
      <c r="M16">
        <f t="shared" si="3"/>
        <v>0.73310435378811001</v>
      </c>
      <c r="N16">
        <f t="shared" si="3"/>
        <v>0.3854642799890371</v>
      </c>
      <c r="O16">
        <f t="shared" si="3"/>
        <v>1.3027025558496266</v>
      </c>
      <c r="P16">
        <f t="shared" si="3"/>
        <v>3.0657841160038801</v>
      </c>
      <c r="Q16">
        <f t="shared" si="3"/>
        <v>6.250606812754425</v>
      </c>
    </row>
    <row r="18" spans="1:18" x14ac:dyDescent="0.25">
      <c r="A18" s="18" t="s">
        <v>72</v>
      </c>
      <c r="B18" s="2" t="s">
        <v>54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2" t="s">
        <v>60</v>
      </c>
      <c r="J18" s="1" t="s">
        <v>79</v>
      </c>
      <c r="K18">
        <v>0</v>
      </c>
      <c r="L18">
        <v>2</v>
      </c>
      <c r="M18">
        <v>4</v>
      </c>
      <c r="N18">
        <v>7</v>
      </c>
      <c r="O18">
        <v>10</v>
      </c>
      <c r="P18">
        <v>15</v>
      </c>
      <c r="Q18">
        <v>21</v>
      </c>
    </row>
    <row r="19" spans="1:18" x14ac:dyDescent="0.25">
      <c r="A19" s="2" t="s">
        <v>3</v>
      </c>
      <c r="B19">
        <v>13.76591995232627</v>
      </c>
      <c r="C19">
        <v>14.788777918859774</v>
      </c>
      <c r="D19">
        <v>16.149899782221695</v>
      </c>
      <c r="E19">
        <v>16.496694768543243</v>
      </c>
      <c r="F19">
        <v>31.961424030696488</v>
      </c>
      <c r="G19">
        <v>36.366377470569326</v>
      </c>
      <c r="H19">
        <v>37.721681340961794</v>
      </c>
      <c r="J19" s="16" t="s">
        <v>68</v>
      </c>
      <c r="K19">
        <v>0</v>
      </c>
      <c r="L19">
        <v>2.3915250394686351</v>
      </c>
      <c r="M19">
        <v>1.510553259356108</v>
      </c>
      <c r="N19">
        <v>3.1554162337528151</v>
      </c>
      <c r="O19">
        <v>4.9361746686829244</v>
      </c>
      <c r="P19">
        <v>0.61961660592137946</v>
      </c>
      <c r="Q19">
        <v>2.8139689844967322</v>
      </c>
    </row>
    <row r="20" spans="1:18" x14ac:dyDescent="0.25">
      <c r="A20" s="2" t="s">
        <v>2</v>
      </c>
      <c r="C20">
        <v>18.937739651980174</v>
      </c>
      <c r="D20">
        <v>20.00652553793201</v>
      </c>
      <c r="E20">
        <v>20.360867320135981</v>
      </c>
      <c r="F20">
        <v>35.731845957924946</v>
      </c>
      <c r="G20">
        <v>34.996179812142095</v>
      </c>
      <c r="H20">
        <v>44.829732266880306</v>
      </c>
      <c r="J20" s="17" t="s">
        <v>69</v>
      </c>
      <c r="K20">
        <v>0</v>
      </c>
      <c r="L20">
        <v>1.0244152071919206</v>
      </c>
      <c r="M20">
        <v>2.5596041410151917</v>
      </c>
      <c r="N20">
        <v>2.0298946255371564</v>
      </c>
      <c r="O20">
        <v>1.8599117223551969</v>
      </c>
      <c r="P20">
        <v>0.94825179256302972</v>
      </c>
      <c r="Q20">
        <v>4.5274324713260903</v>
      </c>
    </row>
    <row r="21" spans="1:18" x14ac:dyDescent="0.25">
      <c r="A21" s="2" t="s">
        <v>1</v>
      </c>
      <c r="C21">
        <v>13.775374866044949</v>
      </c>
      <c r="D21">
        <v>17.075011340467341</v>
      </c>
      <c r="F21">
        <v>36.453824918310374</v>
      </c>
      <c r="G21">
        <v>39.153838784110313</v>
      </c>
      <c r="H21">
        <v>37.100861347775414</v>
      </c>
      <c r="J21" s="17" t="s">
        <v>70</v>
      </c>
      <c r="K21">
        <v>0</v>
      </c>
      <c r="L21">
        <v>0.54870741090225206</v>
      </c>
      <c r="M21">
        <v>0.57614310079521747</v>
      </c>
      <c r="N21">
        <v>0.46954427891516121</v>
      </c>
      <c r="O21">
        <v>0.67355392789487234</v>
      </c>
      <c r="P21">
        <v>0.52307977444553277</v>
      </c>
      <c r="Q21">
        <v>2.5615944829122914</v>
      </c>
    </row>
    <row r="22" spans="1:18" x14ac:dyDescent="0.25">
      <c r="A22" s="2" t="s">
        <v>0</v>
      </c>
      <c r="C22">
        <v>15.441573624867864</v>
      </c>
      <c r="D22">
        <v>26.314507370563764</v>
      </c>
      <c r="E22">
        <v>18.160881384904226</v>
      </c>
      <c r="F22">
        <v>36.457876203984668</v>
      </c>
      <c r="G22">
        <v>37.709655088624608</v>
      </c>
      <c r="H22">
        <v>57.889360923340504</v>
      </c>
      <c r="J22" s="17" t="s">
        <v>71</v>
      </c>
      <c r="K22">
        <v>0</v>
      </c>
      <c r="L22">
        <v>0.56533840209217145</v>
      </c>
      <c r="M22">
        <v>0.73310435378811001</v>
      </c>
      <c r="N22">
        <v>0.3854642799890371</v>
      </c>
      <c r="O22">
        <v>1.3027025558496266</v>
      </c>
      <c r="P22">
        <v>3.0657841160038801</v>
      </c>
      <c r="Q22">
        <v>6.250606812754425</v>
      </c>
    </row>
    <row r="23" spans="1:18" x14ac:dyDescent="0.25">
      <c r="A23" s="1" t="s">
        <v>121</v>
      </c>
      <c r="B23" s="2">
        <f>AVERAGE(B19:B22)</f>
        <v>13.76591995232627</v>
      </c>
      <c r="C23" s="2">
        <f t="shared" ref="C23:H23" si="4">AVERAGE(C19:C22)</f>
        <v>15.73586651543819</v>
      </c>
      <c r="D23" s="2">
        <f t="shared" si="4"/>
        <v>19.886486007796201</v>
      </c>
      <c r="E23" s="2">
        <f t="shared" si="4"/>
        <v>18.339481157861147</v>
      </c>
      <c r="F23" s="2">
        <f t="shared" si="4"/>
        <v>35.151242777729124</v>
      </c>
      <c r="G23" s="2">
        <f t="shared" si="4"/>
        <v>37.056512788861582</v>
      </c>
      <c r="H23" s="2">
        <f t="shared" si="4"/>
        <v>44.385408969739501</v>
      </c>
      <c r="J23" s="18" t="s">
        <v>72</v>
      </c>
      <c r="K23">
        <v>0</v>
      </c>
      <c r="L23">
        <v>1.9415911133049575</v>
      </c>
      <c r="M23">
        <v>3.9749319036675521</v>
      </c>
      <c r="N23">
        <v>1.5825887623965742</v>
      </c>
      <c r="O23">
        <v>1.865211438104531</v>
      </c>
      <c r="P23">
        <v>1.5448810574440632</v>
      </c>
      <c r="Q23">
        <v>8.366959446608222</v>
      </c>
    </row>
    <row r="24" spans="1:18" x14ac:dyDescent="0.25">
      <c r="A24" s="1" t="s">
        <v>123</v>
      </c>
      <c r="B24">
        <f>STDEVP(B19:B22)</f>
        <v>0</v>
      </c>
      <c r="C24">
        <f t="shared" ref="C24:H24" si="5">STDEVP(C19:C22)</f>
        <v>1.9415911133049575</v>
      </c>
      <c r="D24">
        <f t="shared" si="5"/>
        <v>3.9749319036675521</v>
      </c>
      <c r="E24">
        <f t="shared" si="5"/>
        <v>1.5825887623965742</v>
      </c>
      <c r="F24">
        <f t="shared" si="5"/>
        <v>1.865211438104531</v>
      </c>
      <c r="G24">
        <f t="shared" si="5"/>
        <v>1.5448810574440632</v>
      </c>
      <c r="H24">
        <f t="shared" si="5"/>
        <v>8.366959446608222</v>
      </c>
    </row>
    <row r="26" spans="1:18" x14ac:dyDescent="0.25">
      <c r="A26" s="2"/>
      <c r="B26" s="2"/>
      <c r="C26" s="2"/>
      <c r="D26" s="2"/>
      <c r="E26" s="2"/>
      <c r="F26" s="2"/>
      <c r="G26" s="2"/>
      <c r="H26" s="2"/>
    </row>
    <row r="27" spans="1:18" x14ac:dyDescent="0.25">
      <c r="A27" s="2"/>
      <c r="K27" s="15"/>
    </row>
    <row r="28" spans="1:18" x14ac:dyDescent="0.25">
      <c r="A28" s="2" t="s">
        <v>92</v>
      </c>
      <c r="K28" s="15"/>
    </row>
    <row r="29" spans="1:18" x14ac:dyDescent="0.25">
      <c r="A29" s="1" t="s">
        <v>117</v>
      </c>
      <c r="B29" s="16" t="s">
        <v>68</v>
      </c>
      <c r="D29" s="17" t="s">
        <v>69</v>
      </c>
      <c r="F29" s="17" t="s">
        <v>70</v>
      </c>
      <c r="H29" s="17" t="s">
        <v>71</v>
      </c>
      <c r="J29" s="18" t="s">
        <v>72</v>
      </c>
      <c r="K29" s="15"/>
      <c r="M29" s="1"/>
      <c r="O29" s="2"/>
      <c r="Q29" s="2"/>
      <c r="R29" s="2"/>
    </row>
    <row r="30" spans="1:18" x14ac:dyDescent="0.25">
      <c r="A30">
        <v>0</v>
      </c>
      <c r="B30">
        <v>15.377051973469086</v>
      </c>
      <c r="C30">
        <v>0</v>
      </c>
      <c r="D30">
        <v>14.367661706878016</v>
      </c>
      <c r="E30">
        <v>0</v>
      </c>
      <c r="F30">
        <v>16.811049405659688</v>
      </c>
      <c r="G30">
        <v>0</v>
      </c>
      <c r="H30">
        <v>17.244572659691865</v>
      </c>
      <c r="I30">
        <v>0</v>
      </c>
      <c r="J30">
        <v>13.76591995232627</v>
      </c>
      <c r="K30">
        <v>0</v>
      </c>
    </row>
    <row r="31" spans="1:18" x14ac:dyDescent="0.25">
      <c r="A31">
        <v>2</v>
      </c>
      <c r="B31">
        <v>15.805401590889256</v>
      </c>
      <c r="C31">
        <v>2.3915250394686351</v>
      </c>
      <c r="D31">
        <v>18.436638956845371</v>
      </c>
      <c r="E31">
        <v>1.0244152071919206</v>
      </c>
      <c r="F31">
        <v>16.65471054274499</v>
      </c>
      <c r="G31">
        <v>0.54870741090225206</v>
      </c>
      <c r="H31">
        <v>15.97946601455836</v>
      </c>
      <c r="I31">
        <v>0.56533840209217145</v>
      </c>
      <c r="J31">
        <v>15.73586651543819</v>
      </c>
      <c r="K31">
        <v>1.9415911133049575</v>
      </c>
    </row>
    <row r="32" spans="1:18" x14ac:dyDescent="0.25">
      <c r="A32">
        <v>4</v>
      </c>
      <c r="B32" s="2">
        <v>20.187572292925271</v>
      </c>
      <c r="C32">
        <v>1.510553259356108</v>
      </c>
      <c r="D32">
        <v>26.047685439524344</v>
      </c>
      <c r="E32">
        <v>2.5596041410151917</v>
      </c>
      <c r="F32">
        <v>12.827080435255345</v>
      </c>
      <c r="G32">
        <v>0.57614310079521747</v>
      </c>
      <c r="H32">
        <v>13.674185375605077</v>
      </c>
      <c r="I32">
        <v>0.73310435378811001</v>
      </c>
      <c r="J32">
        <v>19.886486007796201</v>
      </c>
      <c r="K32">
        <v>3.9749319036675521</v>
      </c>
    </row>
    <row r="33" spans="1:11" x14ac:dyDescent="0.25">
      <c r="A33">
        <v>7</v>
      </c>
      <c r="B33">
        <v>24.016782958815817</v>
      </c>
      <c r="C33">
        <v>3.1554162337528151</v>
      </c>
      <c r="D33">
        <v>24.574657720901879</v>
      </c>
      <c r="E33">
        <v>2.0298946255371564</v>
      </c>
      <c r="F33">
        <v>15.020904538787351</v>
      </c>
      <c r="G33">
        <v>0.46954427891516121</v>
      </c>
      <c r="H33">
        <v>16.029111986225974</v>
      </c>
      <c r="I33">
        <v>0.3854642799890371</v>
      </c>
      <c r="J33">
        <v>18.339481157861147</v>
      </c>
      <c r="K33">
        <v>1.5825887623965742</v>
      </c>
    </row>
    <row r="34" spans="1:11" x14ac:dyDescent="0.25">
      <c r="A34">
        <v>10</v>
      </c>
      <c r="B34">
        <v>44.182494365698972</v>
      </c>
      <c r="C34">
        <v>4.9361746686829244</v>
      </c>
      <c r="D34">
        <v>32.572477056525393</v>
      </c>
      <c r="E34">
        <v>1.8599117223551969</v>
      </c>
      <c r="F34">
        <v>20.985607776601203</v>
      </c>
      <c r="G34">
        <v>0.67355392789487234</v>
      </c>
      <c r="H34">
        <v>30.862129832762559</v>
      </c>
      <c r="I34">
        <v>1.3027025558496266</v>
      </c>
      <c r="J34">
        <v>35.151242777729124</v>
      </c>
      <c r="K34">
        <v>1.865211438104531</v>
      </c>
    </row>
    <row r="35" spans="1:11" x14ac:dyDescent="0.25">
      <c r="A35">
        <v>15</v>
      </c>
      <c r="B35">
        <v>40.272773106621699</v>
      </c>
      <c r="C35">
        <v>0.61961660592137946</v>
      </c>
      <c r="D35">
        <v>33.039871440444223</v>
      </c>
      <c r="E35">
        <v>0.94825179256302972</v>
      </c>
      <c r="F35">
        <v>21.035745296259517</v>
      </c>
      <c r="G35">
        <v>0.52307977444553277</v>
      </c>
      <c r="H35">
        <v>32.170260054429072</v>
      </c>
      <c r="I35">
        <v>3.0657841160038801</v>
      </c>
      <c r="J35">
        <v>37.056512788861582</v>
      </c>
      <c r="K35">
        <v>1.5448810574440632</v>
      </c>
    </row>
    <row r="36" spans="1:11" x14ac:dyDescent="0.25">
      <c r="A36">
        <v>21</v>
      </c>
      <c r="B36">
        <v>38.989707378391806</v>
      </c>
      <c r="C36">
        <v>2.8139689844967322</v>
      </c>
      <c r="D36">
        <v>45.874574592023926</v>
      </c>
      <c r="E36">
        <v>4.5274324713260903</v>
      </c>
      <c r="F36">
        <v>25.275960511745666</v>
      </c>
      <c r="G36">
        <v>2.5615944829122914</v>
      </c>
      <c r="H36">
        <v>38.194526043254477</v>
      </c>
      <c r="I36">
        <v>6.250606812754425</v>
      </c>
      <c r="J36">
        <v>44.385408969739501</v>
      </c>
      <c r="K36">
        <v>8.366959446608222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D2A5E-1CA1-4819-8DE5-BD75A5C36A94}">
  <dimension ref="A1:Z45"/>
  <sheetViews>
    <sheetView topLeftCell="A10" zoomScale="80" zoomScaleNormal="80" workbookViewId="0">
      <selection activeCell="M33" sqref="M33:Q33"/>
    </sheetView>
  </sheetViews>
  <sheetFormatPr defaultRowHeight="13.8" x14ac:dyDescent="0.25"/>
  <sheetData>
    <row r="1" spans="1:26" x14ac:dyDescent="0.25">
      <c r="A1" s="1" t="s">
        <v>126</v>
      </c>
    </row>
    <row r="2" spans="1:26" x14ac:dyDescent="0.25">
      <c r="A2" s="2" t="s">
        <v>67</v>
      </c>
      <c r="B2" s="2" t="s">
        <v>54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2" t="s">
        <v>60</v>
      </c>
      <c r="J2" s="2" t="s">
        <v>69</v>
      </c>
      <c r="K2" s="2" t="s">
        <v>54</v>
      </c>
      <c r="L2" s="2" t="s">
        <v>55</v>
      </c>
      <c r="M2" s="2" t="s">
        <v>56</v>
      </c>
      <c r="N2" s="2" t="s">
        <v>57</v>
      </c>
      <c r="O2" s="2" t="s">
        <v>58</v>
      </c>
      <c r="P2" s="2" t="s">
        <v>59</v>
      </c>
      <c r="Q2" s="2" t="s">
        <v>60</v>
      </c>
      <c r="S2" s="1" t="s">
        <v>117</v>
      </c>
      <c r="T2">
        <v>0</v>
      </c>
      <c r="U2">
        <v>2</v>
      </c>
      <c r="V2">
        <v>4</v>
      </c>
      <c r="W2">
        <v>7</v>
      </c>
      <c r="X2">
        <v>10</v>
      </c>
      <c r="Y2">
        <v>15</v>
      </c>
      <c r="Z2">
        <v>21</v>
      </c>
    </row>
    <row r="3" spans="1:26" x14ac:dyDescent="0.25">
      <c r="A3" s="2" t="s">
        <v>3</v>
      </c>
      <c r="B3">
        <v>36.931234107717053</v>
      </c>
      <c r="C3">
        <v>7.3066110353677871</v>
      </c>
      <c r="D3">
        <v>16.548197244838189</v>
      </c>
      <c r="E3">
        <v>44.059464598571509</v>
      </c>
      <c r="F3">
        <v>131.90225562275637</v>
      </c>
      <c r="G3">
        <v>23.555819907655067</v>
      </c>
      <c r="H3">
        <v>129.08210340297748</v>
      </c>
      <c r="J3" s="2" t="s">
        <v>3</v>
      </c>
      <c r="K3">
        <v>50.464910142360523</v>
      </c>
      <c r="L3">
        <v>19.684914503157113</v>
      </c>
      <c r="M3">
        <v>-14.750263966765381</v>
      </c>
      <c r="N3">
        <v>4.7921230440802276</v>
      </c>
      <c r="O3">
        <v>213.54831731332942</v>
      </c>
      <c r="P3">
        <v>425.67347791234408</v>
      </c>
      <c r="Q3">
        <v>416.13857987385609</v>
      </c>
      <c r="S3" s="2" t="s">
        <v>67</v>
      </c>
      <c r="T3" s="15">
        <v>36.931234107717053</v>
      </c>
      <c r="U3" s="15">
        <v>17.566679695997376</v>
      </c>
      <c r="V3">
        <v>11.240398250367093</v>
      </c>
      <c r="W3" s="15">
        <v>60.076926850648185</v>
      </c>
      <c r="X3" s="2">
        <v>350.3883240361501</v>
      </c>
      <c r="Y3" s="15">
        <v>150.09383625080864</v>
      </c>
      <c r="Z3" s="15">
        <v>121.60015919883941</v>
      </c>
    </row>
    <row r="4" spans="1:26" x14ac:dyDescent="0.25">
      <c r="A4" s="2" t="s">
        <v>2</v>
      </c>
      <c r="J4" s="2" t="s">
        <v>2</v>
      </c>
      <c r="L4">
        <v>11.740135329658994</v>
      </c>
      <c r="N4">
        <v>18.773029489571908</v>
      </c>
      <c r="O4">
        <v>180.73338119184729</v>
      </c>
      <c r="P4">
        <v>477.58343611558359</v>
      </c>
      <c r="Q4">
        <v>290.40204685486304</v>
      </c>
      <c r="S4" s="2" t="s">
        <v>69</v>
      </c>
      <c r="T4" s="15">
        <v>50.464910142360523</v>
      </c>
      <c r="U4" s="15">
        <v>18.300717586219324</v>
      </c>
      <c r="V4" s="2">
        <v>5.4460956496443247</v>
      </c>
      <c r="W4" s="15">
        <v>25.995659269012261</v>
      </c>
      <c r="X4" s="15">
        <v>193.8556838462693</v>
      </c>
      <c r="Y4" s="15">
        <v>566.50564850703995</v>
      </c>
      <c r="Z4" s="15">
        <v>370.96391578816156</v>
      </c>
    </row>
    <row r="5" spans="1:26" x14ac:dyDescent="0.25">
      <c r="A5" s="2" t="s">
        <v>1</v>
      </c>
      <c r="C5">
        <v>28.159849761318075</v>
      </c>
      <c r="D5">
        <v>5.9325992558959992</v>
      </c>
      <c r="E5">
        <v>76.094389102724861</v>
      </c>
      <c r="F5">
        <v>568.87439244954385</v>
      </c>
      <c r="G5">
        <v>276.63185259396221</v>
      </c>
      <c r="H5">
        <v>114.11821499470132</v>
      </c>
      <c r="J5" s="2" t="s">
        <v>1</v>
      </c>
      <c r="L5">
        <v>22.226907142819979</v>
      </c>
      <c r="M5">
        <v>0.82153471331356265</v>
      </c>
      <c r="N5">
        <v>34.907197990889053</v>
      </c>
      <c r="O5">
        <v>275.505563135898</v>
      </c>
      <c r="P5">
        <v>475.01349675942527</v>
      </c>
      <c r="Q5">
        <v>420.18161405226385</v>
      </c>
      <c r="S5" s="2" t="s">
        <v>70</v>
      </c>
      <c r="T5" s="15">
        <v>26.445669895143702</v>
      </c>
      <c r="U5" s="2">
        <v>1.3068589714721734</v>
      </c>
      <c r="V5">
        <v>17.293109546913087</v>
      </c>
      <c r="W5" s="15">
        <v>11.981676309818335</v>
      </c>
      <c r="X5" s="15">
        <v>18.769917855704016</v>
      </c>
      <c r="Y5" s="15">
        <v>19.207171172692124</v>
      </c>
      <c r="Z5" s="15">
        <v>31.607323111301508</v>
      </c>
    </row>
    <row r="6" spans="1:26" x14ac:dyDescent="0.25">
      <c r="A6" s="2" t="s">
        <v>0</v>
      </c>
      <c r="C6">
        <v>17.233578291306262</v>
      </c>
      <c r="J6" s="2" t="s">
        <v>0</v>
      </c>
      <c r="L6">
        <v>19.550913369241215</v>
      </c>
      <c r="M6">
        <v>30.267016202384795</v>
      </c>
      <c r="N6">
        <v>45.510286551507861</v>
      </c>
      <c r="O6">
        <v>105.63547374400258</v>
      </c>
      <c r="P6">
        <v>887.75218324080708</v>
      </c>
      <c r="Q6">
        <v>357.13342237166313</v>
      </c>
      <c r="S6" s="2" t="s">
        <v>71</v>
      </c>
      <c r="T6" s="15">
        <v>37.131285703490995</v>
      </c>
      <c r="U6" s="15">
        <v>6.5166722062181517</v>
      </c>
      <c r="V6">
        <v>9.3814717716575799</v>
      </c>
      <c r="W6" s="15">
        <v>10.338837477112889</v>
      </c>
      <c r="X6" s="15">
        <v>28.648401510562138</v>
      </c>
      <c r="Y6" s="15">
        <v>74.964392204587838</v>
      </c>
      <c r="Z6" s="15">
        <v>20.098315142742383</v>
      </c>
    </row>
    <row r="7" spans="1:26" x14ac:dyDescent="0.25">
      <c r="A7" s="1" t="s">
        <v>125</v>
      </c>
      <c r="B7" s="2">
        <f t="shared" ref="B7:H7" si="0">AVERAGE(B3:B6)</f>
        <v>36.931234107717053</v>
      </c>
      <c r="C7" s="2">
        <f t="shared" si="0"/>
        <v>17.566679695997376</v>
      </c>
      <c r="D7" s="2">
        <f t="shared" si="0"/>
        <v>11.240398250367093</v>
      </c>
      <c r="E7" s="2">
        <f t="shared" si="0"/>
        <v>60.076926850648185</v>
      </c>
      <c r="F7" s="2">
        <f t="shared" si="0"/>
        <v>350.3883240361501</v>
      </c>
      <c r="G7" s="2">
        <f t="shared" si="0"/>
        <v>150.09383625080864</v>
      </c>
      <c r="H7" s="2">
        <f t="shared" si="0"/>
        <v>121.60015919883941</v>
      </c>
      <c r="I7" s="2" t="e">
        <f>AVERAGE(I3:I6)</f>
        <v>#DIV/0!</v>
      </c>
      <c r="J7" s="2" t="e">
        <f>AVERAGE(J3:J6)</f>
        <v>#DIV/0!</v>
      </c>
      <c r="K7" s="2">
        <f t="shared" ref="K7:Q7" si="1">AVERAGE(K3:K6)</f>
        <v>50.464910142360523</v>
      </c>
      <c r="L7" s="2">
        <f t="shared" si="1"/>
        <v>18.300717586219324</v>
      </c>
      <c r="M7" s="2">
        <f t="shared" si="1"/>
        <v>5.4460956496443247</v>
      </c>
      <c r="N7" s="2">
        <f t="shared" si="1"/>
        <v>25.995659269012261</v>
      </c>
      <c r="O7" s="2">
        <f t="shared" si="1"/>
        <v>193.8556838462693</v>
      </c>
      <c r="P7" s="2">
        <f t="shared" si="1"/>
        <v>566.50564850703995</v>
      </c>
      <c r="Q7" s="2">
        <f t="shared" si="1"/>
        <v>370.96391578816156</v>
      </c>
      <c r="S7" s="2" t="s">
        <v>72</v>
      </c>
      <c r="T7" s="15">
        <v>26.496557812703422</v>
      </c>
      <c r="U7" s="15">
        <v>23.926477454168484</v>
      </c>
      <c r="V7">
        <v>34.008349696395861</v>
      </c>
      <c r="W7" s="15">
        <v>85.33723016508317</v>
      </c>
      <c r="X7" s="15">
        <v>121.26933800049191</v>
      </c>
      <c r="Y7" s="15">
        <v>291.55745327921989</v>
      </c>
      <c r="Z7" s="15">
        <v>341.38875085473506</v>
      </c>
    </row>
    <row r="8" spans="1:26" x14ac:dyDescent="0.25">
      <c r="A8" s="1" t="s">
        <v>123</v>
      </c>
      <c r="B8">
        <f>STDEVP(B3:B6)</f>
        <v>0</v>
      </c>
      <c r="C8">
        <f t="shared" ref="C8:Q8" si="2">STDEVP(C3:C6)</f>
        <v>8.5165567670557074</v>
      </c>
      <c r="D8">
        <f t="shared" si="2"/>
        <v>5.3077989944710966</v>
      </c>
      <c r="E8">
        <f t="shared" si="2"/>
        <v>16.017462252076658</v>
      </c>
      <c r="F8">
        <f t="shared" si="2"/>
        <v>218.48606841339378</v>
      </c>
      <c r="G8">
        <f t="shared" si="2"/>
        <v>126.53801634315356</v>
      </c>
      <c r="H8">
        <f t="shared" si="2"/>
        <v>7.481944204138081</v>
      </c>
      <c r="I8" t="e">
        <f t="shared" si="2"/>
        <v>#DIV/0!</v>
      </c>
      <c r="J8" t="e">
        <f t="shared" si="2"/>
        <v>#DIV/0!</v>
      </c>
      <c r="K8">
        <f t="shared" si="2"/>
        <v>0</v>
      </c>
      <c r="L8">
        <f t="shared" si="2"/>
        <v>3.9349458249193217</v>
      </c>
      <c r="M8">
        <f t="shared" si="2"/>
        <v>18.666883356134875</v>
      </c>
      <c r="N8">
        <f t="shared" si="2"/>
        <v>15.508002206434382</v>
      </c>
      <c r="O8">
        <f t="shared" si="2"/>
        <v>61.256638208281672</v>
      </c>
      <c r="P8">
        <f t="shared" si="2"/>
        <v>186.62195077272338</v>
      </c>
      <c r="Q8">
        <f t="shared" si="2"/>
        <v>52.784063342644721</v>
      </c>
    </row>
    <row r="10" spans="1:26" x14ac:dyDescent="0.25">
      <c r="A10" s="2" t="s">
        <v>70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2" t="s">
        <v>60</v>
      </c>
      <c r="J10" s="2" t="s">
        <v>71</v>
      </c>
      <c r="K10" s="2" t="s">
        <v>54</v>
      </c>
      <c r="L10" s="2" t="s">
        <v>55</v>
      </c>
      <c r="M10" s="2" t="s">
        <v>56</v>
      </c>
      <c r="N10" s="2" t="s">
        <v>57</v>
      </c>
      <c r="O10" s="2" t="s">
        <v>58</v>
      </c>
      <c r="P10" s="2" t="s">
        <v>59</v>
      </c>
      <c r="Q10" s="2" t="s">
        <v>60</v>
      </c>
    </row>
    <row r="11" spans="1:26" x14ac:dyDescent="0.25">
      <c r="A11" s="2" t="s">
        <v>3</v>
      </c>
      <c r="B11">
        <v>26.445669895143702</v>
      </c>
      <c r="C11">
        <v>-0.14749783708916042</v>
      </c>
      <c r="D11">
        <v>11.322953038312962</v>
      </c>
      <c r="E11">
        <v>12.297902151900994</v>
      </c>
      <c r="F11">
        <v>30.279711918072334</v>
      </c>
      <c r="G11">
        <v>15.711400252318203</v>
      </c>
      <c r="H11">
        <v>14.041937635957778</v>
      </c>
      <c r="J11" s="2" t="s">
        <v>3</v>
      </c>
      <c r="K11">
        <v>37.131285703490995</v>
      </c>
      <c r="L11">
        <v>6.196900274165186</v>
      </c>
      <c r="M11">
        <v>5.972234089644644</v>
      </c>
      <c r="N11">
        <v>10.994134656022705</v>
      </c>
      <c r="O11">
        <v>20.3798111353649</v>
      </c>
      <c r="P11">
        <v>56.91814587184782</v>
      </c>
      <c r="Q11">
        <v>5.8459665272539088</v>
      </c>
    </row>
    <row r="12" spans="1:26" x14ac:dyDescent="0.25">
      <c r="A12" s="2" t="s">
        <v>2</v>
      </c>
      <c r="C12">
        <v>0.99140156538889446</v>
      </c>
      <c r="D12">
        <v>16.33531228968215</v>
      </c>
      <c r="E12">
        <v>12.034855345208493</v>
      </c>
      <c r="F12">
        <v>10.862096459215294</v>
      </c>
      <c r="G12">
        <v>21.582267524923342</v>
      </c>
      <c r="H12">
        <v>44.505293749859369</v>
      </c>
      <c r="J12" s="2" t="s">
        <v>2</v>
      </c>
      <c r="L12">
        <v>2.8140788434869486</v>
      </c>
      <c r="M12">
        <v>12.228665015164498</v>
      </c>
      <c r="N12">
        <v>9.6835402982030736</v>
      </c>
      <c r="O12">
        <v>29.435419688232866</v>
      </c>
      <c r="P12">
        <v>78.645389794184069</v>
      </c>
      <c r="Q12">
        <v>37.926597344076832</v>
      </c>
    </row>
    <row r="13" spans="1:26" x14ac:dyDescent="0.25">
      <c r="A13" s="2" t="s">
        <v>1</v>
      </c>
      <c r="C13">
        <v>3.0766731861167864</v>
      </c>
      <c r="D13">
        <v>24.22106331274415</v>
      </c>
      <c r="E13">
        <v>11.612271432345516</v>
      </c>
      <c r="F13">
        <v>15.167945189824415</v>
      </c>
      <c r="G13">
        <v>20.327845740834821</v>
      </c>
      <c r="H13">
        <v>36.274737948087363</v>
      </c>
      <c r="J13" s="2" t="s">
        <v>1</v>
      </c>
      <c r="L13">
        <v>9.8258459740694661</v>
      </c>
      <c r="M13">
        <v>9.9435162101635992</v>
      </c>
      <c r="O13">
        <v>36.129973708088642</v>
      </c>
      <c r="P13">
        <v>89.329640947731605</v>
      </c>
      <c r="Q13">
        <v>16.522381556896416</v>
      </c>
    </row>
    <row r="14" spans="1:26" x14ac:dyDescent="0.25">
      <c r="A14" s="2" t="s">
        <v>0</v>
      </c>
      <c r="J14" s="2" t="s">
        <v>0</v>
      </c>
      <c r="L14">
        <v>7.2298637331510074</v>
      </c>
    </row>
    <row r="15" spans="1:26" x14ac:dyDescent="0.25">
      <c r="A15" s="1" t="s">
        <v>125</v>
      </c>
      <c r="B15" s="2">
        <f>AVERAGE(B11:B14)</f>
        <v>26.445669895143702</v>
      </c>
      <c r="C15" s="2">
        <f t="shared" ref="C15:Q15" si="3">AVERAGE(C11:C14)</f>
        <v>1.3068589714721734</v>
      </c>
      <c r="D15" s="2">
        <f t="shared" si="3"/>
        <v>17.293109546913087</v>
      </c>
      <c r="E15" s="2">
        <f t="shared" si="3"/>
        <v>11.981676309818335</v>
      </c>
      <c r="F15" s="2">
        <f t="shared" si="3"/>
        <v>18.769917855704016</v>
      </c>
      <c r="G15" s="2">
        <f t="shared" si="3"/>
        <v>19.207171172692124</v>
      </c>
      <c r="H15" s="2">
        <f t="shared" si="3"/>
        <v>31.607323111301508</v>
      </c>
      <c r="I15" s="2" t="e">
        <f t="shared" si="3"/>
        <v>#DIV/0!</v>
      </c>
      <c r="J15" s="2" t="e">
        <f t="shared" si="3"/>
        <v>#DIV/0!</v>
      </c>
      <c r="K15" s="2">
        <f t="shared" si="3"/>
        <v>37.131285703490995</v>
      </c>
      <c r="L15" s="2">
        <f t="shared" si="3"/>
        <v>6.5166722062181517</v>
      </c>
      <c r="M15" s="2">
        <f t="shared" si="3"/>
        <v>9.3814717716575799</v>
      </c>
      <c r="N15" s="2">
        <f t="shared" si="3"/>
        <v>10.338837477112889</v>
      </c>
      <c r="O15" s="2">
        <f t="shared" si="3"/>
        <v>28.648401510562138</v>
      </c>
      <c r="P15" s="2">
        <f t="shared" si="3"/>
        <v>74.964392204587838</v>
      </c>
      <c r="Q15" s="2">
        <f t="shared" si="3"/>
        <v>20.098315142742383</v>
      </c>
    </row>
    <row r="16" spans="1:26" x14ac:dyDescent="0.25">
      <c r="A16" s="1" t="s">
        <v>123</v>
      </c>
      <c r="B16">
        <f>STDEVP(B11:B14)</f>
        <v>0</v>
      </c>
      <c r="C16">
        <f t="shared" ref="C16:Q16" si="4">STDEVP(C11:C14)</f>
        <v>1.3350292700935595</v>
      </c>
      <c r="D16">
        <f t="shared" si="4"/>
        <v>5.3090076820636476</v>
      </c>
      <c r="E16">
        <f t="shared" si="4"/>
        <v>0.28242211699665859</v>
      </c>
      <c r="F16">
        <f t="shared" si="4"/>
        <v>8.3263278356995905</v>
      </c>
      <c r="G16">
        <f t="shared" si="4"/>
        <v>2.5243750710354451</v>
      </c>
      <c r="H16">
        <f t="shared" si="4"/>
        <v>12.867079113629025</v>
      </c>
      <c r="I16" t="e">
        <f t="shared" si="4"/>
        <v>#DIV/0!</v>
      </c>
      <c r="J16" t="e">
        <f t="shared" si="4"/>
        <v>#DIV/0!</v>
      </c>
      <c r="K16">
        <f t="shared" si="4"/>
        <v>0</v>
      </c>
      <c r="L16">
        <f t="shared" si="4"/>
        <v>2.5134997950166085</v>
      </c>
      <c r="M16">
        <f t="shared" si="4"/>
        <v>2.5849116612361542</v>
      </c>
      <c r="N16">
        <f t="shared" si="4"/>
        <v>0.65529717890981587</v>
      </c>
      <c r="O16">
        <f t="shared" si="4"/>
        <v>6.4540144342259262</v>
      </c>
      <c r="P16">
        <f t="shared" si="4"/>
        <v>13.4855122435021</v>
      </c>
      <c r="Q16">
        <f t="shared" si="4"/>
        <v>13.338720432363024</v>
      </c>
    </row>
    <row r="18" spans="1:17" x14ac:dyDescent="0.25">
      <c r="A18" s="2" t="s">
        <v>72</v>
      </c>
      <c r="B18" s="2" t="s">
        <v>54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2" t="s">
        <v>60</v>
      </c>
      <c r="J18" s="1" t="s">
        <v>79</v>
      </c>
      <c r="K18">
        <v>0</v>
      </c>
      <c r="L18">
        <v>2</v>
      </c>
      <c r="M18">
        <v>4</v>
      </c>
      <c r="N18">
        <v>7</v>
      </c>
      <c r="O18">
        <v>10</v>
      </c>
      <c r="P18">
        <v>15</v>
      </c>
      <c r="Q18">
        <v>21</v>
      </c>
    </row>
    <row r="19" spans="1:17" x14ac:dyDescent="0.25">
      <c r="A19" s="2" t="s">
        <v>3</v>
      </c>
      <c r="B19">
        <v>26.496557812703422</v>
      </c>
      <c r="C19">
        <v>34.690961910558585</v>
      </c>
      <c r="D19">
        <v>57.800775135185212</v>
      </c>
      <c r="E19">
        <v>119.80295881861862</v>
      </c>
      <c r="F19">
        <v>117.38305323164013</v>
      </c>
      <c r="G19">
        <v>135.78967028808356</v>
      </c>
      <c r="H19">
        <v>162.44041726267218</v>
      </c>
      <c r="J19" s="2" t="s">
        <v>67</v>
      </c>
      <c r="K19">
        <v>0</v>
      </c>
      <c r="L19">
        <v>8.5165567670557074</v>
      </c>
      <c r="M19">
        <v>5.3077989944710966</v>
      </c>
      <c r="N19">
        <v>16.017462252076658</v>
      </c>
      <c r="O19">
        <v>218.48606841339378</v>
      </c>
      <c r="P19">
        <v>126.53801634315356</v>
      </c>
      <c r="Q19">
        <v>7.481944204138081</v>
      </c>
    </row>
    <row r="20" spans="1:17" x14ac:dyDescent="0.25">
      <c r="A20" s="2" t="s">
        <v>2</v>
      </c>
      <c r="C20">
        <v>-0.27603985031358186</v>
      </c>
      <c r="D20">
        <v>34.473196381193134</v>
      </c>
      <c r="E20">
        <v>22.198715547496036</v>
      </c>
      <c r="F20">
        <v>76.463241853690633</v>
      </c>
      <c r="G20">
        <v>482.63148858101459</v>
      </c>
      <c r="H20">
        <v>407.40558370603242</v>
      </c>
      <c r="J20" s="2" t="s">
        <v>69</v>
      </c>
      <c r="K20">
        <v>0</v>
      </c>
      <c r="L20">
        <v>3.9349458249193217</v>
      </c>
      <c r="M20">
        <v>18.666883356134875</v>
      </c>
      <c r="N20">
        <v>15.508002206434382</v>
      </c>
      <c r="O20">
        <v>61.256638208281672</v>
      </c>
      <c r="P20">
        <v>186.62195077272338</v>
      </c>
      <c r="Q20">
        <v>52.784063342644721</v>
      </c>
    </row>
    <row r="21" spans="1:17" x14ac:dyDescent="0.25">
      <c r="A21" s="2" t="s">
        <v>1</v>
      </c>
      <c r="C21">
        <v>27.84585479630724</v>
      </c>
      <c r="D21">
        <v>60.466614471741998</v>
      </c>
      <c r="F21">
        <v>104.76381160046603</v>
      </c>
      <c r="G21">
        <v>163.32478646784321</v>
      </c>
      <c r="H21">
        <v>450.54254824099314</v>
      </c>
      <c r="J21" s="2" t="s">
        <v>70</v>
      </c>
      <c r="K21">
        <v>0</v>
      </c>
      <c r="L21">
        <v>1.3350292700935595</v>
      </c>
      <c r="M21">
        <v>5.3090076820636476</v>
      </c>
      <c r="N21">
        <v>0.28242211699665859</v>
      </c>
      <c r="O21">
        <v>8.3263278356995905</v>
      </c>
      <c r="P21">
        <v>2.5243750710354451</v>
      </c>
      <c r="Q21">
        <v>12.867079113629025</v>
      </c>
    </row>
    <row r="22" spans="1:17" x14ac:dyDescent="0.25">
      <c r="A22" s="2" t="s">
        <v>0</v>
      </c>
      <c r="C22">
        <v>33.445132960121704</v>
      </c>
      <c r="D22">
        <v>-16.707187202536893</v>
      </c>
      <c r="E22">
        <v>114.01001612913487</v>
      </c>
      <c r="F22">
        <v>186.46724531617082</v>
      </c>
      <c r="G22">
        <v>384.48386777993829</v>
      </c>
      <c r="H22">
        <v>345.16645420924249</v>
      </c>
      <c r="J22" s="2" t="s">
        <v>71</v>
      </c>
      <c r="K22">
        <v>0</v>
      </c>
      <c r="L22">
        <v>2.5134997950166085</v>
      </c>
      <c r="M22">
        <v>2.5849116612361542</v>
      </c>
      <c r="N22">
        <v>0.65529717890981587</v>
      </c>
      <c r="O22">
        <v>6.4540144342259262</v>
      </c>
      <c r="P22">
        <v>13.4855122435021</v>
      </c>
      <c r="Q22">
        <v>13.338720432363024</v>
      </c>
    </row>
    <row r="23" spans="1:17" x14ac:dyDescent="0.25">
      <c r="A23" s="1" t="s">
        <v>125</v>
      </c>
      <c r="B23" s="2">
        <f>AVERAGE(B19:B22)</f>
        <v>26.496557812703422</v>
      </c>
      <c r="C23" s="2">
        <f t="shared" ref="C23:H23" si="5">AVERAGE(C19:C22)</f>
        <v>23.926477454168484</v>
      </c>
      <c r="D23" s="2">
        <f t="shared" si="5"/>
        <v>34.008349696395861</v>
      </c>
      <c r="E23" s="2">
        <f t="shared" si="5"/>
        <v>85.33723016508317</v>
      </c>
      <c r="F23" s="2">
        <f t="shared" si="5"/>
        <v>121.26933800049191</v>
      </c>
      <c r="G23" s="2">
        <f t="shared" si="5"/>
        <v>291.55745327921989</v>
      </c>
      <c r="H23" s="2">
        <f t="shared" si="5"/>
        <v>341.38875085473506</v>
      </c>
      <c r="J23" s="2" t="s">
        <v>72</v>
      </c>
      <c r="K23">
        <v>0</v>
      </c>
      <c r="L23">
        <v>14.209172133490947</v>
      </c>
      <c r="M23">
        <v>30.977415356070505</v>
      </c>
      <c r="N23">
        <v>44.708265957108793</v>
      </c>
      <c r="O23">
        <v>40.453334168232686</v>
      </c>
      <c r="P23">
        <v>146.50240999212451</v>
      </c>
      <c r="Q23">
        <v>109.89716880061934</v>
      </c>
    </row>
    <row r="24" spans="1:17" x14ac:dyDescent="0.25">
      <c r="A24" s="1" t="s">
        <v>123</v>
      </c>
      <c r="B24">
        <f>STDEVP(B19:B22)</f>
        <v>0</v>
      </c>
      <c r="C24">
        <f t="shared" ref="C24:H24" si="6">STDEVP(C19:C22)</f>
        <v>14.209172133490947</v>
      </c>
      <c r="D24">
        <f t="shared" si="6"/>
        <v>30.977415356070505</v>
      </c>
      <c r="E24">
        <f t="shared" si="6"/>
        <v>44.708265957108793</v>
      </c>
      <c r="F24">
        <f t="shared" si="6"/>
        <v>40.453334168232686</v>
      </c>
      <c r="G24">
        <f t="shared" si="6"/>
        <v>146.50240999212451</v>
      </c>
      <c r="H24">
        <f t="shared" si="6"/>
        <v>109.89716880061934</v>
      </c>
    </row>
    <row r="28" spans="1:17" x14ac:dyDescent="0.25">
      <c r="A28" t="s">
        <v>93</v>
      </c>
    </row>
    <row r="29" spans="1:17" x14ac:dyDescent="0.25">
      <c r="B29" t="s">
        <v>67</v>
      </c>
      <c r="D29" t="s">
        <v>69</v>
      </c>
      <c r="F29" t="s">
        <v>70</v>
      </c>
      <c r="H29" t="s">
        <v>71</v>
      </c>
      <c r="J29" t="s">
        <v>72</v>
      </c>
    </row>
    <row r="30" spans="1:17" x14ac:dyDescent="0.25">
      <c r="A30">
        <v>0</v>
      </c>
      <c r="B30" s="15">
        <v>36.931234107717053</v>
      </c>
      <c r="C30">
        <v>0</v>
      </c>
      <c r="D30" s="15">
        <v>50.464910142360523</v>
      </c>
      <c r="E30">
        <v>0</v>
      </c>
      <c r="F30" s="15">
        <v>26.445669895143702</v>
      </c>
      <c r="G30">
        <v>0</v>
      </c>
      <c r="H30" s="15">
        <v>37.131285703490995</v>
      </c>
      <c r="I30">
        <v>0</v>
      </c>
      <c r="J30" s="15">
        <v>26.496557812703422</v>
      </c>
      <c r="K30">
        <v>0</v>
      </c>
    </row>
    <row r="31" spans="1:17" x14ac:dyDescent="0.25">
      <c r="A31">
        <v>2</v>
      </c>
      <c r="B31" s="15">
        <v>17.566679695997376</v>
      </c>
      <c r="C31">
        <v>8.5165567670557074</v>
      </c>
      <c r="D31" s="15">
        <v>18.300717586219324</v>
      </c>
      <c r="E31">
        <v>3.9349458249193217</v>
      </c>
      <c r="F31" s="2">
        <v>1.3068589714721734</v>
      </c>
      <c r="G31">
        <v>1.3350292700935595</v>
      </c>
      <c r="H31" s="15">
        <v>6.5166722062181517</v>
      </c>
      <c r="I31">
        <v>2.5134997950166085</v>
      </c>
      <c r="J31" s="15">
        <v>23.926477454168484</v>
      </c>
      <c r="K31">
        <v>14.209172133490947</v>
      </c>
    </row>
    <row r="32" spans="1:17" x14ac:dyDescent="0.25">
      <c r="A32">
        <v>4</v>
      </c>
      <c r="B32">
        <v>11.240398250367093</v>
      </c>
      <c r="C32">
        <v>5.3077989944710966</v>
      </c>
      <c r="D32" s="2">
        <v>5.4460956496443247</v>
      </c>
      <c r="E32">
        <v>18.666883356134875</v>
      </c>
      <c r="F32">
        <v>17.293109546913087</v>
      </c>
      <c r="G32">
        <v>5.3090076820636476</v>
      </c>
      <c r="H32">
        <v>9.3814717716575799</v>
      </c>
      <c r="I32">
        <v>2.5849116612361542</v>
      </c>
      <c r="J32">
        <v>34.008349696395861</v>
      </c>
      <c r="K32">
        <v>30.977415356070505</v>
      </c>
    </row>
    <row r="33" spans="1:17" x14ac:dyDescent="0.25">
      <c r="A33">
        <v>7</v>
      </c>
      <c r="B33" s="15">
        <v>60.076926850648185</v>
      </c>
      <c r="C33">
        <v>16.017462252076658</v>
      </c>
      <c r="D33" s="15">
        <v>25.995659269012261</v>
      </c>
      <c r="E33">
        <v>15.508002206434382</v>
      </c>
      <c r="F33" s="15">
        <v>11.981676309818335</v>
      </c>
      <c r="G33">
        <v>0.28242211699665859</v>
      </c>
      <c r="H33" s="15">
        <v>10.338837477112889</v>
      </c>
      <c r="I33">
        <v>0.65529717890981587</v>
      </c>
      <c r="J33" s="15">
        <v>85.33723016508317</v>
      </c>
      <c r="K33">
        <v>44.708265957108793</v>
      </c>
      <c r="M33" s="16"/>
      <c r="N33" s="17"/>
      <c r="O33" s="17"/>
      <c r="P33" s="17"/>
      <c r="Q33" s="18"/>
    </row>
    <row r="34" spans="1:17" x14ac:dyDescent="0.25">
      <c r="A34">
        <v>10</v>
      </c>
      <c r="B34" s="2">
        <v>350.3883240361501</v>
      </c>
      <c r="C34">
        <v>218.48606841339378</v>
      </c>
      <c r="D34" s="15">
        <v>193.8556838462693</v>
      </c>
      <c r="E34">
        <v>61.256638208281672</v>
      </c>
      <c r="F34" s="15">
        <v>18.769917855704016</v>
      </c>
      <c r="G34">
        <v>8.3263278356995905</v>
      </c>
      <c r="H34" s="15">
        <v>28.648401510562138</v>
      </c>
      <c r="I34">
        <v>6.4540144342259262</v>
      </c>
      <c r="J34" s="15">
        <v>121.26933800049191</v>
      </c>
      <c r="K34">
        <v>40.453334168232686</v>
      </c>
    </row>
    <row r="35" spans="1:17" x14ac:dyDescent="0.25">
      <c r="A35">
        <v>15</v>
      </c>
      <c r="B35" s="15">
        <v>150.09383625080864</v>
      </c>
      <c r="C35">
        <v>126.53801634315356</v>
      </c>
      <c r="D35" s="15">
        <v>566.50564850703995</v>
      </c>
      <c r="E35">
        <v>186.62195077272338</v>
      </c>
      <c r="F35" s="15">
        <v>19.207171172692124</v>
      </c>
      <c r="G35">
        <v>2.5243750710354451</v>
      </c>
      <c r="H35" s="15">
        <v>74.964392204587838</v>
      </c>
      <c r="I35">
        <v>13.4855122435021</v>
      </c>
      <c r="J35" s="15">
        <v>291.55745327921989</v>
      </c>
      <c r="K35">
        <v>146.50240999212451</v>
      </c>
    </row>
    <row r="36" spans="1:17" x14ac:dyDescent="0.25">
      <c r="A36">
        <v>21</v>
      </c>
      <c r="B36" s="15">
        <v>121.60015919883941</v>
      </c>
      <c r="C36">
        <v>7.481944204138081</v>
      </c>
      <c r="D36" s="15">
        <v>370.96391578816156</v>
      </c>
      <c r="E36">
        <v>52.784063342644721</v>
      </c>
      <c r="F36" s="15">
        <v>31.607323111301508</v>
      </c>
      <c r="G36">
        <v>12.867079113629025</v>
      </c>
      <c r="H36" s="15">
        <v>20.098315142742383</v>
      </c>
      <c r="I36">
        <v>13.338720432363024</v>
      </c>
      <c r="J36" s="15">
        <v>341.38875085473506</v>
      </c>
      <c r="K36">
        <v>109.89716880061934</v>
      </c>
    </row>
    <row r="38" spans="1:17" x14ac:dyDescent="0.25">
      <c r="A38" s="1"/>
      <c r="B38" s="2"/>
      <c r="C38" s="2"/>
      <c r="D38" s="2"/>
      <c r="E38" s="2"/>
      <c r="F38" s="2"/>
      <c r="G38" s="2"/>
    </row>
    <row r="39" spans="1:17" x14ac:dyDescent="0.25">
      <c r="G39" s="15"/>
    </row>
    <row r="40" spans="1:17" x14ac:dyDescent="0.25">
      <c r="G40" s="15"/>
    </row>
    <row r="42" spans="1:17" x14ac:dyDescent="0.25">
      <c r="G42" s="15"/>
    </row>
    <row r="43" spans="1:17" x14ac:dyDescent="0.25">
      <c r="G43" s="15"/>
    </row>
    <row r="44" spans="1:17" x14ac:dyDescent="0.25">
      <c r="G44" s="15"/>
    </row>
    <row r="45" spans="1:17" x14ac:dyDescent="0.25">
      <c r="G45" s="15"/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6E35B-E71A-4E69-9742-37C6546A47AF}">
  <dimension ref="A1:Z36"/>
  <sheetViews>
    <sheetView zoomScale="80" zoomScaleNormal="80" workbookViewId="0"/>
  </sheetViews>
  <sheetFormatPr defaultRowHeight="13.8" x14ac:dyDescent="0.25"/>
  <sheetData>
    <row r="1" spans="1:26" x14ac:dyDescent="0.25">
      <c r="A1" s="1" t="s">
        <v>141</v>
      </c>
    </row>
    <row r="2" spans="1:26" x14ac:dyDescent="0.25">
      <c r="A2" s="2" t="s">
        <v>67</v>
      </c>
      <c r="B2" s="2" t="s">
        <v>54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2" t="s">
        <v>60</v>
      </c>
      <c r="J2" s="2" t="s">
        <v>69</v>
      </c>
      <c r="K2" s="2" t="s">
        <v>54</v>
      </c>
      <c r="L2" s="2" t="s">
        <v>55</v>
      </c>
      <c r="M2" s="2" t="s">
        <v>56</v>
      </c>
      <c r="N2" s="2" t="s">
        <v>57</v>
      </c>
      <c r="O2" s="2" t="s">
        <v>58</v>
      </c>
      <c r="P2" s="2" t="s">
        <v>59</v>
      </c>
      <c r="Q2" s="2" t="s">
        <v>60</v>
      </c>
      <c r="S2" s="1" t="s">
        <v>120</v>
      </c>
      <c r="T2">
        <v>0</v>
      </c>
      <c r="U2">
        <v>2</v>
      </c>
      <c r="V2">
        <v>4</v>
      </c>
      <c r="W2">
        <v>7</v>
      </c>
      <c r="X2">
        <v>10</v>
      </c>
      <c r="Y2">
        <v>15</v>
      </c>
      <c r="Z2">
        <v>21</v>
      </c>
    </row>
    <row r="3" spans="1:26" x14ac:dyDescent="0.25">
      <c r="A3" s="2" t="s">
        <v>3</v>
      </c>
      <c r="B3">
        <v>284.50265671799997</v>
      </c>
      <c r="C3">
        <v>275.0027155507687</v>
      </c>
      <c r="D3">
        <v>376.09445160011262</v>
      </c>
      <c r="E3">
        <v>503.86589208093523</v>
      </c>
      <c r="F3">
        <v>591.44930196744929</v>
      </c>
      <c r="G3">
        <v>211.61861601729552</v>
      </c>
      <c r="H3">
        <v>302.17951536599941</v>
      </c>
      <c r="J3" s="2" t="s">
        <v>3</v>
      </c>
      <c r="K3">
        <v>343.97259367799995</v>
      </c>
      <c r="L3">
        <v>174.83967844493822</v>
      </c>
      <c r="M3">
        <v>347.26980217905208</v>
      </c>
      <c r="N3">
        <v>433.96556713712351</v>
      </c>
      <c r="O3">
        <v>445.50605550844193</v>
      </c>
      <c r="P3">
        <v>502.35668393915989</v>
      </c>
      <c r="Q3">
        <v>486.72841542218265</v>
      </c>
      <c r="S3" s="2" t="s">
        <v>67</v>
      </c>
      <c r="T3" s="15">
        <v>284.50265671799997</v>
      </c>
      <c r="U3" s="15">
        <v>306.42679184954847</v>
      </c>
      <c r="V3">
        <v>418.49689327687588</v>
      </c>
      <c r="W3" s="15">
        <v>421.12191405401614</v>
      </c>
      <c r="X3" s="15">
        <v>643.36641307850664</v>
      </c>
      <c r="Y3" s="15">
        <v>243.21120348294716</v>
      </c>
      <c r="Z3" s="15">
        <v>335.60236415390398</v>
      </c>
    </row>
    <row r="4" spans="1:26" x14ac:dyDescent="0.25">
      <c r="A4" s="2" t="s">
        <v>2</v>
      </c>
      <c r="J4" s="2" t="s">
        <v>2</v>
      </c>
      <c r="L4">
        <v>176.97600902291273</v>
      </c>
      <c r="N4">
        <v>535.81165061084073</v>
      </c>
      <c r="O4">
        <v>427.66073396745838</v>
      </c>
      <c r="P4">
        <v>364.78171968913307</v>
      </c>
      <c r="Q4">
        <v>772.08891820780207</v>
      </c>
      <c r="S4" s="2" t="s">
        <v>69</v>
      </c>
      <c r="T4" s="15">
        <v>343.97259367799995</v>
      </c>
      <c r="U4" s="15">
        <v>195.23589594926275</v>
      </c>
      <c r="V4">
        <v>384.09042057567223</v>
      </c>
      <c r="W4" s="15">
        <v>458.38038427982997</v>
      </c>
      <c r="X4" s="15">
        <v>449.47263938352609</v>
      </c>
      <c r="Y4" s="15">
        <v>433.06847333154394</v>
      </c>
      <c r="Z4" s="15">
        <v>588.82448562769548</v>
      </c>
    </row>
    <row r="5" spans="1:26" x14ac:dyDescent="0.25">
      <c r="A5" s="2" t="s">
        <v>1</v>
      </c>
      <c r="C5">
        <v>292.30296230966445</v>
      </c>
      <c r="D5">
        <v>411.65741470026688</v>
      </c>
      <c r="E5">
        <v>338.37793602709706</v>
      </c>
      <c r="F5">
        <v>695.2835241895641</v>
      </c>
      <c r="G5">
        <v>274.80379094859876</v>
      </c>
      <c r="H5">
        <v>369.0252129418086</v>
      </c>
      <c r="J5" s="2" t="s">
        <v>1</v>
      </c>
      <c r="L5">
        <v>226.7806087781243</v>
      </c>
      <c r="M5">
        <v>418.51750892970711</v>
      </c>
      <c r="N5">
        <v>494.39873181277238</v>
      </c>
      <c r="O5">
        <v>440.90959232675874</v>
      </c>
      <c r="P5">
        <v>499.73908517054332</v>
      </c>
      <c r="Q5">
        <v>540.96135011114177</v>
      </c>
      <c r="S5" s="2" t="s">
        <v>70</v>
      </c>
      <c r="T5" s="15">
        <v>253.74473837999994</v>
      </c>
      <c r="U5" s="15">
        <v>98.057538254757517</v>
      </c>
      <c r="V5">
        <v>213.40897431461272</v>
      </c>
      <c r="W5" s="15">
        <v>221.91426151488272</v>
      </c>
      <c r="X5" s="15">
        <v>106.60208617683749</v>
      </c>
      <c r="Y5" s="15">
        <v>58.746768037895869</v>
      </c>
      <c r="Z5" s="15">
        <v>68.472146976648972</v>
      </c>
    </row>
    <row r="6" spans="1:26" x14ac:dyDescent="0.25">
      <c r="A6" s="2" t="s">
        <v>0</v>
      </c>
      <c r="C6">
        <v>351.97469768821213</v>
      </c>
      <c r="D6">
        <v>467.73881353024814</v>
      </c>
      <c r="J6" s="2" t="s">
        <v>0</v>
      </c>
      <c r="L6">
        <v>202.34728755107571</v>
      </c>
      <c r="M6">
        <v>386.4839506182575</v>
      </c>
      <c r="N6">
        <v>369.3455875585833</v>
      </c>
      <c r="O6">
        <v>483.81417573144546</v>
      </c>
      <c r="P6">
        <v>365.39640452733937</v>
      </c>
      <c r="Q6">
        <v>555.51925876965561</v>
      </c>
      <c r="S6" s="2" t="s">
        <v>71</v>
      </c>
      <c r="T6" s="2">
        <v>261.32815090199989</v>
      </c>
      <c r="U6" s="2">
        <v>231.14215068205806</v>
      </c>
      <c r="V6" s="2">
        <v>322.82829148881029</v>
      </c>
      <c r="W6" s="2">
        <v>153.74560420312221</v>
      </c>
      <c r="X6" s="2">
        <v>174.00202643795171</v>
      </c>
      <c r="Y6" s="2">
        <v>251.20396536258536</v>
      </c>
      <c r="Z6" s="2">
        <v>81.98139295348993</v>
      </c>
    </row>
    <row r="7" spans="1:26" x14ac:dyDescent="0.25">
      <c r="A7" s="1" t="s">
        <v>120</v>
      </c>
      <c r="B7" s="2">
        <f>AVERAGE(B3:B6)</f>
        <v>284.50265671799997</v>
      </c>
      <c r="C7" s="2">
        <f t="shared" ref="C7:M7" si="0">AVERAGE(C3:C6)</f>
        <v>306.42679184954847</v>
      </c>
      <c r="D7" s="2">
        <f t="shared" si="0"/>
        <v>418.49689327687588</v>
      </c>
      <c r="E7" s="2">
        <f t="shared" si="0"/>
        <v>421.12191405401614</v>
      </c>
      <c r="F7" s="2">
        <f t="shared" si="0"/>
        <v>643.36641307850664</v>
      </c>
      <c r="G7" s="2">
        <f t="shared" si="0"/>
        <v>243.21120348294716</v>
      </c>
      <c r="H7" s="2">
        <f t="shared" si="0"/>
        <v>335.60236415390398</v>
      </c>
      <c r="I7" s="2" t="e">
        <f t="shared" si="0"/>
        <v>#DIV/0!</v>
      </c>
      <c r="J7" s="2" t="e">
        <f t="shared" si="0"/>
        <v>#DIV/0!</v>
      </c>
      <c r="K7" s="2">
        <f t="shared" si="0"/>
        <v>343.97259367799995</v>
      </c>
      <c r="L7" s="2">
        <f t="shared" si="0"/>
        <v>195.23589594926275</v>
      </c>
      <c r="M7" s="2">
        <f t="shared" si="0"/>
        <v>384.09042057567223</v>
      </c>
      <c r="N7" s="2">
        <f>AVERAGE(N3:N6)</f>
        <v>458.38038427982997</v>
      </c>
      <c r="O7" s="2">
        <f>AVERAGE(O3:O6)</f>
        <v>449.47263938352609</v>
      </c>
      <c r="P7" s="2">
        <f>AVERAGE(P3:P6)</f>
        <v>433.06847333154394</v>
      </c>
      <c r="Q7" s="2">
        <f>AVERAGE(Q3:Q6)</f>
        <v>588.82448562769548</v>
      </c>
      <c r="S7" s="2" t="s">
        <v>72</v>
      </c>
      <c r="T7" s="15">
        <v>255.51181718999999</v>
      </c>
      <c r="U7" s="15">
        <v>237.13741207949613</v>
      </c>
      <c r="V7">
        <v>431.27068381495474</v>
      </c>
      <c r="W7" s="2">
        <v>573.06990630940015</v>
      </c>
      <c r="X7" s="15">
        <v>432.71321265917044</v>
      </c>
      <c r="Y7">
        <v>549.03644892504462</v>
      </c>
      <c r="Z7" s="15">
        <v>511.94448009527849</v>
      </c>
    </row>
    <row r="8" spans="1:26" x14ac:dyDescent="0.25">
      <c r="A8" s="1" t="s">
        <v>122</v>
      </c>
      <c r="B8">
        <f>STDEVP(B3:B6)</f>
        <v>0</v>
      </c>
      <c r="C8">
        <f t="shared" ref="C8:Q8" si="1">STDEVP(C3:C6)</f>
        <v>32.972548472888612</v>
      </c>
      <c r="D8">
        <f t="shared" si="1"/>
        <v>37.724935332794921</v>
      </c>
      <c r="E8">
        <f t="shared" si="1"/>
        <v>82.743978026919152</v>
      </c>
      <c r="F8">
        <f t="shared" si="1"/>
        <v>51.917111111057409</v>
      </c>
      <c r="G8">
        <f t="shared" si="1"/>
        <v>31.592587465651373</v>
      </c>
      <c r="H8">
        <f t="shared" si="1"/>
        <v>33.422848787904599</v>
      </c>
      <c r="I8" t="e">
        <f t="shared" si="1"/>
        <v>#DIV/0!</v>
      </c>
      <c r="J8" t="e">
        <f t="shared" si="1"/>
        <v>#DIV/0!</v>
      </c>
      <c r="K8">
        <f t="shared" si="1"/>
        <v>0</v>
      </c>
      <c r="L8">
        <f t="shared" si="1"/>
        <v>21.184132959696939</v>
      </c>
      <c r="M8">
        <f t="shared" si="1"/>
        <v>29.135953377861771</v>
      </c>
      <c r="N8">
        <f t="shared" si="1"/>
        <v>62.881238632705958</v>
      </c>
      <c r="O8">
        <f t="shared" si="1"/>
        <v>20.881570218433293</v>
      </c>
      <c r="P8">
        <f t="shared" si="1"/>
        <v>67.986057819695901</v>
      </c>
      <c r="Q8">
        <f t="shared" si="1"/>
        <v>108.86870266272491</v>
      </c>
    </row>
    <row r="10" spans="1:26" x14ac:dyDescent="0.25">
      <c r="A10" s="2" t="s">
        <v>70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2" t="s">
        <v>60</v>
      </c>
      <c r="J10" s="2" t="s">
        <v>71</v>
      </c>
      <c r="K10" s="2" t="s">
        <v>54</v>
      </c>
      <c r="L10" s="2" t="s">
        <v>55</v>
      </c>
      <c r="M10" s="2" t="s">
        <v>56</v>
      </c>
      <c r="N10" s="2" t="s">
        <v>57</v>
      </c>
      <c r="O10" s="2" t="s">
        <v>58</v>
      </c>
      <c r="P10" s="2" t="s">
        <v>59</v>
      </c>
      <c r="Q10" s="2" t="s">
        <v>60</v>
      </c>
    </row>
    <row r="11" spans="1:26" x14ac:dyDescent="0.25">
      <c r="A11" s="2" t="s">
        <v>3</v>
      </c>
      <c r="B11">
        <v>253.74473837999994</v>
      </c>
      <c r="C11">
        <v>123.55114389864922</v>
      </c>
      <c r="D11">
        <v>217.94687050039377</v>
      </c>
      <c r="E11">
        <v>252.24278342142514</v>
      </c>
      <c r="F11">
        <v>127.48527078318249</v>
      </c>
      <c r="G11">
        <v>55.361444049760451</v>
      </c>
      <c r="H11">
        <v>41.273037991955206</v>
      </c>
      <c r="J11" s="2" t="s">
        <v>3</v>
      </c>
      <c r="K11">
        <v>261.32815090199989</v>
      </c>
      <c r="L11">
        <v>189.21882007386779</v>
      </c>
      <c r="M11">
        <v>280.13716905435922</v>
      </c>
      <c r="N11">
        <v>184.07786426496108</v>
      </c>
      <c r="O11">
        <v>114.56300038023946</v>
      </c>
      <c r="P11">
        <v>156.14158859527021</v>
      </c>
      <c r="Q11">
        <v>28.724067221353806</v>
      </c>
    </row>
    <row r="12" spans="1:26" x14ac:dyDescent="0.25">
      <c r="A12" s="2" t="s">
        <v>2</v>
      </c>
      <c r="C12">
        <v>96.891173096252317</v>
      </c>
      <c r="D12">
        <v>206.17312920374022</v>
      </c>
      <c r="E12">
        <v>189.53071089300377</v>
      </c>
      <c r="F12">
        <v>105.27645292330436</v>
      </c>
      <c r="G12">
        <v>60.909622732353888</v>
      </c>
      <c r="H12">
        <v>83.524321383489522</v>
      </c>
      <c r="J12" s="2" t="s">
        <v>2</v>
      </c>
      <c r="L12">
        <v>265.83433166294549</v>
      </c>
      <c r="M12">
        <v>344.31726206228069</v>
      </c>
      <c r="N12">
        <v>123.41334414128336</v>
      </c>
      <c r="O12">
        <v>206.63906716941636</v>
      </c>
      <c r="P12">
        <v>309.74366053222371</v>
      </c>
      <c r="Q12">
        <v>146.99707286740377</v>
      </c>
    </row>
    <row r="13" spans="1:26" x14ac:dyDescent="0.25">
      <c r="A13" s="2" t="s">
        <v>1</v>
      </c>
      <c r="C13">
        <v>73.730297769371006</v>
      </c>
      <c r="D13">
        <v>216.10692323970423</v>
      </c>
      <c r="E13">
        <v>223.96929023021929</v>
      </c>
      <c r="F13">
        <v>87.044534824025618</v>
      </c>
      <c r="G13">
        <v>59.969237331573268</v>
      </c>
      <c r="H13">
        <v>80.619081554502202</v>
      </c>
      <c r="J13" s="2" t="s">
        <v>1</v>
      </c>
      <c r="L13">
        <v>230.3243910128416</v>
      </c>
      <c r="M13">
        <v>344.03044334979097</v>
      </c>
      <c r="O13">
        <v>200.80401176419932</v>
      </c>
      <c r="P13">
        <v>287.7266469602622</v>
      </c>
      <c r="Q13">
        <v>70.223038771712183</v>
      </c>
    </row>
    <row r="14" spans="1:26" x14ac:dyDescent="0.25">
      <c r="A14" s="2" t="s">
        <v>0</v>
      </c>
      <c r="J14" s="2" t="s">
        <v>0</v>
      </c>
      <c r="L14">
        <v>239.19105997857747</v>
      </c>
    </row>
    <row r="15" spans="1:26" x14ac:dyDescent="0.25">
      <c r="A15" s="1" t="s">
        <v>120</v>
      </c>
      <c r="B15" s="2">
        <f t="shared" ref="B15:R15" si="2">AVERAGE(B11:B14)</f>
        <v>253.74473837999994</v>
      </c>
      <c r="C15" s="2">
        <f t="shared" si="2"/>
        <v>98.057538254757517</v>
      </c>
      <c r="D15" s="2">
        <f t="shared" si="2"/>
        <v>213.40897431461272</v>
      </c>
      <c r="E15" s="2">
        <f t="shared" si="2"/>
        <v>221.91426151488272</v>
      </c>
      <c r="F15" s="2">
        <f t="shared" si="2"/>
        <v>106.60208617683749</v>
      </c>
      <c r="G15" s="2">
        <f t="shared" si="2"/>
        <v>58.746768037895869</v>
      </c>
      <c r="H15" s="2">
        <f t="shared" si="2"/>
        <v>68.472146976648972</v>
      </c>
      <c r="I15" s="2" t="e">
        <f t="shared" si="2"/>
        <v>#DIV/0!</v>
      </c>
      <c r="J15" s="2" t="e">
        <f t="shared" si="2"/>
        <v>#DIV/0!</v>
      </c>
      <c r="K15" s="2">
        <f t="shared" si="2"/>
        <v>261.32815090199989</v>
      </c>
      <c r="L15" s="2">
        <f t="shared" si="2"/>
        <v>231.14215068205806</v>
      </c>
      <c r="M15" s="2">
        <f t="shared" si="2"/>
        <v>322.82829148881029</v>
      </c>
      <c r="N15" s="2">
        <f t="shared" si="2"/>
        <v>153.74560420312221</v>
      </c>
      <c r="O15" s="2">
        <f t="shared" si="2"/>
        <v>174.00202643795171</v>
      </c>
      <c r="P15" s="2">
        <f t="shared" si="2"/>
        <v>251.20396536258536</v>
      </c>
      <c r="Q15" s="2">
        <f t="shared" si="2"/>
        <v>81.98139295348993</v>
      </c>
      <c r="R15" s="2" t="e">
        <f t="shared" si="2"/>
        <v>#DIV/0!</v>
      </c>
      <c r="S15">
        <v>0</v>
      </c>
    </row>
    <row r="16" spans="1:26" x14ac:dyDescent="0.25">
      <c r="A16" s="1" t="s">
        <v>122</v>
      </c>
      <c r="B16">
        <f>STDEVP(B11:B14)</f>
        <v>0</v>
      </c>
      <c r="C16">
        <f t="shared" ref="C16:Q16" si="3">STDEVP(C11:C14)</f>
        <v>20.355989831358109</v>
      </c>
      <c r="D16">
        <f t="shared" si="3"/>
        <v>5.171359739432372</v>
      </c>
      <c r="E16">
        <f t="shared" si="3"/>
        <v>25.643301496597939</v>
      </c>
      <c r="F16">
        <f t="shared" si="3"/>
        <v>16.536449817936838</v>
      </c>
      <c r="G16">
        <f t="shared" si="3"/>
        <v>2.4243755283899606</v>
      </c>
      <c r="H16">
        <f t="shared" si="3"/>
        <v>19.269211223900161</v>
      </c>
      <c r="I16" t="e">
        <f t="shared" si="3"/>
        <v>#DIV/0!</v>
      </c>
      <c r="J16" t="e">
        <f t="shared" si="3"/>
        <v>#DIV/0!</v>
      </c>
      <c r="K16">
        <f t="shared" si="3"/>
        <v>0</v>
      </c>
      <c r="L16">
        <f t="shared" si="3"/>
        <v>27.507120633730846</v>
      </c>
      <c r="M16">
        <f t="shared" si="3"/>
        <v>30.187409265878024</v>
      </c>
      <c r="N16">
        <f t="shared" si="3"/>
        <v>30.332260061838848</v>
      </c>
      <c r="O16">
        <f t="shared" si="3"/>
        <v>42.097191766296625</v>
      </c>
      <c r="P16">
        <f t="shared" si="3"/>
        <v>67.817543596256542</v>
      </c>
      <c r="Q16">
        <f t="shared" si="3"/>
        <v>48.99537485610751</v>
      </c>
    </row>
    <row r="18" spans="1:25" x14ac:dyDescent="0.25">
      <c r="A18" s="2" t="s">
        <v>72</v>
      </c>
      <c r="B18" s="2" t="s">
        <v>54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2" t="s">
        <v>60</v>
      </c>
      <c r="J18" s="1" t="s">
        <v>122</v>
      </c>
      <c r="K18">
        <v>0</v>
      </c>
      <c r="L18">
        <v>2</v>
      </c>
      <c r="M18">
        <v>4</v>
      </c>
      <c r="N18">
        <v>7</v>
      </c>
      <c r="O18">
        <v>10</v>
      </c>
      <c r="P18">
        <v>15</v>
      </c>
      <c r="Q18">
        <v>21</v>
      </c>
    </row>
    <row r="19" spans="1:25" x14ac:dyDescent="0.25">
      <c r="A19" s="2" t="s">
        <v>3</v>
      </c>
      <c r="B19">
        <v>255.51181718999999</v>
      </c>
      <c r="C19">
        <v>229.94263285628017</v>
      </c>
      <c r="D19">
        <v>397.86736040276747</v>
      </c>
      <c r="E19">
        <v>608.31955431553558</v>
      </c>
      <c r="F19">
        <v>478.76353939073022</v>
      </c>
      <c r="G19">
        <v>602.82928146834797</v>
      </c>
      <c r="H19">
        <v>495.83172369242573</v>
      </c>
      <c r="J19" s="2" t="s">
        <v>67</v>
      </c>
      <c r="K19">
        <v>0</v>
      </c>
      <c r="L19">
        <v>32.972548472888612</v>
      </c>
      <c r="M19">
        <v>37.724935332794921</v>
      </c>
      <c r="N19">
        <v>82.743978026919152</v>
      </c>
      <c r="O19">
        <v>51.917111111057409</v>
      </c>
      <c r="P19">
        <v>31.592587465651373</v>
      </c>
      <c r="Q19">
        <v>33.422848787904599</v>
      </c>
    </row>
    <row r="20" spans="1:25" x14ac:dyDescent="0.25">
      <c r="A20" s="2" t="s">
        <v>2</v>
      </c>
      <c r="C20">
        <v>203.74263509397622</v>
      </c>
      <c r="D20">
        <v>469.37127444846698</v>
      </c>
      <c r="E20">
        <v>682.87322515510266</v>
      </c>
      <c r="F20">
        <v>381.23283530874909</v>
      </c>
      <c r="G20">
        <v>622.13221731639806</v>
      </c>
      <c r="H20">
        <v>623.0984173353462</v>
      </c>
      <c r="J20" s="2" t="s">
        <v>69</v>
      </c>
      <c r="K20">
        <v>0</v>
      </c>
      <c r="L20">
        <v>21.184132959696939</v>
      </c>
      <c r="M20">
        <v>29.135953377861771</v>
      </c>
      <c r="N20">
        <v>62.881238632705958</v>
      </c>
      <c r="O20">
        <v>20.881570218433293</v>
      </c>
      <c r="P20">
        <v>67.986057819695901</v>
      </c>
      <c r="Q20">
        <v>108.86870266272491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</row>
    <row r="21" spans="1:25" x14ac:dyDescent="0.25">
      <c r="A21" s="2" t="s">
        <v>1</v>
      </c>
      <c r="C21">
        <v>199.7418637555167</v>
      </c>
      <c r="D21">
        <v>450.08347190815374</v>
      </c>
      <c r="F21">
        <v>433.84695475875753</v>
      </c>
      <c r="G21">
        <v>550.50614684050595</v>
      </c>
      <c r="H21">
        <v>424.22635837458523</v>
      </c>
      <c r="J21" s="2" t="s">
        <v>70</v>
      </c>
      <c r="K21">
        <v>0</v>
      </c>
      <c r="L21">
        <v>20.355989831358109</v>
      </c>
      <c r="M21">
        <v>5.171359739432372</v>
      </c>
      <c r="N21">
        <v>25.643301496597939</v>
      </c>
      <c r="O21">
        <v>16.536449817936838</v>
      </c>
      <c r="P21">
        <v>2.4243755283899606</v>
      </c>
      <c r="Q21">
        <v>19.269211223900161</v>
      </c>
    </row>
    <row r="22" spans="1:25" x14ac:dyDescent="0.25">
      <c r="A22" s="2" t="s">
        <v>0</v>
      </c>
      <c r="C22">
        <v>315.12251661221154</v>
      </c>
      <c r="D22">
        <v>407.7606285004307</v>
      </c>
      <c r="E22">
        <v>428.01693945756227</v>
      </c>
      <c r="F22">
        <v>437.0095211784448</v>
      </c>
      <c r="G22">
        <v>420.67815007492652</v>
      </c>
      <c r="H22">
        <v>504.62142097875682</v>
      </c>
      <c r="J22" s="2" t="s">
        <v>71</v>
      </c>
      <c r="K22">
        <v>0</v>
      </c>
      <c r="L22">
        <v>27.507120633730846</v>
      </c>
      <c r="M22">
        <v>30.187409265878024</v>
      </c>
      <c r="N22">
        <v>30.332260061838848</v>
      </c>
      <c r="O22">
        <v>42.097191766296625</v>
      </c>
      <c r="P22">
        <v>67.817543596256542</v>
      </c>
      <c r="Q22">
        <v>48.99537485610751</v>
      </c>
    </row>
    <row r="23" spans="1:25" x14ac:dyDescent="0.25">
      <c r="A23" s="1" t="s">
        <v>120</v>
      </c>
      <c r="B23" s="2">
        <f>AVERAGE(B19:B22)</f>
        <v>255.51181718999999</v>
      </c>
      <c r="C23" s="2">
        <f t="shared" ref="C23:H23" si="4">AVERAGE(C19:C22)</f>
        <v>237.13741207949613</v>
      </c>
      <c r="D23" s="2">
        <f t="shared" si="4"/>
        <v>431.27068381495474</v>
      </c>
      <c r="E23" s="2">
        <f t="shared" si="4"/>
        <v>573.06990630940015</v>
      </c>
      <c r="F23" s="2">
        <f t="shared" si="4"/>
        <v>432.71321265917044</v>
      </c>
      <c r="G23" s="2">
        <f t="shared" si="4"/>
        <v>549.03644892504462</v>
      </c>
      <c r="H23" s="2">
        <f t="shared" si="4"/>
        <v>511.94448009527849</v>
      </c>
      <c r="J23" s="2" t="s">
        <v>72</v>
      </c>
      <c r="K23">
        <v>0</v>
      </c>
      <c r="L23">
        <v>46.494837190308246</v>
      </c>
      <c r="M23">
        <v>29.470666425843042</v>
      </c>
      <c r="N23">
        <v>106.98858148825643</v>
      </c>
      <c r="O23">
        <v>34.607100002262364</v>
      </c>
      <c r="P23">
        <v>78.604505413832953</v>
      </c>
      <c r="Q23">
        <v>71.349342596650843</v>
      </c>
    </row>
    <row r="24" spans="1:25" x14ac:dyDescent="0.25">
      <c r="A24" s="1" t="s">
        <v>122</v>
      </c>
      <c r="B24">
        <f>STDEVP(B19:B22)</f>
        <v>0</v>
      </c>
      <c r="C24">
        <f t="shared" ref="C24:H24" si="5">STDEVP(C19:C22)</f>
        <v>46.494837190308246</v>
      </c>
      <c r="D24">
        <f t="shared" si="5"/>
        <v>29.470666425843042</v>
      </c>
      <c r="E24">
        <f t="shared" si="5"/>
        <v>106.98858148825643</v>
      </c>
      <c r="F24">
        <f t="shared" si="5"/>
        <v>34.607100002262364</v>
      </c>
      <c r="G24">
        <f t="shared" si="5"/>
        <v>78.604505413832953</v>
      </c>
      <c r="H24">
        <f t="shared" si="5"/>
        <v>71.349342596650843</v>
      </c>
    </row>
    <row r="27" spans="1:25" x14ac:dyDescent="0.25">
      <c r="N27" s="1"/>
      <c r="O27" s="2"/>
      <c r="P27" s="2"/>
      <c r="Q27" s="2"/>
      <c r="R27" s="2"/>
      <c r="S27" s="2"/>
    </row>
    <row r="28" spans="1:25" x14ac:dyDescent="0.25">
      <c r="A28" t="s">
        <v>94</v>
      </c>
    </row>
    <row r="29" spans="1:25" x14ac:dyDescent="0.25">
      <c r="A29" s="1" t="s">
        <v>120</v>
      </c>
      <c r="B29" s="2" t="s">
        <v>67</v>
      </c>
      <c r="D29" s="2" t="s">
        <v>69</v>
      </c>
      <c r="F29" s="2" t="s">
        <v>70</v>
      </c>
      <c r="H29" s="2" t="s">
        <v>71</v>
      </c>
      <c r="J29" s="2" t="s">
        <v>72</v>
      </c>
    </row>
    <row r="30" spans="1:25" x14ac:dyDescent="0.25">
      <c r="A30">
        <v>0</v>
      </c>
      <c r="B30" s="15">
        <v>284.50265671799997</v>
      </c>
      <c r="C30">
        <v>0</v>
      </c>
      <c r="D30" s="15">
        <v>343.97259367799995</v>
      </c>
      <c r="E30">
        <v>0</v>
      </c>
      <c r="F30" s="15">
        <v>253.74473837999994</v>
      </c>
      <c r="G30">
        <v>0</v>
      </c>
      <c r="H30" s="15">
        <v>261.32815090199989</v>
      </c>
      <c r="I30">
        <v>0</v>
      </c>
      <c r="J30" s="15">
        <v>255.51181718999999</v>
      </c>
      <c r="K30">
        <v>0</v>
      </c>
    </row>
    <row r="31" spans="1:25" x14ac:dyDescent="0.25">
      <c r="A31">
        <v>2</v>
      </c>
      <c r="B31" s="15">
        <v>306.42679184954847</v>
      </c>
      <c r="C31">
        <v>32.972548472888612</v>
      </c>
      <c r="D31" s="15">
        <v>195.23589594926275</v>
      </c>
      <c r="E31">
        <v>21.184132959696939</v>
      </c>
      <c r="F31" s="15">
        <v>98.057538254757517</v>
      </c>
      <c r="G31">
        <v>20.355989831358109</v>
      </c>
      <c r="H31" s="15">
        <v>231.14215068205806</v>
      </c>
      <c r="I31">
        <v>27.507120633730846</v>
      </c>
      <c r="J31" s="15">
        <v>237.13741207949613</v>
      </c>
      <c r="K31">
        <v>46.494837190308246</v>
      </c>
    </row>
    <row r="32" spans="1:25" x14ac:dyDescent="0.25">
      <c r="A32">
        <v>4</v>
      </c>
      <c r="B32">
        <v>418.49689327687588</v>
      </c>
      <c r="C32">
        <v>37.724935332794921</v>
      </c>
      <c r="D32">
        <v>384.09042057567223</v>
      </c>
      <c r="E32">
        <v>29.135953377861771</v>
      </c>
      <c r="F32">
        <v>213.40897431461272</v>
      </c>
      <c r="G32">
        <v>5.171359739432372</v>
      </c>
      <c r="H32">
        <v>322.82829148881029</v>
      </c>
      <c r="I32">
        <v>30.187409265878024</v>
      </c>
      <c r="J32">
        <v>431.27068381495474</v>
      </c>
      <c r="K32">
        <v>29.470666425843042</v>
      </c>
    </row>
    <row r="33" spans="1:11" x14ac:dyDescent="0.25">
      <c r="A33">
        <v>7</v>
      </c>
      <c r="B33" s="15">
        <v>421.12191405401614</v>
      </c>
      <c r="C33">
        <v>82.743978026919152</v>
      </c>
      <c r="D33" s="15">
        <v>458.38038427982997</v>
      </c>
      <c r="E33">
        <v>62.881238632705958</v>
      </c>
      <c r="F33" s="15">
        <v>221.91426151488272</v>
      </c>
      <c r="G33">
        <v>25.643301496597939</v>
      </c>
      <c r="H33" s="15">
        <v>153.74560420312221</v>
      </c>
      <c r="I33">
        <v>30.332260061838848</v>
      </c>
      <c r="J33" s="2">
        <v>573.06990630940015</v>
      </c>
      <c r="K33">
        <v>106.98858148825643</v>
      </c>
    </row>
    <row r="34" spans="1:11" x14ac:dyDescent="0.25">
      <c r="A34">
        <v>10</v>
      </c>
      <c r="B34" s="15">
        <v>643.36641307850664</v>
      </c>
      <c r="C34">
        <v>51.917111111057409</v>
      </c>
      <c r="D34" s="15">
        <v>449.47263938352609</v>
      </c>
      <c r="E34">
        <v>20.881570218433293</v>
      </c>
      <c r="F34" s="15">
        <v>106.60208617683749</v>
      </c>
      <c r="G34">
        <v>16.536449817936838</v>
      </c>
      <c r="H34" s="2">
        <v>174.00202643795171</v>
      </c>
      <c r="I34">
        <v>42.097191766296625</v>
      </c>
      <c r="J34" s="15">
        <v>432.71321265917044</v>
      </c>
      <c r="K34">
        <v>34.607100002262364</v>
      </c>
    </row>
    <row r="35" spans="1:11" x14ac:dyDescent="0.25">
      <c r="A35">
        <v>15</v>
      </c>
      <c r="B35" s="15">
        <v>243.21120348294716</v>
      </c>
      <c r="C35">
        <v>31.592587465651373</v>
      </c>
      <c r="D35" s="15">
        <v>433.06847333154394</v>
      </c>
      <c r="E35">
        <v>67.986057819695901</v>
      </c>
      <c r="F35" s="15">
        <v>58.746768037895869</v>
      </c>
      <c r="G35">
        <v>2.4243755283899606</v>
      </c>
      <c r="H35" s="15">
        <v>251.20396536258536</v>
      </c>
      <c r="I35">
        <v>67.817543596256542</v>
      </c>
      <c r="J35">
        <v>549.03644892504462</v>
      </c>
      <c r="K35">
        <v>78.604505413832953</v>
      </c>
    </row>
    <row r="36" spans="1:11" x14ac:dyDescent="0.25">
      <c r="A36">
        <v>21</v>
      </c>
      <c r="B36" s="15">
        <v>335.60236415390398</v>
      </c>
      <c r="C36">
        <v>33.422848787904599</v>
      </c>
      <c r="D36" s="15">
        <v>588.82448562769548</v>
      </c>
      <c r="E36">
        <v>108.86870266272491</v>
      </c>
      <c r="F36" s="15">
        <v>68.472146976648972</v>
      </c>
      <c r="G36">
        <v>19.269211223900161</v>
      </c>
      <c r="H36" s="15">
        <v>81.98139295348993</v>
      </c>
      <c r="I36">
        <v>48.99537485610751</v>
      </c>
      <c r="J36" s="15">
        <v>511.94448009527849</v>
      </c>
      <c r="K36">
        <v>71.349342596650843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Full name for the abbreviation</vt:lpstr>
      <vt:lpstr>Fig. 1 B&amp;C</vt:lpstr>
      <vt:lpstr>Fig. 2 A-D</vt:lpstr>
      <vt:lpstr>Fig. 3 A-H</vt:lpstr>
      <vt:lpstr>Fig. 4 A-F</vt:lpstr>
      <vt:lpstr>Fig. 6 B-G</vt:lpstr>
      <vt:lpstr>AP</vt:lpstr>
      <vt:lpstr>AMBP</vt:lpstr>
      <vt:lpstr>SMBP</vt:lpstr>
      <vt:lpstr>MBP</vt:lpstr>
      <vt:lpstr>DIP</vt:lpstr>
      <vt:lpstr>DOP</vt:lpstr>
      <vt:lpstr>Dissolved P</vt:lpstr>
      <vt:lpstr>pH</vt:lpstr>
      <vt:lpstr>Data of soluble salt content</vt:lpstr>
      <vt:lpstr>OD600&amp;GIR</vt:lpstr>
      <vt:lpstr>TAP&amp;DIIP</vt:lpstr>
      <vt:lpstr>pH&amp;GIR correlation</vt:lpstr>
      <vt:lpstr>salt content&amp;GIR correlation</vt:lpstr>
      <vt:lpstr>AMBP&amp;DIIP correlation</vt:lpstr>
      <vt:lpstr>pH&amp;DIIP correlation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西西</dc:creator>
  <cp:lastModifiedBy>夏 一桐</cp:lastModifiedBy>
  <dcterms:created xsi:type="dcterms:W3CDTF">2023-03-22T11:04:51Z</dcterms:created>
  <dcterms:modified xsi:type="dcterms:W3CDTF">2023-09-20T12:35:23Z</dcterms:modified>
</cp:coreProperties>
</file>