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akemcgrath/Downloads/NATCOMMBIO_FINAL_microscale_velocity_dependent_unbinding_generates_a_macroscale_performance_efficiency_tradeoff_in_actomyosin_systems/"/>
    </mc:Choice>
  </mc:AlternateContent>
  <xr:revisionPtr revIDLastSave="0" documentId="13_ncr:1_{DB41EE3A-B104-2246-A4C1-BD2D42350988}" xr6:coauthVersionLast="47" xr6:coauthVersionMax="47" xr10:uidLastSave="{00000000-0000-0000-0000-000000000000}"/>
  <bookViews>
    <workbookView xWindow="35820" yWindow="500" windowWidth="22080" windowHeight="21100" xr2:uid="{B99DEE61-3799-554B-97CE-957A82EF290B}"/>
  </bookViews>
  <sheets>
    <sheet name="Supplementary Data 1" sheetId="2" r:id="rId1"/>
    <sheet name="Supplementary Data 2" sheetId="1" r:id="rId2"/>
    <sheet name="Supplementary Data 3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33" i="2" l="1"/>
  <c r="D132" i="2"/>
  <c r="D131" i="2"/>
  <c r="D130" i="2"/>
  <c r="D101" i="2"/>
  <c r="D21" i="2"/>
  <c r="D68" i="2"/>
  <c r="D67" i="2"/>
  <c r="D66" i="2"/>
  <c r="D65" i="2"/>
  <c r="D64" i="2"/>
  <c r="D63" i="2"/>
  <c r="D77" i="2"/>
  <c r="D53" i="2"/>
  <c r="D52" i="2"/>
  <c r="D51" i="2"/>
  <c r="D15" i="2"/>
  <c r="D107" i="2"/>
  <c r="D106" i="2"/>
  <c r="D105" i="2"/>
  <c r="D104" i="2"/>
  <c r="D103" i="2"/>
  <c r="D102" i="2"/>
  <c r="D27" i="2"/>
  <c r="D26" i="2"/>
  <c r="D25" i="2"/>
  <c r="D24" i="2"/>
  <c r="D23" i="2"/>
  <c r="D22" i="2"/>
  <c r="E12" i="1"/>
  <c r="E11" i="1"/>
  <c r="D70" i="2"/>
  <c r="E27" i="3"/>
  <c r="E26" i="3"/>
  <c r="D27" i="3"/>
  <c r="D26" i="3"/>
  <c r="E25" i="3"/>
  <c r="D25" i="3"/>
  <c r="D2" i="3"/>
  <c r="E2" i="3"/>
  <c r="E24" i="3"/>
  <c r="D24" i="3"/>
  <c r="E23" i="3"/>
  <c r="D23" i="3"/>
  <c r="F20" i="3"/>
  <c r="E22" i="3"/>
  <c r="E21" i="3"/>
  <c r="E20" i="3"/>
  <c r="E19" i="3"/>
  <c r="D22" i="3"/>
  <c r="D21" i="3"/>
  <c r="D20" i="3"/>
  <c r="D19" i="3"/>
  <c r="F22" i="3"/>
  <c r="F21" i="3"/>
  <c r="F19" i="3"/>
  <c r="D18" i="3"/>
  <c r="D17" i="3"/>
  <c r="D16" i="3"/>
  <c r="D15" i="3"/>
  <c r="D14" i="3"/>
  <c r="E13" i="3"/>
  <c r="D13" i="3"/>
  <c r="E12" i="3"/>
  <c r="D12" i="3"/>
  <c r="E11" i="3"/>
  <c r="E10" i="3"/>
  <c r="E9" i="3"/>
  <c r="E8" i="3"/>
  <c r="D11" i="3"/>
  <c r="D10" i="3"/>
  <c r="D9" i="3"/>
  <c r="D8" i="3"/>
  <c r="D7" i="3"/>
  <c r="D6" i="3"/>
  <c r="D5" i="3"/>
  <c r="D4" i="3"/>
  <c r="D3" i="3"/>
  <c r="D109" i="2"/>
  <c r="D108" i="2"/>
  <c r="D115" i="2"/>
  <c r="D116" i="2"/>
  <c r="D61" i="2"/>
  <c r="D60" i="2"/>
  <c r="D13" i="2"/>
  <c r="D12" i="2"/>
  <c r="D11" i="2"/>
  <c r="D10" i="2"/>
  <c r="D9" i="2"/>
  <c r="D8" i="2"/>
  <c r="D37" i="2"/>
  <c r="D41" i="2"/>
  <c r="D69" i="2"/>
  <c r="D100" i="2"/>
  <c r="D112" i="2"/>
  <c r="D14" i="2"/>
  <c r="D114" i="2"/>
  <c r="D40" i="2"/>
  <c r="D54" i="2"/>
  <c r="D33" i="2"/>
  <c r="D32" i="2"/>
  <c r="D31" i="2"/>
  <c r="D30" i="2"/>
  <c r="D29" i="2"/>
  <c r="D113" i="2"/>
  <c r="D111" i="2"/>
  <c r="D92" i="2"/>
  <c r="D59" i="2"/>
  <c r="D58" i="2"/>
  <c r="D39" i="2"/>
  <c r="D38" i="2"/>
  <c r="D28" i="2"/>
</calcChain>
</file>

<file path=xl/sharedStrings.xml><?xml version="1.0" encoding="utf-8"?>
<sst xmlns="http://schemas.openxmlformats.org/spreadsheetml/2006/main" count="906" uniqueCount="188">
  <si>
    <t>Muscle</t>
  </si>
  <si>
    <t>Hill parameter</t>
  </si>
  <si>
    <t>Hill error</t>
  </si>
  <si>
    <t>Percent STF</t>
  </si>
  <si>
    <t>Adductor pollicis</t>
  </si>
  <si>
    <t>Biceps brachii</t>
  </si>
  <si>
    <t>Biceps femoris</t>
  </si>
  <si>
    <t>Flexor digitorum profundis</t>
  </si>
  <si>
    <t>Gastrocnemius</t>
  </si>
  <si>
    <t>Gluteus maximus</t>
  </si>
  <si>
    <t>Iliopsoas</t>
  </si>
  <si>
    <t>Peroneus longus</t>
  </si>
  <si>
    <t>Rectus femoris</t>
  </si>
  <si>
    <t>Sartorius</t>
  </si>
  <si>
    <t>Soleus</t>
  </si>
  <si>
    <t>Sternomastoid</t>
  </si>
  <si>
    <t>Tibialis anterior</t>
  </si>
  <si>
    <t>Vastus lateralis</t>
  </si>
  <si>
    <t>Reference</t>
  </si>
  <si>
    <t>Animal</t>
  </si>
  <si>
    <t>Rana temporaria</t>
  </si>
  <si>
    <t>Common frog</t>
  </si>
  <si>
    <t>Homo Sapien</t>
  </si>
  <si>
    <t>Human</t>
  </si>
  <si>
    <t>Adductor Pollicis</t>
  </si>
  <si>
    <t>Forearms</t>
  </si>
  <si>
    <t>Xenopus Laevis</t>
  </si>
  <si>
    <t>African clawed frog</t>
  </si>
  <si>
    <t>Iliofibularis</t>
  </si>
  <si>
    <t>Mus Musculus</t>
  </si>
  <si>
    <t>Mouse</t>
  </si>
  <si>
    <t>Rattus</t>
  </si>
  <si>
    <t>Rat</t>
  </si>
  <si>
    <t>Cavia Porcellus</t>
  </si>
  <si>
    <t>Guinea-Pig</t>
  </si>
  <si>
    <t>Extensor digitorum longus</t>
  </si>
  <si>
    <t>Oryctolagus Cuniculus</t>
  </si>
  <si>
    <t>Rabbit</t>
  </si>
  <si>
    <t>Psoas</t>
  </si>
  <si>
    <t>Pseudemys scripta</t>
  </si>
  <si>
    <t>Pond slider</t>
  </si>
  <si>
    <t>Squalus acabthias</t>
  </si>
  <si>
    <t>Dogfish</t>
  </si>
  <si>
    <t>Cayprinus carpio</t>
  </si>
  <si>
    <t>Carp</t>
  </si>
  <si>
    <t>Stenotomus chrysops</t>
  </si>
  <si>
    <t>Scup</t>
  </si>
  <si>
    <t>Makaira nigricans</t>
  </si>
  <si>
    <t>Marlin</t>
  </si>
  <si>
    <t>Carcinus maenas</t>
  </si>
  <si>
    <t>European green crab</t>
  </si>
  <si>
    <t>Scaphoganthite levator</t>
  </si>
  <si>
    <t>Schistocerca gregaria</t>
  </si>
  <si>
    <t>Desert locust</t>
  </si>
  <si>
    <t>Schistocerca americana</t>
  </si>
  <si>
    <t>American bird grasshopper</t>
  </si>
  <si>
    <t>Neoconocephalus triops</t>
  </si>
  <si>
    <t>Broad-tipped conehead</t>
  </si>
  <si>
    <t>Neoconocephalus robustus</t>
  </si>
  <si>
    <t>Robust conehead</t>
  </si>
  <si>
    <t>Nickname</t>
  </si>
  <si>
    <t>Hill</t>
  </si>
  <si>
    <t>Romero</t>
  </si>
  <si>
    <t>Winters</t>
  </si>
  <si>
    <t>de Ruiter</t>
  </si>
  <si>
    <t>Alcazar</t>
  </si>
  <si>
    <t>Lannergren</t>
  </si>
  <si>
    <t>Josephson</t>
  </si>
  <si>
    <t>Temperature (C)</t>
  </si>
  <si>
    <t>Baratta</t>
  </si>
  <si>
    <t>Flexor digitorum longus</t>
  </si>
  <si>
    <t>Peroneus brevis</t>
  </si>
  <si>
    <t>Tibialis posteriror</t>
  </si>
  <si>
    <t>House cat</t>
  </si>
  <si>
    <t>Felis catus</t>
  </si>
  <si>
    <t>Wilke</t>
  </si>
  <si>
    <t>Homo sapien</t>
  </si>
  <si>
    <t>Tihanyi</t>
  </si>
  <si>
    <t>Glutei</t>
  </si>
  <si>
    <t>Vasti</t>
  </si>
  <si>
    <t>Hamstrings</t>
  </si>
  <si>
    <t>Miller</t>
  </si>
  <si>
    <t>Valour</t>
  </si>
  <si>
    <t>Luff</t>
  </si>
  <si>
    <t>Nelson</t>
  </si>
  <si>
    <t>Ranatunga</t>
  </si>
  <si>
    <t>Wild turkeys</t>
  </si>
  <si>
    <t>Meleagris</t>
  </si>
  <si>
    <t>Yes</t>
  </si>
  <si>
    <t>STF error</t>
  </si>
  <si>
    <t>STF reference</t>
  </si>
  <si>
    <t>α sample size</t>
  </si>
  <si>
    <t>Maximum efficiecny</t>
  </si>
  <si>
    <t>Source</t>
  </si>
  <si>
    <t>Testudo hermanni</t>
  </si>
  <si>
    <t>Greek tortoise</t>
  </si>
  <si>
    <t>Woledge</t>
  </si>
  <si>
    <t>Barclay</t>
  </si>
  <si>
    <t>Mus musculus</t>
  </si>
  <si>
    <t>Efficiency error</t>
  </si>
  <si>
    <t>Houdijk</t>
  </si>
  <si>
    <t>Rana pipiens</t>
  </si>
  <si>
    <t>Northern leopard frog</t>
  </si>
  <si>
    <t>Average?</t>
  </si>
  <si>
    <t>Other η metrics?</t>
  </si>
  <si>
    <t>Gilbert</t>
  </si>
  <si>
    <t>Xenopus laevis</t>
  </si>
  <si>
    <t>Buschman</t>
  </si>
  <si>
    <t>Mytilus edulis</t>
  </si>
  <si>
    <t>Blue mussel</t>
  </si>
  <si>
    <t>Anterior byssus retractor</t>
  </si>
  <si>
    <t>Curtin</t>
  </si>
  <si>
    <t>Scyliorhinus canicula</t>
  </si>
  <si>
    <t>White myotomal</t>
  </si>
  <si>
    <t>Anterior latissimus dorsi</t>
  </si>
  <si>
    <t>Posterior latissimus dorsi</t>
  </si>
  <si>
    <t>Chicken</t>
  </si>
  <si>
    <t>Gallus gallus</t>
  </si>
  <si>
    <t>Rall</t>
  </si>
  <si>
    <t>Asmussen</t>
  </si>
  <si>
    <t>Clafin</t>
  </si>
  <si>
    <t>Caiozzo</t>
  </si>
  <si>
    <t>Cooke</t>
  </si>
  <si>
    <t>Mutungi</t>
  </si>
  <si>
    <t>Lännergren</t>
  </si>
  <si>
    <t>Rome</t>
  </si>
  <si>
    <t>Johnston</t>
  </si>
  <si>
    <t>Malamud</t>
  </si>
  <si>
    <t>Josephston</t>
  </si>
  <si>
    <t>Gastrocnemius lateral</t>
  </si>
  <si>
    <t>Gastrocnemius medial</t>
  </si>
  <si>
    <t>go through and find temps and average</t>
  </si>
  <si>
    <t>how many in the average?</t>
  </si>
  <si>
    <t>then do stf sample size</t>
  </si>
  <si>
    <t>add additional muscle to stf</t>
  </si>
  <si>
    <t>Johnson</t>
  </si>
  <si>
    <t>Link</t>
  </si>
  <si>
    <t>https://link.springer.com/article/10.1007/s004210050608</t>
  </si>
  <si>
    <t>https://link.springer.com/article/10.1007/s004210050609</t>
  </si>
  <si>
    <t>https://link.springer.com/article/10.1007/s004210050610</t>
  </si>
  <si>
    <t>https://link.springer.com/article/10.1007/s004210050611</t>
  </si>
  <si>
    <t>https://physoc.onlinelibrary.wiley.com/doi/10.1113/jphysiol.1978.sp012444</t>
  </si>
  <si>
    <t>https://rupress.org/jgp/article/62/3/303/12802/Energetics-of-Contraction-in-Phasic-and-Tonic</t>
  </si>
  <si>
    <t>https://www.sciencedirect.com/science/article/pii/S0531556502002656?via%3Dihub</t>
  </si>
  <si>
    <t>https://link.springer.com/article/10.1007/BF02522511</t>
  </si>
  <si>
    <t>https://www.ncbi.nlm.nih.gov/pmc/articles/PMC1160974/</t>
  </si>
  <si>
    <t>https://physoc.onlinelibrary.wiley.com/doi/10.1113/jphysiol.1993.sp019937</t>
  </si>
  <si>
    <t>https://www.sciencedirect.com/science/article/pii/S0021929005000059?casa_token=HG_a1FQm0qcAAAAA:8f05UODjZ_3IZRGauWcHNBWWjsYCSKwyq6r44Qp_zleJ4HXkJduGP9B7qzCsgS7_80NuuAjCSg#bib7</t>
  </si>
  <si>
    <t>https://www.sciencedirect.com/science/article/pii/S0021929005000059?casa_token=HG_a1FQm0qcAAAAA:8f05UODjZ_3IZRGauWcHNBWWjsYCSKwyq6r44Qp_zleJ4HXkJduGP9B7qzCsgS7_80NuuAjCSg#bib8</t>
  </si>
  <si>
    <t>https://pubmed.ncbi.nlm.nih.gov/6747875/</t>
  </si>
  <si>
    <t>https://physoc.onlinelibrary.wiley.com/doi/10.1113/jphysiol.1949.sp004437</t>
  </si>
  <si>
    <t>https://royalsocietypublishing.org/doi/10.1098/rspb.1940.0010</t>
  </si>
  <si>
    <t>https://link.springer.com/article/10.1007/s004240050494</t>
  </si>
  <si>
    <t>https://physoc.onlinelibrary.wiley.com/doi/10.1113/jphysiol.1978.sp012516</t>
  </si>
  <si>
    <t>https://pubmed.ncbi.nlm.nih.gov/3611330/</t>
  </si>
  <si>
    <t>https://pubmed.ncbi.nlm.nih.gov/2951477/</t>
  </si>
  <si>
    <t>https://journals.biologists.com/jeb/article/158/1/343/6225/Efficiency-Of-Energy-Conversion-During-Shortening</t>
  </si>
  <si>
    <t>https://pubmed.ncbi.nlm.nih.gov/2213594/</t>
  </si>
  <si>
    <t>https://www.sciencedirect.com/science/article/pii/S1095643304000649?via%3Dihub</t>
  </si>
  <si>
    <t>https://link.springer.com/article/10.1007/BF02584437</t>
  </si>
  <si>
    <t>https://ms.copernicus.org/articles/7/19/2016/</t>
  </si>
  <si>
    <t>https://pubmed.ncbi.nlm.nih.gov/1556514/</t>
  </si>
  <si>
    <t>https://link.springer.com/article/10.1007/BF00610971</t>
  </si>
  <si>
    <t>https://journals.biologists.com/jeb/article/108/1/77/4279/Contraction-Dynamics-of-Flight-and-Stridulatory</t>
  </si>
  <si>
    <t>https://pubmed.ncbi.nlm.nih.gov/6491589/</t>
  </si>
  <si>
    <t>https://link.springer.com/article/10.1007/BF00430223</t>
  </si>
  <si>
    <t>https://www.frontiersin.org/journals/physiology/articles/10.3389/fphys.2019.00769/full</t>
  </si>
  <si>
    <t>https://www.sciencedirect.com/science/article/pii/0014488685900019?via%3Dihub</t>
  </si>
  <si>
    <t>https://pubmed.ncbi.nlm.nih.gov/2614737/</t>
  </si>
  <si>
    <t>https://pubmed.ncbi.nlm.nih.gov/1831326/</t>
  </si>
  <si>
    <t>https://physoc.onlinelibrary.wiley.com/doi/10.1113/jphysiol.1989.sp017758</t>
  </si>
  <si>
    <t>https://journals.biologists.com/jeb/article/131/1/265/5288/The-Contractile-Properties-of-a-Crab-Respiratory</t>
  </si>
  <si>
    <t>https://royalsocietypublishing.org/doi/10.1098/rspb.1939.0033</t>
  </si>
  <si>
    <t>https://pubmed.ncbi.nlm.nih.gov/14114167/</t>
  </si>
  <si>
    <t>https://royalsocietypublishing.org/doi/10.1098/rspb.1938.0050</t>
  </si>
  <si>
    <t>https://link.springer.com/article/10.1007/BF01753412</t>
  </si>
  <si>
    <t>https://physoc.onlinelibrary.wiley.com/doi/10.1113/jphysiol.1968.sp008582</t>
  </si>
  <si>
    <t>https://physoc.onlinelibrary.wiley.com/doi/abs/10.1113/jphysiol.1988.sp016909</t>
  </si>
  <si>
    <t>https://link.springer.com/article/10.1007/BF01843577</t>
  </si>
  <si>
    <t>https://www.biorxiv.org/content/10.1101/090944v4.full.pdf+html</t>
  </si>
  <si>
    <t>White myotome</t>
  </si>
  <si>
    <t>Red myotome</t>
  </si>
  <si>
    <t>Metathoracic</t>
  </si>
  <si>
    <t>Mesothoracic</t>
  </si>
  <si>
    <t>Simulation</t>
  </si>
  <si>
    <t>https://physoc.onlinelibrary.wiley.com/doi/10.1113/jphysiol.1990.sp018165</t>
  </si>
  <si>
    <t>https://journals.biologists.com/jeb/article/154/1/163/5910/The-Influence-of-Temperature-on-Muscle-Velocity</t>
  </si>
  <si>
    <t>Cyprinus carpio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</si>
</sst>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Aptos Narrow"/>
      <family val="2"/>
      <scheme val="minor"/>
    </font>
    <font>
      <sz val="16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u/>
      <sz val="12"/>
      <color theme="10"/>
      <name val="Aptos Narrow"/>
      <family val="2"/>
      <scheme val="minor"/>
    </font>
    <font>
      <sz val="12"/>
      <color theme="1"/>
      <name val="Aptos Narrow"/>
      <scheme val="minor"/>
    </font>
    <font>
      <sz val="8"/>
      <name val="Aptos Narrow"/>
      <family val="2"/>
      <scheme val="minor"/>
    </font>
    <font>
      <u/>
      <sz val="12"/>
      <color rgb="FF467886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1"/>
    <xf numFmtId="0" fontId="6" fillId="0" borderId="0" xfId="0" applyFont="1"/>
    <xf numFmtId="0" fontId="3" fillId="0" borderId="0" xfId="1" applyFill="1"/>
    <xf numFmtId="0" fontId="3" fillId="0" borderId="0" xfId="1" applyFill="1" applyBorder="1"/>
    <xf numFmtId="0" fontId="2" fillId="0" borderId="1" xfId="0" applyFont="1" applyBorder="1"/>
    <xf numFmtId="0" fontId="0" fillId="0" borderId="1" xfId="0" applyBorder="1"/>
    <xf numFmtId="0" fontId="3" fillId="0" borderId="1" xfId="1" applyFill="1" applyBorder="1"/>
    <xf numFmtId="0" fontId="4" fillId="0" borderId="1" xfId="0" applyFont="1" applyBorder="1"/>
    <xf numFmtId="0" fontId="2" fillId="0" borderId="2" xfId="0" applyFont="1" applyBorder="1"/>
    <xf numFmtId="0" fontId="3" fillId="0" borderId="2" xfId="1" applyFill="1" applyBorder="1"/>
  </cellXfs>
  <cellStyles count="2">
    <cellStyle name="Hyperlink" xfId="1" builtinId="8"/>
    <cellStyle name="Normal" xfId="0" builtinId="0"/>
  </cellStyles>
  <dxfs count="12">
    <dxf>
      <numFmt numFmtId="0" formatCode="General"/>
    </dxf>
    <dxf>
      <font>
        <strike val="0"/>
        <outline val="0"/>
        <shadow val="0"/>
        <u val="none"/>
        <vertAlign val="baseline"/>
        <sz val="16"/>
        <color theme="1"/>
        <name val="Aptos Narrow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Aptos Narrow"/>
        <family val="2"/>
        <scheme val="minor"/>
      </font>
      <alignment horizontal="center" vertical="bottom" textRotation="0" wrapText="0" indent="0" justifyLastLine="0" shrinkToFit="0" readingOrder="0"/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 Narrow"/>
        <family val="2"/>
        <scheme val="minor"/>
      </font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 Narrow"/>
        <family val="2"/>
        <scheme val="minor"/>
      </font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Aptos Narrow"/>
        <family val="2"/>
        <scheme val="minor"/>
      </font>
      <fill>
        <patternFill patternType="none">
          <bgColor auto="1"/>
        </patternFill>
      </fill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2263DFDA-9793-C748-B84C-DB0AD7222BD1}" name="Table2" displayName="Table2" ref="A1:G136" totalsRowShown="0" headerRowDxfId="11" dataDxfId="10">
  <autoFilter ref="A1:G136" xr:uid="{2263DFDA-9793-C748-B84C-DB0AD7222BD1}"/>
  <sortState xmlns:xlrd2="http://schemas.microsoft.com/office/spreadsheetml/2017/richdata2" ref="A2:G136">
    <sortCondition ref="C1:C136"/>
  </sortState>
  <tableColumns count="7">
    <tableColumn id="1" xr3:uid="{8AB25539-E8F1-704B-ADF9-36859DDF9FFB}" name="Animal" dataDxfId="9"/>
    <tableColumn id="2" xr3:uid="{39021D3B-909A-5541-900B-7E518F94CF06}" name="Nickname" dataDxfId="8"/>
    <tableColumn id="3" xr3:uid="{BC7F0605-19D3-4D45-9A3D-18326C381516}" name="Muscle" dataDxfId="7"/>
    <tableColumn id="4" xr3:uid="{6124EA16-A595-A749-8F0A-E63343CC9B4D}" name="Hill parameter" dataDxfId="6"/>
    <tableColumn id="5" xr3:uid="{58B453AA-06F9-6747-8A9D-E7D5F08D978A}" name="Temperature (C)" dataDxfId="5"/>
    <tableColumn id="6" xr3:uid="{7E069DE0-4DC9-4845-A8C2-72FD33D269C9}" name="Average?" dataDxfId="4"/>
    <tableColumn id="7" xr3:uid="{F68AFCF8-1105-6841-9185-4837EE16B9AE}" name="Reference" dataDxfId="3" dataCellStyle="Hyperlink"/>
  </tableColumns>
  <tableStyleInfo name="TableStyleMedium15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334D61C9-451A-184C-8364-922A9CDD9B28}" name="Table3" displayName="Table3" ref="A1:G17" totalsRowShown="0" headerRowDxfId="2">
  <autoFilter ref="A1:G17" xr:uid="{334D61C9-451A-184C-8364-922A9CDD9B28}"/>
  <tableColumns count="7">
    <tableColumn id="1" xr3:uid="{BFFB6507-5DC3-9246-9C9D-0975A94DA9AA}" name="Muscle"/>
    <tableColumn id="2" xr3:uid="{B7420269-6645-2948-9F69-2318BB77EA16}" name="Hill parameter"/>
    <tableColumn id="3" xr3:uid="{27A82864-A6DE-5644-8B8F-C046BDBCC6F2}" name="Hill error"/>
    <tableColumn id="4" xr3:uid="{690FDB50-146E-4E43-AE3E-7818BC560CD1}" name="Percent STF"/>
    <tableColumn id="5" xr3:uid="{22576EC0-4B54-9E46-B2B2-5CD2834012EC}" name="STF error"/>
    <tableColumn id="9" xr3:uid="{E141EF74-38F6-1945-9625-69B4F81CE815}" name="STF reference"/>
    <tableColumn id="6" xr3:uid="{F6D34A4C-14A9-9446-8CFE-57F95EC6DD37}" name="α sample size"/>
  </tableColumns>
  <tableStyleInfo name="TableStyleMedium15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40C838F-9E57-C54C-8B05-BCEF905A7040}" name="Table1" displayName="Table1" ref="A1:I27" totalsRowShown="0" headerRowDxfId="1">
  <autoFilter ref="A1:I27" xr:uid="{A40C838F-9E57-C54C-8B05-BCEF905A7040}"/>
  <tableColumns count="9">
    <tableColumn id="1" xr3:uid="{C61B441F-A31D-0B40-8205-B58A3578D1C8}" name="Animal"/>
    <tableColumn id="7" xr3:uid="{7E61DEB4-5AD3-CE45-9239-028FB2AD8FC9}" name="Nickname"/>
    <tableColumn id="2" xr3:uid="{C73548A7-6EFD-D04B-85A6-B3585D83FE52}" name="Muscle"/>
    <tableColumn id="3" xr3:uid="{380BCA07-A9F2-9042-A0C6-8E9691DF5AA5}" name="Hill parameter"/>
    <tableColumn id="8" xr3:uid="{C44709DE-7A66-FA4C-BA62-E70AD5102807}" name="Hill error" dataDxfId="0">
      <calculatedColumnFormula>(1/0.466) * (0.057/0.466)</calculatedColumnFormula>
    </tableColumn>
    <tableColumn id="4" xr3:uid="{7F98B416-8540-AA44-BBCD-CDA3EE3785D1}" name="Maximum efficiecny"/>
    <tableColumn id="9" xr3:uid="{E0FCF60F-D0A7-8F4E-9A15-27CA080713B7}" name="Efficiency error"/>
    <tableColumn id="5" xr3:uid="{89E836B6-0850-8D4F-B2DA-F41D9733F4A7}" name="Other η metrics?"/>
    <tableColumn id="6" xr3:uid="{C641150D-0F0D-734C-871C-D1D02A1BC27F}" name="Source"/>
  </tableColumns>
  <tableStyleInfo name="TableStyleMedium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pubmed.ncbi.nlm.nih.gov/2213594/" TargetMode="External"/><Relationship Id="rId21" Type="http://schemas.openxmlformats.org/officeDocument/2006/relationships/hyperlink" Target="https://doi.org/10.1007/BF00430223" TargetMode="External"/><Relationship Id="rId42" Type="http://schemas.openxmlformats.org/officeDocument/2006/relationships/hyperlink" Target="https://journals.biologists.com/jeb/article/158/1/343/6225/Efficiency-Of-Energy-Conversion-During-Shortening" TargetMode="External"/><Relationship Id="rId63" Type="http://schemas.openxmlformats.org/officeDocument/2006/relationships/hyperlink" Target="https://rupress.org/jgp/article/62/3/303/12802/Energetics-of-Contraction-in-Phasic-and-Tonic" TargetMode="External"/><Relationship Id="rId84" Type="http://schemas.openxmlformats.org/officeDocument/2006/relationships/hyperlink" Target="https://physoc.onlinelibrary.wiley.com/doi/10.1113/jphysiol.1949.sp004437" TargetMode="External"/><Relationship Id="rId16" Type="http://schemas.openxmlformats.org/officeDocument/2006/relationships/hyperlink" Target="https://doi.org/10.1098/rspb.1940.0010" TargetMode="External"/><Relationship Id="rId107" Type="http://schemas.openxmlformats.org/officeDocument/2006/relationships/hyperlink" Target="https://www.biorxiv.org/content/10.1101/090944v4.full.pdf+html" TargetMode="External"/><Relationship Id="rId11" Type="http://schemas.openxmlformats.org/officeDocument/2006/relationships/hyperlink" Target="https://www.ncbi.nlm.nih.gov/pmc/articles/PMC2270043/" TargetMode="External"/><Relationship Id="rId32" Type="http://schemas.openxmlformats.org/officeDocument/2006/relationships/hyperlink" Target="https://pubmed.ncbi.nlm.nih.gov/6747875/" TargetMode="External"/><Relationship Id="rId37" Type="http://schemas.openxmlformats.org/officeDocument/2006/relationships/hyperlink" Target="https://pubmed.ncbi.nlm.nih.gov/6747875/" TargetMode="External"/><Relationship Id="rId53" Type="http://schemas.openxmlformats.org/officeDocument/2006/relationships/hyperlink" Target="https://www.sciencedirect.com/science/article/pii/S0021929005000059?casa_token=HG_a1FQm0qcAAAAA:8f05UODjZ_3IZRGauWcHNBWWjsYCSKwyq6r44Qp_zleJ4HXkJduGP9B7qzCsgS7_80NuuAjCSg" TargetMode="External"/><Relationship Id="rId58" Type="http://schemas.openxmlformats.org/officeDocument/2006/relationships/hyperlink" Target="https://link.springer.com/article/10.1007/BF01753412" TargetMode="External"/><Relationship Id="rId74" Type="http://schemas.openxmlformats.org/officeDocument/2006/relationships/hyperlink" Target="https://physoc.onlinelibrary.wiley.com/doi/10.1113/jphysiol.1993.sp019937" TargetMode="External"/><Relationship Id="rId79" Type="http://schemas.openxmlformats.org/officeDocument/2006/relationships/hyperlink" Target="https://pubmed.ncbi.nlm.nih.gov/6747875/" TargetMode="External"/><Relationship Id="rId102" Type="http://schemas.openxmlformats.org/officeDocument/2006/relationships/hyperlink" Target="https://physoc.onlinelibrary.wiley.com/doi/abs/10.1113/jphysiol.1988.sp016909" TargetMode="External"/><Relationship Id="rId123" Type="http://schemas.openxmlformats.org/officeDocument/2006/relationships/hyperlink" Target="https://journals.biologists.com/jeb/article/154/1/163/5910/The-Influence-of-Temperature-on-Muscle-Velocity" TargetMode="External"/><Relationship Id="rId128" Type="http://schemas.openxmlformats.org/officeDocument/2006/relationships/hyperlink" Target="https://rupress.org/jgp/article/62/3/303/12802/Energetics-of-Contraction-in-Phasic-and-Tonic" TargetMode="External"/><Relationship Id="rId5" Type="http://schemas.openxmlformats.org/officeDocument/2006/relationships/hyperlink" Target="https://royalsocietypublishing.org/doi/10.1098/rspb.1938.0050" TargetMode="External"/><Relationship Id="rId90" Type="http://schemas.openxmlformats.org/officeDocument/2006/relationships/hyperlink" Target="https://pubmed.ncbi.nlm.nih.gov/2951477/" TargetMode="External"/><Relationship Id="rId95" Type="http://schemas.openxmlformats.org/officeDocument/2006/relationships/hyperlink" Target="https://link.springer.com/article/10.1007/BF02522511" TargetMode="External"/><Relationship Id="rId22" Type="http://schemas.openxmlformats.org/officeDocument/2006/relationships/hyperlink" Target="https://www.biorxiv.org/content/10.1101/090944v4.full.pdf+html" TargetMode="External"/><Relationship Id="rId27" Type="http://schemas.openxmlformats.org/officeDocument/2006/relationships/hyperlink" Target="https://link.springer.com/article/10.1007/BF01843577" TargetMode="External"/><Relationship Id="rId43" Type="http://schemas.openxmlformats.org/officeDocument/2006/relationships/hyperlink" Target="https://pubmed.ncbi.nlm.nih.gov/2213594/" TargetMode="External"/><Relationship Id="rId48" Type="http://schemas.openxmlformats.org/officeDocument/2006/relationships/hyperlink" Target="https://link.springer.com/article/10.1007/BF00610971" TargetMode="External"/><Relationship Id="rId64" Type="http://schemas.openxmlformats.org/officeDocument/2006/relationships/hyperlink" Target="https://rupress.org/jgp/article/62/3/303/12802/Energetics-of-Contraction-in-Phasic-and-Tonic" TargetMode="External"/><Relationship Id="rId69" Type="http://schemas.openxmlformats.org/officeDocument/2006/relationships/hyperlink" Target="https://pubmed.ncbi.nlm.nih.gov/14114167/" TargetMode="External"/><Relationship Id="rId113" Type="http://schemas.openxmlformats.org/officeDocument/2006/relationships/hyperlink" Target="https://www.biorxiv.org/content/10.1101/090944v4.full.pdf+html" TargetMode="External"/><Relationship Id="rId118" Type="http://schemas.openxmlformats.org/officeDocument/2006/relationships/hyperlink" Target="https://journals.biologists.com/jeb/article/108/1/77/4279/Contraction-Dynamics-of-Flight-and-Stridulatory" TargetMode="External"/><Relationship Id="rId80" Type="http://schemas.openxmlformats.org/officeDocument/2006/relationships/hyperlink" Target="https://pubmed.ncbi.nlm.nih.gov/6747875/" TargetMode="External"/><Relationship Id="rId85" Type="http://schemas.openxmlformats.org/officeDocument/2006/relationships/hyperlink" Target="https://doi.org/10.1098/rspb.1940.0010" TargetMode="External"/><Relationship Id="rId12" Type="http://schemas.openxmlformats.org/officeDocument/2006/relationships/hyperlink" Target="https://www.ncbi.nlm.nih.gov/pmc/articles/PMC2270043/" TargetMode="External"/><Relationship Id="rId17" Type="http://schemas.openxmlformats.org/officeDocument/2006/relationships/hyperlink" Target="https://doi.org/10.1007/BF02522511" TargetMode="External"/><Relationship Id="rId33" Type="http://schemas.openxmlformats.org/officeDocument/2006/relationships/hyperlink" Target="https://physoc.onlinelibrary.wiley.com/doi/10.1113/jphysiol.1989.sp017758" TargetMode="External"/><Relationship Id="rId38" Type="http://schemas.openxmlformats.org/officeDocument/2006/relationships/hyperlink" Target="https://pubmed.ncbi.nlm.nih.gov/6747875/" TargetMode="External"/><Relationship Id="rId59" Type="http://schemas.openxmlformats.org/officeDocument/2006/relationships/hyperlink" Target="https://link.springer.com/article/10.1007/BF01753412" TargetMode="External"/><Relationship Id="rId103" Type="http://schemas.openxmlformats.org/officeDocument/2006/relationships/hyperlink" Target="https://physoc.onlinelibrary.wiley.com/doi/abs/10.1113/jphysiol.1988.sp016909" TargetMode="External"/><Relationship Id="rId108" Type="http://schemas.openxmlformats.org/officeDocument/2006/relationships/hyperlink" Target="https://www.biorxiv.org/content/10.1101/090944v4.full.pdf+html" TargetMode="External"/><Relationship Id="rId124" Type="http://schemas.openxmlformats.org/officeDocument/2006/relationships/hyperlink" Target="https://www.sciencedirect.com/science/article/pii/S0531556502002656?via%3Dihub" TargetMode="External"/><Relationship Id="rId129" Type="http://schemas.openxmlformats.org/officeDocument/2006/relationships/hyperlink" Target="https://www.frontiersin.org/journals/physiology/articles/10.3389/fphys.2019.00769/full" TargetMode="External"/><Relationship Id="rId54" Type="http://schemas.openxmlformats.org/officeDocument/2006/relationships/hyperlink" Target="https://www.sciencedirect.com/science/article/pii/S0021929005000059?casa_token=HG_a1FQm0qcAAAAA:8f05UODjZ_3IZRGauWcHNBWWjsYCSKwyq6r44Qp_zleJ4HXkJduGP9B7qzCsgS7_80NuuAjCSg" TargetMode="External"/><Relationship Id="rId70" Type="http://schemas.openxmlformats.org/officeDocument/2006/relationships/hyperlink" Target="https://www.ncbi.nlm.nih.gov/pmc/articles/PMC1160974/" TargetMode="External"/><Relationship Id="rId75" Type="http://schemas.openxmlformats.org/officeDocument/2006/relationships/hyperlink" Target="https://physoc.onlinelibrary.wiley.com/doi/10.1113/jphysiol.1993.sp019937" TargetMode="External"/><Relationship Id="rId91" Type="http://schemas.openxmlformats.org/officeDocument/2006/relationships/hyperlink" Target="https://pubmed.ncbi.nlm.nih.gov/2213594/" TargetMode="External"/><Relationship Id="rId96" Type="http://schemas.openxmlformats.org/officeDocument/2006/relationships/hyperlink" Target="https://link.springer.com/article/10.1007/BF02522511" TargetMode="External"/><Relationship Id="rId1" Type="http://schemas.openxmlformats.org/officeDocument/2006/relationships/hyperlink" Target="https://doi.org/10.1098/rspb.1938.0050" TargetMode="External"/><Relationship Id="rId6" Type="http://schemas.openxmlformats.org/officeDocument/2006/relationships/hyperlink" Target="https://doi.org/10.5194/ms-7-19-2016" TargetMode="External"/><Relationship Id="rId23" Type="http://schemas.openxmlformats.org/officeDocument/2006/relationships/hyperlink" Target="https://doi.org/10.1016/S0531-5565(02)00265-6" TargetMode="External"/><Relationship Id="rId28" Type="http://schemas.openxmlformats.org/officeDocument/2006/relationships/hyperlink" Target="https://doi.org/10.1007/BF00430223" TargetMode="External"/><Relationship Id="rId49" Type="http://schemas.openxmlformats.org/officeDocument/2006/relationships/hyperlink" Target="https://journals.biologists.com/jeb/article/159/1/65/6165/Force-Velocity-Relationships-of-a-Locust-Flight" TargetMode="External"/><Relationship Id="rId114" Type="http://schemas.openxmlformats.org/officeDocument/2006/relationships/hyperlink" Target="https://pubmed.ncbi.nlm.nih.gov/6491589/" TargetMode="External"/><Relationship Id="rId119" Type="http://schemas.openxmlformats.org/officeDocument/2006/relationships/hyperlink" Target="https://link.springer.com/article/10.1007/BF00610971" TargetMode="External"/><Relationship Id="rId44" Type="http://schemas.openxmlformats.org/officeDocument/2006/relationships/hyperlink" Target="https://pubmed.ncbi.nlm.nih.gov/1556514/" TargetMode="External"/><Relationship Id="rId60" Type="http://schemas.openxmlformats.org/officeDocument/2006/relationships/hyperlink" Target="https://link.springer.com/article/10.1007/s004240050494" TargetMode="External"/><Relationship Id="rId65" Type="http://schemas.openxmlformats.org/officeDocument/2006/relationships/hyperlink" Target="https://pubmed.ncbi.nlm.nih.gov/14114167/" TargetMode="External"/><Relationship Id="rId81" Type="http://schemas.openxmlformats.org/officeDocument/2006/relationships/hyperlink" Target="https://pubmed.ncbi.nlm.nih.gov/6747875/" TargetMode="External"/><Relationship Id="rId86" Type="http://schemas.openxmlformats.org/officeDocument/2006/relationships/hyperlink" Target="https://doi.org/10.1098/rspb.1940.0010" TargetMode="External"/><Relationship Id="rId130" Type="http://schemas.openxmlformats.org/officeDocument/2006/relationships/hyperlink" Target="https://physoc.onlinelibrary.wiley.com/doi/10.1113/jphysiol.1993.sp019937" TargetMode="External"/><Relationship Id="rId13" Type="http://schemas.openxmlformats.org/officeDocument/2006/relationships/hyperlink" Target="https://www.frontiersin.org/journals/physiology/articles/10.3389/fphys.2019.00769/full" TargetMode="External"/><Relationship Id="rId18" Type="http://schemas.openxmlformats.org/officeDocument/2006/relationships/hyperlink" Target="https://doi.org/10.1007/BF02522511" TargetMode="External"/><Relationship Id="rId39" Type="http://schemas.openxmlformats.org/officeDocument/2006/relationships/hyperlink" Target="https://physoc.onlinelibrary.wiley.com/doi/abs/10.1113/jphysiol.1988.sp016909" TargetMode="External"/><Relationship Id="rId109" Type="http://schemas.openxmlformats.org/officeDocument/2006/relationships/hyperlink" Target="https://www.biorxiv.org/content/10.1101/090944v4.full.pdf+html" TargetMode="External"/><Relationship Id="rId34" Type="http://schemas.openxmlformats.org/officeDocument/2006/relationships/hyperlink" Target="https://pubmed.ncbi.nlm.nih.gov/2614737/" TargetMode="External"/><Relationship Id="rId50" Type="http://schemas.openxmlformats.org/officeDocument/2006/relationships/hyperlink" Target="https://journals.biologists.com/jeb/article/108/1/77/4279/Contraction-Dynamics-of-Flight-and-Stridulatory" TargetMode="External"/><Relationship Id="rId55" Type="http://schemas.openxmlformats.org/officeDocument/2006/relationships/hyperlink" Target="https://royalsocietypublishing.org/doi/10.1098/rspb.1939.0033" TargetMode="External"/><Relationship Id="rId76" Type="http://schemas.openxmlformats.org/officeDocument/2006/relationships/hyperlink" Target="https://pubmed.ncbi.nlm.nih.gov/6747875/" TargetMode="External"/><Relationship Id="rId97" Type="http://schemas.openxmlformats.org/officeDocument/2006/relationships/hyperlink" Target="https://link.springer.com/article/10.1007/BF02522511" TargetMode="External"/><Relationship Id="rId104" Type="http://schemas.openxmlformats.org/officeDocument/2006/relationships/hyperlink" Target="https://link.springer.com/article/10.1007/BF01843577" TargetMode="External"/><Relationship Id="rId120" Type="http://schemas.openxmlformats.org/officeDocument/2006/relationships/hyperlink" Target="https://physoc.onlinelibrary.wiley.com/doi/10.1113/jphysiol.1990.sp018165" TargetMode="External"/><Relationship Id="rId125" Type="http://schemas.openxmlformats.org/officeDocument/2006/relationships/hyperlink" Target="https://physoc.onlinelibrary.wiley.com/doi/abs/10.1113/jphysiol.1988.sp016909" TargetMode="External"/><Relationship Id="rId7" Type="http://schemas.openxmlformats.org/officeDocument/2006/relationships/hyperlink" Target="https://link.springer.com/article/10.1007/BF02584437" TargetMode="External"/><Relationship Id="rId71" Type="http://schemas.openxmlformats.org/officeDocument/2006/relationships/hyperlink" Target="https://www.ncbi.nlm.nih.gov/pmc/articles/PMC1160974/" TargetMode="External"/><Relationship Id="rId92" Type="http://schemas.openxmlformats.org/officeDocument/2006/relationships/hyperlink" Target="https://link.springer.com/article/10.1007/BF02522511" TargetMode="External"/><Relationship Id="rId2" Type="http://schemas.openxmlformats.org/officeDocument/2006/relationships/hyperlink" Target="https://royalsocietypublishing.org/doi/10.1098/rspb.1938.0050" TargetMode="External"/><Relationship Id="rId29" Type="http://schemas.openxmlformats.org/officeDocument/2006/relationships/hyperlink" Target="https://doi.org/10.1016/0014-4886(85)90001-9" TargetMode="External"/><Relationship Id="rId24" Type="http://schemas.openxmlformats.org/officeDocument/2006/relationships/hyperlink" Target="https://doi.org/10.1016/S0531-5565(02)00265-6" TargetMode="External"/><Relationship Id="rId40" Type="http://schemas.openxmlformats.org/officeDocument/2006/relationships/hyperlink" Target="https://pubmed.ncbi.nlm.nih.gov/2951477/" TargetMode="External"/><Relationship Id="rId45" Type="http://schemas.openxmlformats.org/officeDocument/2006/relationships/hyperlink" Target="https://pubmed.ncbi.nlm.nih.gov/1556514/" TargetMode="External"/><Relationship Id="rId66" Type="http://schemas.openxmlformats.org/officeDocument/2006/relationships/hyperlink" Target="https://pubmed.ncbi.nlm.nih.gov/14114167/" TargetMode="External"/><Relationship Id="rId87" Type="http://schemas.openxmlformats.org/officeDocument/2006/relationships/hyperlink" Target="https://pubmed.ncbi.nlm.nih.gov/3611330/" TargetMode="External"/><Relationship Id="rId110" Type="http://schemas.openxmlformats.org/officeDocument/2006/relationships/hyperlink" Target="https://www.biorxiv.org/content/10.1101/090944v4.full.pdf+html" TargetMode="External"/><Relationship Id="rId115" Type="http://schemas.openxmlformats.org/officeDocument/2006/relationships/hyperlink" Target="https://journals.biologists.com/jeb/article/158/1/343/6225/Efficiency-Of-Energy-Conversion-During-Shortening" TargetMode="External"/><Relationship Id="rId131" Type="http://schemas.openxmlformats.org/officeDocument/2006/relationships/hyperlink" Target="https://physoc.onlinelibrary.wiley.com/doi/10.1113/jphysiol.1978.sp012516" TargetMode="External"/><Relationship Id="rId61" Type="http://schemas.openxmlformats.org/officeDocument/2006/relationships/hyperlink" Target="https://physoc.onlinelibrary.wiley.com/doi/10.1113/jphysiol.1978.sp012444" TargetMode="External"/><Relationship Id="rId82" Type="http://schemas.openxmlformats.org/officeDocument/2006/relationships/hyperlink" Target="https://pubmed.ncbi.nlm.nih.gov/6747875/" TargetMode="External"/><Relationship Id="rId19" Type="http://schemas.openxmlformats.org/officeDocument/2006/relationships/hyperlink" Target="https://physoc.onlinelibrary.wiley.com/doi/10.1113/jphysiol.1949.sp004437" TargetMode="External"/><Relationship Id="rId14" Type="http://schemas.openxmlformats.org/officeDocument/2006/relationships/hyperlink" Target="https://www.frontiersin.org/journals/physiology/articles/10.3389/fphys.2019.00769/full" TargetMode="External"/><Relationship Id="rId30" Type="http://schemas.openxmlformats.org/officeDocument/2006/relationships/hyperlink" Target="https://doi.org/10.1113/jphysiol.1968.sp008582" TargetMode="External"/><Relationship Id="rId35" Type="http://schemas.openxmlformats.org/officeDocument/2006/relationships/hyperlink" Target="https://pubmed.ncbi.nlm.nih.gov/1831326/" TargetMode="External"/><Relationship Id="rId56" Type="http://schemas.openxmlformats.org/officeDocument/2006/relationships/hyperlink" Target="https://link.springer.com/article/10.1007/BF01753412" TargetMode="External"/><Relationship Id="rId77" Type="http://schemas.openxmlformats.org/officeDocument/2006/relationships/hyperlink" Target="https://pubmed.ncbi.nlm.nih.gov/6747875/" TargetMode="External"/><Relationship Id="rId100" Type="http://schemas.openxmlformats.org/officeDocument/2006/relationships/hyperlink" Target="https://physoc.onlinelibrary.wiley.com/doi/abs/10.1113/jphysiol.1988.sp016909" TargetMode="External"/><Relationship Id="rId105" Type="http://schemas.openxmlformats.org/officeDocument/2006/relationships/hyperlink" Target="https://link.springer.com/article/10.1007/BF01843577" TargetMode="External"/><Relationship Id="rId126" Type="http://schemas.openxmlformats.org/officeDocument/2006/relationships/hyperlink" Target="https://pubmed.ncbi.nlm.nih.gov/6491589/" TargetMode="External"/><Relationship Id="rId8" Type="http://schemas.openxmlformats.org/officeDocument/2006/relationships/hyperlink" Target="https://link.springer.com/article/10.1007/BF02584437" TargetMode="External"/><Relationship Id="rId51" Type="http://schemas.openxmlformats.org/officeDocument/2006/relationships/hyperlink" Target="https://www.sciencedirect.com/science/article/pii/S0021929005000059?casa_token=HG_a1FQm0qcAAAAA:8f05UODjZ_3IZRGauWcHNBWWjsYCSKwyq6r44Qp_zleJ4HXkJduGP9B7qzCsgS7_80NuuAjCSg" TargetMode="External"/><Relationship Id="rId72" Type="http://schemas.openxmlformats.org/officeDocument/2006/relationships/hyperlink" Target="https://physoc.onlinelibrary.wiley.com/doi/10.1113/jphysiol.1993.sp019937" TargetMode="External"/><Relationship Id="rId93" Type="http://schemas.openxmlformats.org/officeDocument/2006/relationships/hyperlink" Target="https://link.springer.com/article/10.1007/BF02522511" TargetMode="External"/><Relationship Id="rId98" Type="http://schemas.openxmlformats.org/officeDocument/2006/relationships/hyperlink" Target="https://link.springer.com/article/10.1007/BF02522511" TargetMode="External"/><Relationship Id="rId121" Type="http://schemas.openxmlformats.org/officeDocument/2006/relationships/hyperlink" Target="https://physoc.onlinelibrary.wiley.com/doi/10.1113/jphysiol.1990.sp018165" TargetMode="External"/><Relationship Id="rId3" Type="http://schemas.openxmlformats.org/officeDocument/2006/relationships/hyperlink" Target="https://royalsocietypublishing.org/doi/10.1098/rspb.1938.0050" TargetMode="External"/><Relationship Id="rId25" Type="http://schemas.openxmlformats.org/officeDocument/2006/relationships/hyperlink" Target="https://doi.org/10.1016/0014-4886(85)90001-9" TargetMode="External"/><Relationship Id="rId46" Type="http://schemas.openxmlformats.org/officeDocument/2006/relationships/hyperlink" Target="https://pubmed.ncbi.nlm.nih.gov/6491589/" TargetMode="External"/><Relationship Id="rId67" Type="http://schemas.openxmlformats.org/officeDocument/2006/relationships/hyperlink" Target="https://pubmed.ncbi.nlm.nih.gov/14114167/" TargetMode="External"/><Relationship Id="rId116" Type="http://schemas.openxmlformats.org/officeDocument/2006/relationships/hyperlink" Target="https://pubmed.ncbi.nlm.nih.gov/2213594/" TargetMode="External"/><Relationship Id="rId20" Type="http://schemas.openxmlformats.org/officeDocument/2006/relationships/hyperlink" Target="10.1113/jphysiol.1949.sp004437" TargetMode="External"/><Relationship Id="rId41" Type="http://schemas.openxmlformats.org/officeDocument/2006/relationships/hyperlink" Target="https://pubmed.ncbi.nlm.nih.gov/3611330/" TargetMode="External"/><Relationship Id="rId62" Type="http://schemas.openxmlformats.org/officeDocument/2006/relationships/hyperlink" Target="https://journals.biologists.com/jeb/article/158/1/343/6225/Efficiency-Of-Energy-Conversion-During-Shortening" TargetMode="External"/><Relationship Id="rId83" Type="http://schemas.openxmlformats.org/officeDocument/2006/relationships/hyperlink" Target="https://doi.org/10.1007/BF02522511" TargetMode="External"/><Relationship Id="rId88" Type="http://schemas.openxmlformats.org/officeDocument/2006/relationships/hyperlink" Target="https://doi.org/10.1113/jphysiol.1978.sp012516" TargetMode="External"/><Relationship Id="rId111" Type="http://schemas.openxmlformats.org/officeDocument/2006/relationships/hyperlink" Target="https://www.biorxiv.org/content/10.1101/090944v4.full.pdf+html" TargetMode="External"/><Relationship Id="rId132" Type="http://schemas.openxmlformats.org/officeDocument/2006/relationships/hyperlink" Target="https://pubmed.ncbi.nlm.nih.gov/3611330/" TargetMode="External"/><Relationship Id="rId15" Type="http://schemas.openxmlformats.org/officeDocument/2006/relationships/hyperlink" Target="https://doi.org/10.3389/fphys.2019.00769" TargetMode="External"/><Relationship Id="rId36" Type="http://schemas.openxmlformats.org/officeDocument/2006/relationships/hyperlink" Target="https://physoc.onlinelibrary.wiley.com/doi/10.1113/jphysiol.1989.sp017758" TargetMode="External"/><Relationship Id="rId57" Type="http://schemas.openxmlformats.org/officeDocument/2006/relationships/hyperlink" Target="https://link.springer.com/article/10.1007/BF01753412" TargetMode="External"/><Relationship Id="rId106" Type="http://schemas.openxmlformats.org/officeDocument/2006/relationships/hyperlink" Target="https://www.biorxiv.org/content/10.1101/090944v4.full.pdf+html" TargetMode="External"/><Relationship Id="rId127" Type="http://schemas.openxmlformats.org/officeDocument/2006/relationships/hyperlink" Target="https://www.sciencedirect.com/science/article/pii/S0531556502002656?via%3Dihub" TargetMode="External"/><Relationship Id="rId10" Type="http://schemas.openxmlformats.org/officeDocument/2006/relationships/hyperlink" Target="https://link.springer.com/article/10.1007/s004210050608" TargetMode="External"/><Relationship Id="rId31" Type="http://schemas.openxmlformats.org/officeDocument/2006/relationships/hyperlink" Target="https://physoc.onlinelibrary.wiley.com/doi/10.1113/jphysiol.1989.sp017758" TargetMode="External"/><Relationship Id="rId52" Type="http://schemas.openxmlformats.org/officeDocument/2006/relationships/hyperlink" Target="https://www.sciencedirect.com/science/article/pii/S0021929005000059?casa_token=HG_a1FQm0qcAAAAA:8f05UODjZ_3IZRGauWcHNBWWjsYCSKwyq6r44Qp_zleJ4HXkJduGP9B7qzCsgS7_80NuuAjCSg" TargetMode="External"/><Relationship Id="rId73" Type="http://schemas.openxmlformats.org/officeDocument/2006/relationships/hyperlink" Target="https://physoc.onlinelibrary.wiley.com/doi/10.1113/jphysiol.1993.sp019937" TargetMode="External"/><Relationship Id="rId78" Type="http://schemas.openxmlformats.org/officeDocument/2006/relationships/hyperlink" Target="https://pubmed.ncbi.nlm.nih.gov/6747875/" TargetMode="External"/><Relationship Id="rId94" Type="http://schemas.openxmlformats.org/officeDocument/2006/relationships/hyperlink" Target="https://link.springer.com/article/10.1007/BF02522511" TargetMode="External"/><Relationship Id="rId99" Type="http://schemas.openxmlformats.org/officeDocument/2006/relationships/hyperlink" Target="https://physoc.onlinelibrary.wiley.com/doi/abs/10.1113/jphysiol.1988.sp016909" TargetMode="External"/><Relationship Id="rId101" Type="http://schemas.openxmlformats.org/officeDocument/2006/relationships/hyperlink" Target="https://physoc.onlinelibrary.wiley.com/doi/abs/10.1113/jphysiol.1988.sp016909" TargetMode="External"/><Relationship Id="rId122" Type="http://schemas.openxmlformats.org/officeDocument/2006/relationships/hyperlink" Target="https://journals.biologists.com/jeb/article/154/1/163/5910/The-Influence-of-Temperature-on-Muscle-Velocity" TargetMode="External"/><Relationship Id="rId4" Type="http://schemas.openxmlformats.org/officeDocument/2006/relationships/hyperlink" Target="https://royalsocietypublishing.org/doi/10.1098/rspb.1938.0050" TargetMode="External"/><Relationship Id="rId9" Type="http://schemas.openxmlformats.org/officeDocument/2006/relationships/hyperlink" Target="https://link.springer.com/article/10.1007/s004210050608" TargetMode="External"/><Relationship Id="rId26" Type="http://schemas.openxmlformats.org/officeDocument/2006/relationships/hyperlink" Target="https://doi.org/10.1016/j.cbpb.2004.02.004" TargetMode="External"/><Relationship Id="rId47" Type="http://schemas.openxmlformats.org/officeDocument/2006/relationships/hyperlink" Target="https://journals.biologists.com/jeb/article/131/1/265/5288/The-Contractile-Properties-of-a-Crab-Respiratory" TargetMode="External"/><Relationship Id="rId68" Type="http://schemas.openxmlformats.org/officeDocument/2006/relationships/hyperlink" Target="https://pubmed.ncbi.nlm.nih.gov/14114167/" TargetMode="External"/><Relationship Id="rId89" Type="http://schemas.openxmlformats.org/officeDocument/2006/relationships/hyperlink" Target="https://doi.org/10.1113/jphysiol.1978.sp012516" TargetMode="External"/><Relationship Id="rId112" Type="http://schemas.openxmlformats.org/officeDocument/2006/relationships/hyperlink" Target="https://www.biorxiv.org/content/10.1101/090944v4.full.pdf+html" TargetMode="External"/><Relationship Id="rId133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hyperlink" Target="https://www.jns-journal.com/article/0022-510X(73)90023-3/abstract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sciencedirect.com/science/article/pii/S0021929005000059?casa_token=HG_a1FQm0qcAAAAA:8f05UODjZ_3IZRGauWcHNBWWjsYCSKwyq6r44Qp_zleJ4HXkJduGP9B7qzCsgS7_80NuuAjCSg" TargetMode="External"/><Relationship Id="rId13" Type="http://schemas.openxmlformats.org/officeDocument/2006/relationships/hyperlink" Target="https://physoc.onlinelibrary.wiley.com/doi/10.1113/jphysiol.1978.sp012444" TargetMode="External"/><Relationship Id="rId18" Type="http://schemas.openxmlformats.org/officeDocument/2006/relationships/table" Target="../tables/table3.xml"/><Relationship Id="rId3" Type="http://schemas.openxmlformats.org/officeDocument/2006/relationships/hyperlink" Target="https://www.ncbi.nlm.nih.gov/pmc/articles/PMC1160974/" TargetMode="External"/><Relationship Id="rId7" Type="http://schemas.openxmlformats.org/officeDocument/2006/relationships/hyperlink" Target="https://www.sciencedirect.com/science/article/pii/S0021929005000059?casa_token=HG_a1FQm0qcAAAAA:8f05UODjZ_3IZRGauWcHNBWWjsYCSKwyq6r44Qp_zleJ4HXkJduGP9B7qzCsgS7_80NuuAjCSg" TargetMode="External"/><Relationship Id="rId12" Type="http://schemas.openxmlformats.org/officeDocument/2006/relationships/hyperlink" Target="https://link.springer.com/article/10.1007/s004240050494" TargetMode="External"/><Relationship Id="rId17" Type="http://schemas.openxmlformats.org/officeDocument/2006/relationships/hyperlink" Target="https://rupress.org/jgp/article/62/3/303/12802/Energetics-of-Contraction-in-Phasic-and-Tonic" TargetMode="External"/><Relationship Id="rId2" Type="http://schemas.openxmlformats.org/officeDocument/2006/relationships/hyperlink" Target="https://pubmed.ncbi.nlm.nih.gov/14114167/" TargetMode="External"/><Relationship Id="rId16" Type="http://schemas.openxmlformats.org/officeDocument/2006/relationships/hyperlink" Target="https://rupress.org/jgp/article/62/3/303/12802/Energetics-of-Contraction-in-Phasic-and-Tonic" TargetMode="External"/><Relationship Id="rId1" Type="http://schemas.openxmlformats.org/officeDocument/2006/relationships/hyperlink" Target="https://pubmed.ncbi.nlm.nih.gov/14114167/" TargetMode="External"/><Relationship Id="rId6" Type="http://schemas.openxmlformats.org/officeDocument/2006/relationships/hyperlink" Target="https://physoc.onlinelibrary.wiley.com/doi/10.1113/jphysiol.1993.sp019937" TargetMode="External"/><Relationship Id="rId11" Type="http://schemas.openxmlformats.org/officeDocument/2006/relationships/hyperlink" Target="https://link.springer.com/article/10.1007/BF01753412" TargetMode="External"/><Relationship Id="rId5" Type="http://schemas.openxmlformats.org/officeDocument/2006/relationships/hyperlink" Target="https://physoc.onlinelibrary.wiley.com/doi/10.1113/jphysiol.1993.sp019937" TargetMode="External"/><Relationship Id="rId15" Type="http://schemas.openxmlformats.org/officeDocument/2006/relationships/hyperlink" Target="https://journals.biologists.com/jeb/article/158/1/343/6225/Efficiency-Of-Energy-Conversion-During-Shortening" TargetMode="External"/><Relationship Id="rId10" Type="http://schemas.openxmlformats.org/officeDocument/2006/relationships/hyperlink" Target="https://link.springer.com/article/10.1007/BF01753412" TargetMode="External"/><Relationship Id="rId4" Type="http://schemas.openxmlformats.org/officeDocument/2006/relationships/hyperlink" Target="https://www.ncbi.nlm.nih.gov/pmc/articles/PMC1160974/" TargetMode="External"/><Relationship Id="rId9" Type="http://schemas.openxmlformats.org/officeDocument/2006/relationships/hyperlink" Target="https://royalsocietypublishing.org/doi/10.1098/rspb.1939.0033" TargetMode="External"/><Relationship Id="rId14" Type="http://schemas.openxmlformats.org/officeDocument/2006/relationships/hyperlink" Target="https://doi.org/10.1113/jphysiol.1968.sp0085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D6B2D6-5EE1-C144-839A-47CE922654C6}">
  <dimension ref="A1:K150"/>
  <sheetViews>
    <sheetView tabSelected="1" zoomScale="140" zoomScaleNormal="140" workbookViewId="0">
      <selection activeCell="C13" sqref="C13"/>
    </sheetView>
  </sheetViews>
  <sheetFormatPr baseColWidth="10" defaultRowHeight="16" x14ac:dyDescent="0.2"/>
  <cols>
    <col min="1" max="1" width="23.5" bestFit="1" customWidth="1"/>
    <col min="2" max="2" width="22.83203125" bestFit="1" customWidth="1"/>
    <col min="3" max="3" width="22" bestFit="1" customWidth="1"/>
    <col min="4" max="4" width="21.83203125" bestFit="1" customWidth="1"/>
    <col min="5" max="5" width="24" bestFit="1" customWidth="1"/>
    <col min="6" max="7" width="19.1640625" customWidth="1"/>
    <col min="10" max="10" width="19.1640625" customWidth="1"/>
  </cols>
  <sheetData>
    <row r="1" spans="1:11" ht="22" x14ac:dyDescent="0.3">
      <c r="A1" s="1" t="s">
        <v>19</v>
      </c>
      <c r="B1" s="1" t="s">
        <v>60</v>
      </c>
      <c r="C1" s="1" t="s">
        <v>0</v>
      </c>
      <c r="D1" s="1" t="s">
        <v>1</v>
      </c>
      <c r="E1" s="1" t="s">
        <v>68</v>
      </c>
      <c r="F1" s="1" t="s">
        <v>103</v>
      </c>
      <c r="G1" s="1" t="s">
        <v>18</v>
      </c>
      <c r="J1" s="1" t="s">
        <v>136</v>
      </c>
    </row>
    <row r="2" spans="1:11" x14ac:dyDescent="0.2">
      <c r="A2" s="2" t="s">
        <v>22</v>
      </c>
      <c r="B2" s="2" t="s">
        <v>23</v>
      </c>
      <c r="C2" s="2" t="s">
        <v>24</v>
      </c>
      <c r="D2" s="2">
        <v>3.5714285710000002</v>
      </c>
      <c r="E2" s="2">
        <v>36</v>
      </c>
      <c r="F2" s="2" t="s">
        <v>88</v>
      </c>
      <c r="G2" s="5" t="s">
        <v>64</v>
      </c>
      <c r="J2" t="s">
        <v>137</v>
      </c>
      <c r="K2" t="s">
        <v>131</v>
      </c>
    </row>
    <row r="3" spans="1:11" x14ac:dyDescent="0.2">
      <c r="A3" s="2" t="s">
        <v>22</v>
      </c>
      <c r="B3" s="2" t="s">
        <v>23</v>
      </c>
      <c r="C3" s="2" t="s">
        <v>24</v>
      </c>
      <c r="D3" s="2">
        <v>5</v>
      </c>
      <c r="E3" s="2">
        <v>36</v>
      </c>
      <c r="F3" s="2" t="s">
        <v>88</v>
      </c>
      <c r="G3" s="5" t="s">
        <v>64</v>
      </c>
      <c r="J3" t="s">
        <v>138</v>
      </c>
      <c r="K3" t="s">
        <v>132</v>
      </c>
    </row>
    <row r="4" spans="1:11" x14ac:dyDescent="0.2">
      <c r="A4" s="2" t="s">
        <v>22</v>
      </c>
      <c r="B4" s="2" t="s">
        <v>23</v>
      </c>
      <c r="C4" s="2" t="s">
        <v>24</v>
      </c>
      <c r="D4" s="2">
        <v>4.3478260869999996</v>
      </c>
      <c r="E4" s="2">
        <v>36</v>
      </c>
      <c r="F4" s="2" t="s">
        <v>88</v>
      </c>
      <c r="G4" s="5" t="s">
        <v>64</v>
      </c>
      <c r="J4" t="s">
        <v>139</v>
      </c>
      <c r="K4" t="s">
        <v>133</v>
      </c>
    </row>
    <row r="5" spans="1:11" x14ac:dyDescent="0.2">
      <c r="A5" s="2" t="s">
        <v>22</v>
      </c>
      <c r="B5" s="2" t="s">
        <v>23</v>
      </c>
      <c r="C5" s="2" t="s">
        <v>24</v>
      </c>
      <c r="D5" s="2">
        <v>7.1428571429999996</v>
      </c>
      <c r="E5" s="2">
        <v>36</v>
      </c>
      <c r="F5" s="2" t="s">
        <v>88</v>
      </c>
      <c r="G5" s="5" t="s">
        <v>64</v>
      </c>
      <c r="J5" t="s">
        <v>140</v>
      </c>
      <c r="K5" t="s">
        <v>134</v>
      </c>
    </row>
    <row r="6" spans="1:11" x14ac:dyDescent="0.2">
      <c r="A6" s="2" t="s">
        <v>108</v>
      </c>
      <c r="B6" s="2" t="s">
        <v>109</v>
      </c>
      <c r="C6" s="2" t="s">
        <v>110</v>
      </c>
      <c r="D6" s="2">
        <v>14.28571429</v>
      </c>
      <c r="E6" s="2">
        <v>20</v>
      </c>
      <c r="F6" s="2" t="s">
        <v>88</v>
      </c>
      <c r="G6" s="6" t="s">
        <v>105</v>
      </c>
      <c r="J6" t="s">
        <v>141</v>
      </c>
    </row>
    <row r="7" spans="1:11" x14ac:dyDescent="0.2">
      <c r="A7" s="2" t="s">
        <v>117</v>
      </c>
      <c r="B7" s="2" t="s">
        <v>116</v>
      </c>
      <c r="C7" s="2" t="s">
        <v>114</v>
      </c>
      <c r="D7" s="2">
        <v>9.0909090910000003</v>
      </c>
      <c r="E7" s="2">
        <v>21</v>
      </c>
      <c r="F7" s="2" t="s">
        <v>88</v>
      </c>
      <c r="G7" s="6" t="s">
        <v>118</v>
      </c>
      <c r="J7" t="s">
        <v>142</v>
      </c>
    </row>
    <row r="8" spans="1:11" x14ac:dyDescent="0.2">
      <c r="A8" s="2" t="s">
        <v>76</v>
      </c>
      <c r="B8" s="2" t="s">
        <v>23</v>
      </c>
      <c r="C8" t="s">
        <v>5</v>
      </c>
      <c r="D8">
        <f>1/0.47</f>
        <v>2.1276595744680851</v>
      </c>
      <c r="F8" t="s">
        <v>88</v>
      </c>
      <c r="G8" s="6" t="s">
        <v>82</v>
      </c>
      <c r="J8" t="s">
        <v>143</v>
      </c>
    </row>
    <row r="9" spans="1:11" x14ac:dyDescent="0.2">
      <c r="A9" s="2" t="s">
        <v>76</v>
      </c>
      <c r="B9" s="2" t="s">
        <v>23</v>
      </c>
      <c r="C9" t="s">
        <v>5</v>
      </c>
      <c r="D9">
        <f>1/0.51</f>
        <v>1.9607843137254901</v>
      </c>
      <c r="F9" t="s">
        <v>88</v>
      </c>
      <c r="G9" s="6" t="s">
        <v>82</v>
      </c>
      <c r="J9" s="3" t="s">
        <v>143</v>
      </c>
    </row>
    <row r="10" spans="1:11" x14ac:dyDescent="0.2">
      <c r="A10" s="2" t="s">
        <v>76</v>
      </c>
      <c r="B10" s="2" t="s">
        <v>23</v>
      </c>
      <c r="C10" t="s">
        <v>5</v>
      </c>
      <c r="D10">
        <f>1/0.44</f>
        <v>2.2727272727272729</v>
      </c>
      <c r="F10" t="s">
        <v>88</v>
      </c>
      <c r="G10" s="6" t="s">
        <v>82</v>
      </c>
      <c r="J10" t="s">
        <v>143</v>
      </c>
    </row>
    <row r="11" spans="1:11" x14ac:dyDescent="0.2">
      <c r="A11" s="2" t="s">
        <v>76</v>
      </c>
      <c r="B11" s="2" t="s">
        <v>23</v>
      </c>
      <c r="C11" t="s">
        <v>5</v>
      </c>
      <c r="D11">
        <f>1/0.33</f>
        <v>3.0303030303030303</v>
      </c>
      <c r="F11" t="s">
        <v>88</v>
      </c>
      <c r="G11" s="6" t="s">
        <v>82</v>
      </c>
      <c r="J11" t="s">
        <v>143</v>
      </c>
    </row>
    <row r="12" spans="1:11" x14ac:dyDescent="0.2">
      <c r="A12" s="2" t="s">
        <v>76</v>
      </c>
      <c r="B12" s="2" t="s">
        <v>23</v>
      </c>
      <c r="C12" t="s">
        <v>5</v>
      </c>
      <c r="D12">
        <f>1/0.39</f>
        <v>2.5641025641025639</v>
      </c>
      <c r="F12" t="s">
        <v>88</v>
      </c>
      <c r="G12" s="6" t="s">
        <v>82</v>
      </c>
      <c r="J12" t="s">
        <v>143</v>
      </c>
    </row>
    <row r="13" spans="1:11" x14ac:dyDescent="0.2">
      <c r="A13" s="2" t="s">
        <v>76</v>
      </c>
      <c r="B13" s="2" t="s">
        <v>23</v>
      </c>
      <c r="C13" t="s">
        <v>5</v>
      </c>
      <c r="D13">
        <f>1/0.23</f>
        <v>4.3478260869565215</v>
      </c>
      <c r="F13" t="s">
        <v>88</v>
      </c>
      <c r="G13" s="6" t="s">
        <v>82</v>
      </c>
      <c r="J13" s="3" t="s">
        <v>143</v>
      </c>
    </row>
    <row r="14" spans="1:11" x14ac:dyDescent="0.2">
      <c r="A14" s="2" t="s">
        <v>76</v>
      </c>
      <c r="B14" s="2" t="s">
        <v>23</v>
      </c>
      <c r="C14" t="s">
        <v>6</v>
      </c>
      <c r="D14">
        <f>1/0.22</f>
        <v>4.5454545454545459</v>
      </c>
      <c r="G14" s="5" t="s">
        <v>81</v>
      </c>
      <c r="J14" t="s">
        <v>179</v>
      </c>
    </row>
    <row r="15" spans="1:11" x14ac:dyDescent="0.2">
      <c r="A15" s="2" t="s">
        <v>74</v>
      </c>
      <c r="B15" s="2" t="s">
        <v>73</v>
      </c>
      <c r="C15" s="2" t="s">
        <v>35</v>
      </c>
      <c r="D15" s="2">
        <f>4155/280</f>
        <v>14.839285714285714</v>
      </c>
      <c r="E15" s="2"/>
      <c r="F15" s="2" t="s">
        <v>88</v>
      </c>
      <c r="G15" s="5" t="s">
        <v>69</v>
      </c>
      <c r="J15" t="s">
        <v>144</v>
      </c>
    </row>
    <row r="16" spans="1:11" x14ac:dyDescent="0.2">
      <c r="A16" s="2" t="s">
        <v>98</v>
      </c>
      <c r="B16" s="2" t="s">
        <v>30</v>
      </c>
      <c r="C16" s="2" t="s">
        <v>35</v>
      </c>
      <c r="D16" s="2">
        <v>2.1459227470000002</v>
      </c>
      <c r="E16" s="2">
        <v>25</v>
      </c>
      <c r="F16" s="2" t="s">
        <v>88</v>
      </c>
      <c r="G16" s="6" t="s">
        <v>97</v>
      </c>
      <c r="J16" t="s">
        <v>145</v>
      </c>
    </row>
    <row r="17" spans="1:10" x14ac:dyDescent="0.2">
      <c r="A17" s="2" t="s">
        <v>98</v>
      </c>
      <c r="B17" s="2" t="s">
        <v>30</v>
      </c>
      <c r="C17" s="2" t="s">
        <v>35</v>
      </c>
      <c r="D17" s="2">
        <v>1.543209877</v>
      </c>
      <c r="E17" s="2">
        <v>25</v>
      </c>
      <c r="F17" s="2" t="s">
        <v>88</v>
      </c>
      <c r="G17" s="6" t="s">
        <v>97</v>
      </c>
      <c r="J17" t="s">
        <v>145</v>
      </c>
    </row>
    <row r="18" spans="1:10" x14ac:dyDescent="0.2">
      <c r="A18" s="2" t="s">
        <v>98</v>
      </c>
      <c r="B18" s="2" t="s">
        <v>30</v>
      </c>
      <c r="C18" s="2" t="s">
        <v>35</v>
      </c>
      <c r="D18" s="2">
        <v>2.9411764709999999</v>
      </c>
      <c r="E18" s="2">
        <v>21</v>
      </c>
      <c r="F18" s="2" t="s">
        <v>88</v>
      </c>
      <c r="G18" s="6" t="s">
        <v>97</v>
      </c>
      <c r="J18" t="s">
        <v>146</v>
      </c>
    </row>
    <row r="19" spans="1:10" x14ac:dyDescent="0.2">
      <c r="A19" s="2" t="s">
        <v>98</v>
      </c>
      <c r="B19" s="2" t="s">
        <v>30</v>
      </c>
      <c r="C19" s="2" t="s">
        <v>35</v>
      </c>
      <c r="D19" s="2">
        <v>3.5714285710000002</v>
      </c>
      <c r="E19" s="2"/>
      <c r="F19" s="2"/>
      <c r="G19" s="6" t="s">
        <v>100</v>
      </c>
      <c r="J19" t="s">
        <v>147</v>
      </c>
    </row>
    <row r="20" spans="1:10" x14ac:dyDescent="0.2">
      <c r="A20" s="2" t="s">
        <v>98</v>
      </c>
      <c r="B20" s="2" t="s">
        <v>30</v>
      </c>
      <c r="C20" s="2" t="s">
        <v>35</v>
      </c>
      <c r="D20" s="2">
        <v>3.5714285710000002</v>
      </c>
      <c r="E20" s="2"/>
      <c r="F20" s="2"/>
      <c r="G20" s="6" t="s">
        <v>100</v>
      </c>
      <c r="J20" t="s">
        <v>148</v>
      </c>
    </row>
    <row r="21" spans="1:10" x14ac:dyDescent="0.2">
      <c r="A21" s="2" t="s">
        <v>31</v>
      </c>
      <c r="B21" s="2" t="s">
        <v>32</v>
      </c>
      <c r="C21" s="2" t="s">
        <v>35</v>
      </c>
      <c r="D21" s="2">
        <f>1/0.31</f>
        <v>3.2258064516129035</v>
      </c>
      <c r="E21" s="2">
        <v>35</v>
      </c>
      <c r="F21" s="2" t="s">
        <v>88</v>
      </c>
      <c r="G21" s="6" t="s">
        <v>85</v>
      </c>
      <c r="J21" t="s">
        <v>178</v>
      </c>
    </row>
    <row r="22" spans="1:10" x14ac:dyDescent="0.2">
      <c r="A22" s="2" t="s">
        <v>31</v>
      </c>
      <c r="B22" s="2" t="s">
        <v>32</v>
      </c>
      <c r="C22" s="2" t="s">
        <v>35</v>
      </c>
      <c r="D22">
        <f>1/0.143</f>
        <v>6.9930069930069934</v>
      </c>
      <c r="E22">
        <v>10</v>
      </c>
      <c r="F22" t="s">
        <v>88</v>
      </c>
      <c r="G22" s="5" t="s">
        <v>85</v>
      </c>
      <c r="J22" t="s">
        <v>149</v>
      </c>
    </row>
    <row r="23" spans="1:10" x14ac:dyDescent="0.2">
      <c r="A23" s="2" t="s">
        <v>31</v>
      </c>
      <c r="B23" s="2" t="s">
        <v>32</v>
      </c>
      <c r="C23" s="2" t="s">
        <v>35</v>
      </c>
      <c r="D23" s="2">
        <f>1/0.19</f>
        <v>5.2631578947368425</v>
      </c>
      <c r="E23" s="2">
        <v>15</v>
      </c>
      <c r="F23" s="2" t="s">
        <v>88</v>
      </c>
      <c r="G23" s="5" t="s">
        <v>85</v>
      </c>
      <c r="J23" t="s">
        <v>149</v>
      </c>
    </row>
    <row r="24" spans="1:10" x14ac:dyDescent="0.2">
      <c r="A24" s="2" t="s">
        <v>31</v>
      </c>
      <c r="B24" s="2" t="s">
        <v>32</v>
      </c>
      <c r="C24" s="2" t="s">
        <v>35</v>
      </c>
      <c r="D24" s="2">
        <f>1/0.267</f>
        <v>3.7453183520599249</v>
      </c>
      <c r="E24" s="2">
        <v>20</v>
      </c>
      <c r="F24" s="2" t="s">
        <v>88</v>
      </c>
      <c r="G24" s="5" t="s">
        <v>85</v>
      </c>
      <c r="J24" t="s">
        <v>149</v>
      </c>
    </row>
    <row r="25" spans="1:10" x14ac:dyDescent="0.2">
      <c r="A25" s="2" t="s">
        <v>31</v>
      </c>
      <c r="B25" s="2" t="s">
        <v>32</v>
      </c>
      <c r="C25" s="2" t="s">
        <v>35</v>
      </c>
      <c r="D25" s="2">
        <f>1/0.369</f>
        <v>2.7100271002710028</v>
      </c>
      <c r="E25" s="2">
        <v>25</v>
      </c>
      <c r="F25" s="2" t="s">
        <v>88</v>
      </c>
      <c r="G25" s="5" t="s">
        <v>85</v>
      </c>
      <c r="J25" t="s">
        <v>149</v>
      </c>
    </row>
    <row r="26" spans="1:10" x14ac:dyDescent="0.2">
      <c r="A26" s="2" t="s">
        <v>31</v>
      </c>
      <c r="B26" s="2" t="s">
        <v>32</v>
      </c>
      <c r="C26" s="2" t="s">
        <v>35</v>
      </c>
      <c r="D26" s="2">
        <f>1/0.344</f>
        <v>2.9069767441860468</v>
      </c>
      <c r="E26" s="2">
        <v>30</v>
      </c>
      <c r="F26" s="2" t="s">
        <v>88</v>
      </c>
      <c r="G26" s="5" t="s">
        <v>85</v>
      </c>
      <c r="J26" t="s">
        <v>149</v>
      </c>
    </row>
    <row r="27" spans="1:10" x14ac:dyDescent="0.2">
      <c r="A27" s="2" t="s">
        <v>31</v>
      </c>
      <c r="B27" s="2" t="s">
        <v>32</v>
      </c>
      <c r="C27" s="2" t="s">
        <v>35</v>
      </c>
      <c r="D27" s="2">
        <f>1/0.384</f>
        <v>2.6041666666666665</v>
      </c>
      <c r="E27" s="2">
        <v>35</v>
      </c>
      <c r="F27" s="2" t="s">
        <v>88</v>
      </c>
      <c r="G27" s="5" t="s">
        <v>85</v>
      </c>
      <c r="J27" t="s">
        <v>149</v>
      </c>
    </row>
    <row r="28" spans="1:10" x14ac:dyDescent="0.2">
      <c r="A28" s="2" t="s">
        <v>74</v>
      </c>
      <c r="B28" s="2" t="s">
        <v>73</v>
      </c>
      <c r="C28" t="s">
        <v>70</v>
      </c>
      <c r="D28" s="2">
        <f>3137/560</f>
        <v>5.6017857142857146</v>
      </c>
      <c r="F28" t="s">
        <v>88</v>
      </c>
      <c r="G28" s="5" t="s">
        <v>69</v>
      </c>
      <c r="J28" t="s">
        <v>144</v>
      </c>
    </row>
    <row r="29" spans="1:10" x14ac:dyDescent="0.2">
      <c r="A29" s="2" t="s">
        <v>76</v>
      </c>
      <c r="B29" s="2" t="s">
        <v>23</v>
      </c>
      <c r="C29" s="2" t="s">
        <v>70</v>
      </c>
      <c r="D29">
        <f>1/0.33</f>
        <v>3.0303030303030303</v>
      </c>
      <c r="G29" s="6" t="s">
        <v>75</v>
      </c>
      <c r="J29" t="s">
        <v>150</v>
      </c>
    </row>
    <row r="30" spans="1:10" x14ac:dyDescent="0.2">
      <c r="A30" s="2" t="s">
        <v>76</v>
      </c>
      <c r="B30" s="2" t="s">
        <v>23</v>
      </c>
      <c r="C30" s="2" t="s">
        <v>70</v>
      </c>
      <c r="D30">
        <f>1/0.48</f>
        <v>2.0833333333333335</v>
      </c>
      <c r="G30" s="6" t="s">
        <v>75</v>
      </c>
      <c r="J30" t="s">
        <v>150</v>
      </c>
    </row>
    <row r="31" spans="1:10" x14ac:dyDescent="0.2">
      <c r="A31" s="2" t="s">
        <v>76</v>
      </c>
      <c r="B31" s="2" t="s">
        <v>23</v>
      </c>
      <c r="C31" s="2" t="s">
        <v>70</v>
      </c>
      <c r="D31">
        <f>1/0.42</f>
        <v>2.3809523809523809</v>
      </c>
      <c r="G31" s="6" t="s">
        <v>75</v>
      </c>
      <c r="J31" t="s">
        <v>150</v>
      </c>
    </row>
    <row r="32" spans="1:10" x14ac:dyDescent="0.2">
      <c r="A32" s="2" t="s">
        <v>76</v>
      </c>
      <c r="B32" s="2" t="s">
        <v>23</v>
      </c>
      <c r="C32" s="2" t="s">
        <v>70</v>
      </c>
      <c r="D32">
        <f>1/0.37</f>
        <v>2.7027027027027026</v>
      </c>
      <c r="G32" s="6" t="s">
        <v>75</v>
      </c>
      <c r="J32" t="s">
        <v>150</v>
      </c>
    </row>
    <row r="33" spans="1:10" x14ac:dyDescent="0.2">
      <c r="A33" s="2" t="s">
        <v>76</v>
      </c>
      <c r="B33" s="2" t="s">
        <v>23</v>
      </c>
      <c r="C33" s="2" t="s">
        <v>70</v>
      </c>
      <c r="D33">
        <f>1/0.2</f>
        <v>5</v>
      </c>
      <c r="G33" s="6" t="s">
        <v>75</v>
      </c>
      <c r="J33" t="s">
        <v>150</v>
      </c>
    </row>
    <row r="34" spans="1:10" x14ac:dyDescent="0.2">
      <c r="A34" s="2" t="s">
        <v>22</v>
      </c>
      <c r="B34" s="2" t="s">
        <v>23</v>
      </c>
      <c r="C34" s="2" t="s">
        <v>25</v>
      </c>
      <c r="D34" s="2">
        <v>3</v>
      </c>
      <c r="E34" s="2"/>
      <c r="F34" s="2"/>
      <c r="G34" s="5" t="s">
        <v>61</v>
      </c>
      <c r="J34" t="s">
        <v>151</v>
      </c>
    </row>
    <row r="35" spans="1:10" x14ac:dyDescent="0.2">
      <c r="A35" s="2"/>
      <c r="B35" s="2" t="s">
        <v>23</v>
      </c>
      <c r="C35" s="2" t="s">
        <v>25</v>
      </c>
      <c r="D35" s="2">
        <v>4</v>
      </c>
      <c r="E35" s="2"/>
      <c r="F35" s="2"/>
      <c r="G35" s="5" t="s">
        <v>61</v>
      </c>
      <c r="J35" t="s">
        <v>151</v>
      </c>
    </row>
    <row r="36" spans="1:10" x14ac:dyDescent="0.2">
      <c r="A36" s="2" t="s">
        <v>22</v>
      </c>
      <c r="B36" s="2" t="s">
        <v>23</v>
      </c>
      <c r="C36" s="2" t="s">
        <v>25</v>
      </c>
      <c r="D36" s="2">
        <v>5</v>
      </c>
      <c r="E36" s="2"/>
      <c r="F36" s="2"/>
      <c r="G36" s="5" t="s">
        <v>61</v>
      </c>
      <c r="J36" t="s">
        <v>151</v>
      </c>
    </row>
    <row r="37" spans="1:10" x14ac:dyDescent="0.2">
      <c r="A37" s="2" t="s">
        <v>76</v>
      </c>
      <c r="B37" s="2" t="s">
        <v>23</v>
      </c>
      <c r="C37" t="s">
        <v>8</v>
      </c>
      <c r="D37">
        <f>1/0.3</f>
        <v>3.3333333333333335</v>
      </c>
      <c r="G37" s="5" t="s">
        <v>81</v>
      </c>
      <c r="J37" t="s">
        <v>179</v>
      </c>
    </row>
    <row r="38" spans="1:10" x14ac:dyDescent="0.2">
      <c r="A38" s="2" t="s">
        <v>74</v>
      </c>
      <c r="B38" s="2" t="s">
        <v>73</v>
      </c>
      <c r="C38" t="s">
        <v>129</v>
      </c>
      <c r="D38" s="2">
        <f>6736/1050</f>
        <v>6.4152380952380952</v>
      </c>
      <c r="F38" t="s">
        <v>88</v>
      </c>
      <c r="G38" s="5" t="s">
        <v>69</v>
      </c>
      <c r="J38" t="s">
        <v>144</v>
      </c>
    </row>
    <row r="39" spans="1:10" x14ac:dyDescent="0.2">
      <c r="A39" s="2" t="s">
        <v>74</v>
      </c>
      <c r="B39" s="2" t="s">
        <v>73</v>
      </c>
      <c r="C39" s="2" t="s">
        <v>130</v>
      </c>
      <c r="D39" s="2">
        <f>5560/1440</f>
        <v>3.8611111111111112</v>
      </c>
      <c r="F39" t="s">
        <v>88</v>
      </c>
      <c r="G39" s="5" t="s">
        <v>69</v>
      </c>
      <c r="J39" t="s">
        <v>144</v>
      </c>
    </row>
    <row r="40" spans="1:10" x14ac:dyDescent="0.2">
      <c r="A40" s="2" t="s">
        <v>76</v>
      </c>
      <c r="B40" s="2" t="s">
        <v>23</v>
      </c>
      <c r="C40" t="s">
        <v>78</v>
      </c>
      <c r="D40">
        <f>1/0.29</f>
        <v>3.4482758620689657</v>
      </c>
      <c r="G40" s="5" t="s">
        <v>81</v>
      </c>
      <c r="J40" t="s">
        <v>179</v>
      </c>
    </row>
    <row r="41" spans="1:10" x14ac:dyDescent="0.2">
      <c r="A41" s="2" t="s">
        <v>76</v>
      </c>
      <c r="B41" s="2" t="s">
        <v>23</v>
      </c>
      <c r="C41" t="s">
        <v>80</v>
      </c>
      <c r="D41">
        <f>1/0.26</f>
        <v>3.8461538461538458</v>
      </c>
      <c r="G41" s="5" t="s">
        <v>81</v>
      </c>
      <c r="J41" t="s">
        <v>179</v>
      </c>
    </row>
    <row r="42" spans="1:10" x14ac:dyDescent="0.2">
      <c r="A42" s="2" t="s">
        <v>106</v>
      </c>
      <c r="B42" s="2" t="s">
        <v>27</v>
      </c>
      <c r="C42" s="2" t="s">
        <v>28</v>
      </c>
      <c r="D42" s="2">
        <v>2.3255813949999999</v>
      </c>
      <c r="E42" s="2">
        <v>20</v>
      </c>
      <c r="F42" s="2" t="s">
        <v>88</v>
      </c>
      <c r="G42" s="6" t="s">
        <v>107</v>
      </c>
      <c r="J42" t="s">
        <v>152</v>
      </c>
    </row>
    <row r="43" spans="1:10" x14ac:dyDescent="0.2">
      <c r="A43" s="2" t="s">
        <v>26</v>
      </c>
      <c r="B43" s="2" t="s">
        <v>27</v>
      </c>
      <c r="C43" s="2" t="s">
        <v>28</v>
      </c>
      <c r="D43" s="2">
        <v>2.6315789469999999</v>
      </c>
      <c r="E43" s="2">
        <v>20</v>
      </c>
      <c r="F43" s="2" t="s">
        <v>88</v>
      </c>
      <c r="G43" s="5" t="s">
        <v>66</v>
      </c>
      <c r="J43" s="3" t="s">
        <v>153</v>
      </c>
    </row>
    <row r="44" spans="1:10" x14ac:dyDescent="0.2">
      <c r="A44" s="2" t="s">
        <v>26</v>
      </c>
      <c r="B44" s="2" t="s">
        <v>27</v>
      </c>
      <c r="C44" s="2" t="s">
        <v>28</v>
      </c>
      <c r="D44" s="2">
        <v>2.8571428569999999</v>
      </c>
      <c r="E44" s="2">
        <v>10</v>
      </c>
      <c r="F44" s="2" t="s">
        <v>88</v>
      </c>
      <c r="G44" s="5" t="s">
        <v>66</v>
      </c>
      <c r="J44" t="s">
        <v>153</v>
      </c>
    </row>
    <row r="45" spans="1:10" x14ac:dyDescent="0.2">
      <c r="A45" s="2" t="s">
        <v>26</v>
      </c>
      <c r="B45" s="2" t="s">
        <v>27</v>
      </c>
      <c r="C45" s="2" t="s">
        <v>28</v>
      </c>
      <c r="D45" s="2">
        <v>2.8571428569999999</v>
      </c>
      <c r="E45" s="2">
        <v>5</v>
      </c>
      <c r="F45" s="2" t="s">
        <v>88</v>
      </c>
      <c r="G45" s="5" t="s">
        <v>66</v>
      </c>
      <c r="J45" t="s">
        <v>153</v>
      </c>
    </row>
    <row r="46" spans="1:10" x14ac:dyDescent="0.2">
      <c r="A46" s="2" t="s">
        <v>26</v>
      </c>
      <c r="B46" s="2" t="s">
        <v>27</v>
      </c>
      <c r="C46" s="2" t="s">
        <v>28</v>
      </c>
      <c r="D46" s="2">
        <v>10</v>
      </c>
      <c r="E46" s="2">
        <v>22</v>
      </c>
      <c r="F46" s="2"/>
      <c r="G46" s="5" t="s">
        <v>66</v>
      </c>
      <c r="J46" t="s">
        <v>153</v>
      </c>
    </row>
    <row r="47" spans="1:10" x14ac:dyDescent="0.2">
      <c r="A47" s="2" t="s">
        <v>26</v>
      </c>
      <c r="B47" s="2" t="s">
        <v>27</v>
      </c>
      <c r="C47" s="2" t="s">
        <v>28</v>
      </c>
      <c r="D47" s="2">
        <v>3.125</v>
      </c>
      <c r="E47" s="2">
        <v>20</v>
      </c>
      <c r="F47" s="2" t="s">
        <v>88</v>
      </c>
      <c r="G47" s="5" t="s">
        <v>124</v>
      </c>
      <c r="J47" s="3" t="s">
        <v>154</v>
      </c>
    </row>
    <row r="48" spans="1:10" x14ac:dyDescent="0.2">
      <c r="A48" s="2" t="s">
        <v>26</v>
      </c>
      <c r="B48" s="2" t="s">
        <v>27</v>
      </c>
      <c r="C48" s="2" t="s">
        <v>28</v>
      </c>
      <c r="D48" s="2">
        <v>3.448275862</v>
      </c>
      <c r="E48" s="2">
        <v>20</v>
      </c>
      <c r="F48" s="2" t="s">
        <v>88</v>
      </c>
      <c r="G48" s="5" t="s">
        <v>124</v>
      </c>
      <c r="J48" t="s">
        <v>154</v>
      </c>
    </row>
    <row r="49" spans="1:10" x14ac:dyDescent="0.2">
      <c r="A49" s="2" t="s">
        <v>26</v>
      </c>
      <c r="B49" s="2" t="s">
        <v>27</v>
      </c>
      <c r="C49" s="2" t="s">
        <v>28</v>
      </c>
      <c r="D49" s="2">
        <v>3.846153846</v>
      </c>
      <c r="E49" s="2">
        <v>20</v>
      </c>
      <c r="F49" s="2" t="s">
        <v>88</v>
      </c>
      <c r="G49" s="5" t="s">
        <v>124</v>
      </c>
      <c r="J49" t="s">
        <v>154</v>
      </c>
    </row>
    <row r="50" spans="1:10" x14ac:dyDescent="0.2">
      <c r="A50" s="2" t="s">
        <v>26</v>
      </c>
      <c r="B50" s="2" t="s">
        <v>27</v>
      </c>
      <c r="C50" s="2" t="s">
        <v>28</v>
      </c>
      <c r="D50" s="2">
        <v>4.7619047620000003</v>
      </c>
      <c r="E50" s="2">
        <v>20</v>
      </c>
      <c r="F50" s="2" t="s">
        <v>88</v>
      </c>
      <c r="G50" s="5" t="s">
        <v>124</v>
      </c>
      <c r="J50" t="s">
        <v>154</v>
      </c>
    </row>
    <row r="51" spans="1:10" x14ac:dyDescent="0.2">
      <c r="A51" s="2" t="s">
        <v>39</v>
      </c>
      <c r="B51" s="2" t="s">
        <v>40</v>
      </c>
      <c r="C51" s="2" t="s">
        <v>28</v>
      </c>
      <c r="D51" s="2">
        <f>1/0.29</f>
        <v>3.4482758620689657</v>
      </c>
      <c r="E51" s="2">
        <v>5</v>
      </c>
      <c r="F51" s="2" t="s">
        <v>88</v>
      </c>
      <c r="G51" s="5" t="s">
        <v>123</v>
      </c>
      <c r="J51" t="s">
        <v>155</v>
      </c>
    </row>
    <row r="52" spans="1:10" x14ac:dyDescent="0.2">
      <c r="A52" s="2" t="s">
        <v>39</v>
      </c>
      <c r="B52" s="2" t="s">
        <v>40</v>
      </c>
      <c r="C52" s="2" t="s">
        <v>28</v>
      </c>
      <c r="D52" s="2">
        <f>1/0.33</f>
        <v>3.0303030303030303</v>
      </c>
      <c r="E52" s="2">
        <v>15</v>
      </c>
      <c r="F52" s="2" t="s">
        <v>88</v>
      </c>
      <c r="G52" s="5" t="s">
        <v>123</v>
      </c>
      <c r="J52" t="s">
        <v>155</v>
      </c>
    </row>
    <row r="53" spans="1:10" x14ac:dyDescent="0.2">
      <c r="A53" s="2" t="s">
        <v>39</v>
      </c>
      <c r="B53" s="2" t="s">
        <v>40</v>
      </c>
      <c r="C53" s="2" t="s">
        <v>28</v>
      </c>
      <c r="D53" s="2">
        <f>1/0.41</f>
        <v>2.4390243902439024</v>
      </c>
      <c r="E53" s="2">
        <v>5</v>
      </c>
      <c r="F53" s="2" t="s">
        <v>88</v>
      </c>
      <c r="G53" s="5" t="s">
        <v>123</v>
      </c>
      <c r="J53" t="s">
        <v>155</v>
      </c>
    </row>
    <row r="54" spans="1:10" x14ac:dyDescent="0.2">
      <c r="A54" s="2" t="s">
        <v>76</v>
      </c>
      <c r="B54" s="2" t="s">
        <v>23</v>
      </c>
      <c r="C54" t="s">
        <v>10</v>
      </c>
      <c r="D54">
        <f>1/0.31</f>
        <v>3.2258064516129035</v>
      </c>
      <c r="G54" s="5" t="s">
        <v>81</v>
      </c>
      <c r="J54" t="s">
        <v>179</v>
      </c>
    </row>
    <row r="55" spans="1:10" x14ac:dyDescent="0.2">
      <c r="A55" s="2" t="s">
        <v>41</v>
      </c>
      <c r="B55" s="2" t="s">
        <v>42</v>
      </c>
      <c r="C55" s="2" t="s">
        <v>180</v>
      </c>
      <c r="D55" s="2">
        <v>4.1666666670000003</v>
      </c>
      <c r="E55" s="2">
        <v>12</v>
      </c>
      <c r="F55" s="2"/>
      <c r="G55" s="5" t="s">
        <v>111</v>
      </c>
      <c r="J55" s="3" t="s">
        <v>156</v>
      </c>
    </row>
    <row r="56" spans="1:10" x14ac:dyDescent="0.2">
      <c r="A56" s="2" t="s">
        <v>43</v>
      </c>
      <c r="B56" s="2" t="s">
        <v>44</v>
      </c>
      <c r="C56" s="2" t="s">
        <v>181</v>
      </c>
      <c r="D56" s="2">
        <v>2.0408163269999999</v>
      </c>
      <c r="E56" s="2">
        <v>10</v>
      </c>
      <c r="F56" s="2" t="s">
        <v>88</v>
      </c>
      <c r="G56" s="6" t="s">
        <v>125</v>
      </c>
      <c r="J56" s="3" t="s">
        <v>157</v>
      </c>
    </row>
    <row r="57" spans="1:10" x14ac:dyDescent="0.2">
      <c r="A57" s="2" t="s">
        <v>43</v>
      </c>
      <c r="B57" s="2" t="s">
        <v>44</v>
      </c>
      <c r="C57" s="2" t="s">
        <v>181</v>
      </c>
      <c r="D57" s="2">
        <v>3.448275862</v>
      </c>
      <c r="E57" s="2">
        <v>20</v>
      </c>
      <c r="F57" s="2" t="s">
        <v>88</v>
      </c>
      <c r="G57" s="6" t="s">
        <v>125</v>
      </c>
      <c r="J57" s="3" t="s">
        <v>157</v>
      </c>
    </row>
    <row r="58" spans="1:10" x14ac:dyDescent="0.2">
      <c r="A58" s="2" t="s">
        <v>74</v>
      </c>
      <c r="B58" s="2" t="s">
        <v>73</v>
      </c>
      <c r="C58" s="2" t="s">
        <v>71</v>
      </c>
      <c r="D58" s="2">
        <f>3096/480</f>
        <v>6.45</v>
      </c>
      <c r="F58" t="s">
        <v>88</v>
      </c>
      <c r="G58" s="5" t="s">
        <v>69</v>
      </c>
      <c r="J58" t="s">
        <v>144</v>
      </c>
    </row>
    <row r="59" spans="1:10" x14ac:dyDescent="0.2">
      <c r="A59" s="2" t="s">
        <v>74</v>
      </c>
      <c r="B59" s="2" t="s">
        <v>73</v>
      </c>
      <c r="C59" s="2" t="s">
        <v>11</v>
      </c>
      <c r="D59" s="2">
        <f>3096/210</f>
        <v>14.742857142857142</v>
      </c>
      <c r="F59" t="s">
        <v>88</v>
      </c>
      <c r="G59" s="5" t="s">
        <v>69</v>
      </c>
      <c r="J59" t="s">
        <v>144</v>
      </c>
    </row>
    <row r="60" spans="1:10" x14ac:dyDescent="0.2">
      <c r="A60" s="2" t="s">
        <v>87</v>
      </c>
      <c r="B60" s="2" t="s">
        <v>86</v>
      </c>
      <c r="C60" t="s">
        <v>11</v>
      </c>
      <c r="D60">
        <f>1/0.26</f>
        <v>3.8461538461538458</v>
      </c>
      <c r="E60">
        <v>20</v>
      </c>
      <c r="F60" t="s">
        <v>88</v>
      </c>
      <c r="G60" s="5" t="s">
        <v>84</v>
      </c>
      <c r="J60" t="s">
        <v>158</v>
      </c>
    </row>
    <row r="61" spans="1:10" x14ac:dyDescent="0.2">
      <c r="A61" s="2" t="s">
        <v>31</v>
      </c>
      <c r="B61" s="2" t="s">
        <v>32</v>
      </c>
      <c r="C61" t="s">
        <v>11</v>
      </c>
      <c r="D61">
        <f>1/0.35</f>
        <v>2.8571428571428572</v>
      </c>
      <c r="E61">
        <v>35</v>
      </c>
      <c r="F61" t="s">
        <v>88</v>
      </c>
      <c r="G61" s="5" t="s">
        <v>85</v>
      </c>
      <c r="J61" t="s">
        <v>178</v>
      </c>
    </row>
    <row r="62" spans="1:10" x14ac:dyDescent="0.2">
      <c r="A62" s="2" t="s">
        <v>117</v>
      </c>
      <c r="B62" s="2" t="s">
        <v>116</v>
      </c>
      <c r="C62" s="2" t="s">
        <v>115</v>
      </c>
      <c r="D62" s="2">
        <v>3.703703704</v>
      </c>
      <c r="E62" s="2"/>
      <c r="F62" s="2" t="s">
        <v>88</v>
      </c>
      <c r="G62" t="s">
        <v>118</v>
      </c>
      <c r="J62" s="3" t="s">
        <v>142</v>
      </c>
    </row>
    <row r="63" spans="1:10" x14ac:dyDescent="0.2">
      <c r="A63" s="2" t="s">
        <v>36</v>
      </c>
      <c r="B63" s="2" t="s">
        <v>37</v>
      </c>
      <c r="C63" s="2" t="s">
        <v>38</v>
      </c>
      <c r="D63" s="2">
        <f>1/0.23</f>
        <v>4.3478260869565215</v>
      </c>
      <c r="E63" s="2">
        <v>10</v>
      </c>
      <c r="F63" s="2"/>
      <c r="G63" t="s">
        <v>122</v>
      </c>
      <c r="J63" t="s">
        <v>177</v>
      </c>
    </row>
    <row r="64" spans="1:10" x14ac:dyDescent="0.2">
      <c r="A64" s="2" t="s">
        <v>36</v>
      </c>
      <c r="B64" s="2" t="s">
        <v>37</v>
      </c>
      <c r="C64" s="2" t="s">
        <v>38</v>
      </c>
      <c r="D64" s="2">
        <f>1/0.22</f>
        <v>4.5454545454545459</v>
      </c>
      <c r="E64" s="2">
        <v>10</v>
      </c>
      <c r="F64" s="2"/>
      <c r="G64" t="s">
        <v>122</v>
      </c>
      <c r="J64" t="s">
        <v>177</v>
      </c>
    </row>
    <row r="65" spans="1:10" x14ac:dyDescent="0.2">
      <c r="A65" s="2" t="s">
        <v>36</v>
      </c>
      <c r="B65" s="2" t="s">
        <v>37</v>
      </c>
      <c r="C65" s="2" t="s">
        <v>38</v>
      </c>
      <c r="D65" s="2">
        <f>1/0.2</f>
        <v>5</v>
      </c>
      <c r="E65" s="2">
        <v>10</v>
      </c>
      <c r="F65" s="2"/>
      <c r="G65" t="s">
        <v>122</v>
      </c>
      <c r="J65" s="3" t="s">
        <v>177</v>
      </c>
    </row>
    <row r="66" spans="1:10" x14ac:dyDescent="0.2">
      <c r="A66" s="2" t="s">
        <v>36</v>
      </c>
      <c r="B66" s="2" t="s">
        <v>37</v>
      </c>
      <c r="C66" s="2" t="s">
        <v>38</v>
      </c>
      <c r="D66" s="2">
        <f>1/0.2</f>
        <v>5</v>
      </c>
      <c r="E66" s="2">
        <v>10</v>
      </c>
      <c r="F66" s="2"/>
      <c r="G66" t="s">
        <v>122</v>
      </c>
      <c r="J66" t="s">
        <v>177</v>
      </c>
    </row>
    <row r="67" spans="1:10" x14ac:dyDescent="0.2">
      <c r="A67" s="2" t="s">
        <v>36</v>
      </c>
      <c r="B67" s="2" t="s">
        <v>37</v>
      </c>
      <c r="C67" s="2" t="s">
        <v>38</v>
      </c>
      <c r="D67" s="2">
        <f>1/0.19</f>
        <v>5.2631578947368425</v>
      </c>
      <c r="E67" s="2">
        <v>10</v>
      </c>
      <c r="F67" s="2"/>
      <c r="G67" t="s">
        <v>122</v>
      </c>
      <c r="J67" t="s">
        <v>177</v>
      </c>
    </row>
    <row r="68" spans="1:10" x14ac:dyDescent="0.2">
      <c r="A68" s="2" t="s">
        <v>36</v>
      </c>
      <c r="B68" s="2" t="s">
        <v>37</v>
      </c>
      <c r="C68" s="2" t="s">
        <v>38</v>
      </c>
      <c r="D68" s="2">
        <f>1/0.2</f>
        <v>5</v>
      </c>
      <c r="E68" s="2">
        <v>10</v>
      </c>
      <c r="F68" s="2"/>
      <c r="G68" t="s">
        <v>122</v>
      </c>
      <c r="J68" t="s">
        <v>177</v>
      </c>
    </row>
    <row r="69" spans="1:10" x14ac:dyDescent="0.2">
      <c r="A69" s="2" t="s">
        <v>76</v>
      </c>
      <c r="B69" s="2" t="s">
        <v>23</v>
      </c>
      <c r="C69" t="s">
        <v>12</v>
      </c>
      <c r="D69">
        <f>1/0.37</f>
        <v>2.7027027027027026</v>
      </c>
      <c r="G69" s="5" t="s">
        <v>81</v>
      </c>
      <c r="J69" t="s">
        <v>179</v>
      </c>
    </row>
    <row r="70" spans="1:10" x14ac:dyDescent="0.2">
      <c r="A70" t="s">
        <v>94</v>
      </c>
      <c r="B70" t="s">
        <v>95</v>
      </c>
      <c r="C70" t="s">
        <v>12</v>
      </c>
      <c r="D70">
        <f>1/0.072</f>
        <v>13.888888888888889</v>
      </c>
      <c r="E70">
        <v>0</v>
      </c>
      <c r="F70" t="s">
        <v>88</v>
      </c>
      <c r="G70" s="6" t="s">
        <v>96</v>
      </c>
      <c r="J70" t="s">
        <v>176</v>
      </c>
    </row>
    <row r="71" spans="1:10" x14ac:dyDescent="0.2">
      <c r="A71" s="2" t="s">
        <v>20</v>
      </c>
      <c r="B71" s="2" t="s">
        <v>21</v>
      </c>
      <c r="C71" s="2" t="s">
        <v>13</v>
      </c>
      <c r="D71" s="2">
        <v>4.9027777779999999</v>
      </c>
      <c r="E71" s="2"/>
      <c r="F71" s="2"/>
      <c r="G71" s="5" t="s">
        <v>65</v>
      </c>
      <c r="J71" s="3" t="s">
        <v>166</v>
      </c>
    </row>
    <row r="72" spans="1:10" x14ac:dyDescent="0.2">
      <c r="A72" s="2" t="s">
        <v>20</v>
      </c>
      <c r="B72" s="2" t="s">
        <v>21</v>
      </c>
      <c r="C72" s="2" t="s">
        <v>13</v>
      </c>
      <c r="D72" s="2">
        <v>3.6216216220000002</v>
      </c>
      <c r="E72" s="2"/>
      <c r="F72" s="2"/>
      <c r="G72" s="5" t="s">
        <v>65</v>
      </c>
      <c r="J72" t="s">
        <v>166</v>
      </c>
    </row>
    <row r="73" spans="1:10" x14ac:dyDescent="0.2">
      <c r="A73" s="2" t="s">
        <v>101</v>
      </c>
      <c r="B73" s="2" t="s">
        <v>102</v>
      </c>
      <c r="C73" s="2" t="s">
        <v>13</v>
      </c>
      <c r="D73" s="2">
        <v>9.0909090910000003</v>
      </c>
      <c r="E73" s="2"/>
      <c r="F73" s="2" t="s">
        <v>88</v>
      </c>
      <c r="G73" s="6" t="s">
        <v>105</v>
      </c>
      <c r="J73" t="s">
        <v>175</v>
      </c>
    </row>
    <row r="74" spans="1:10" x14ac:dyDescent="0.2">
      <c r="A74" s="2" t="s">
        <v>101</v>
      </c>
      <c r="B74" s="2" t="s">
        <v>102</v>
      </c>
      <c r="C74" s="2" t="s">
        <v>13</v>
      </c>
      <c r="D74" s="2">
        <v>5.5555555559999998</v>
      </c>
      <c r="E74" s="2"/>
      <c r="F74" s="2" t="s">
        <v>88</v>
      </c>
      <c r="G74" s="6" t="s">
        <v>105</v>
      </c>
      <c r="J74" t="s">
        <v>175</v>
      </c>
    </row>
    <row r="75" spans="1:10" x14ac:dyDescent="0.2">
      <c r="A75" s="2" t="s">
        <v>101</v>
      </c>
      <c r="B75" s="2" t="s">
        <v>102</v>
      </c>
      <c r="C75" s="2" t="s">
        <v>13</v>
      </c>
      <c r="D75" s="2">
        <v>6.6666666670000003</v>
      </c>
      <c r="E75" s="2"/>
      <c r="F75" s="2" t="s">
        <v>88</v>
      </c>
      <c r="G75" s="6" t="s">
        <v>105</v>
      </c>
      <c r="J75" t="s">
        <v>175</v>
      </c>
    </row>
    <row r="76" spans="1:10" x14ac:dyDescent="0.2">
      <c r="A76" s="2" t="s">
        <v>101</v>
      </c>
      <c r="B76" s="2" t="s">
        <v>102</v>
      </c>
      <c r="C76" s="2" t="s">
        <v>13</v>
      </c>
      <c r="D76" s="2">
        <v>3.846153846</v>
      </c>
      <c r="E76" s="2"/>
      <c r="F76" s="2" t="s">
        <v>88</v>
      </c>
      <c r="G76" s="6" t="s">
        <v>105</v>
      </c>
      <c r="J76" t="s">
        <v>175</v>
      </c>
    </row>
    <row r="77" spans="1:10" x14ac:dyDescent="0.2">
      <c r="A77" s="2" t="s">
        <v>20</v>
      </c>
      <c r="B77" s="2" t="s">
        <v>21</v>
      </c>
      <c r="C77" s="2" t="s">
        <v>13</v>
      </c>
      <c r="D77" s="2">
        <f>1/0.257</f>
        <v>3.8910505836575875</v>
      </c>
      <c r="E77" s="2">
        <v>0</v>
      </c>
      <c r="F77" s="2"/>
      <c r="G77" s="5" t="s">
        <v>61</v>
      </c>
      <c r="J77" t="s">
        <v>174</v>
      </c>
    </row>
    <row r="78" spans="1:10" x14ac:dyDescent="0.2">
      <c r="A78" s="2" t="s">
        <v>20</v>
      </c>
      <c r="B78" s="2" t="s">
        <v>21</v>
      </c>
      <c r="C78" s="2" t="s">
        <v>13</v>
      </c>
      <c r="D78" s="2">
        <v>3.5714285710000002</v>
      </c>
      <c r="E78" s="2">
        <v>8.9</v>
      </c>
      <c r="F78" s="2"/>
      <c r="G78" s="5" t="s">
        <v>61</v>
      </c>
      <c r="J78" t="s">
        <v>174</v>
      </c>
    </row>
    <row r="79" spans="1:10" x14ac:dyDescent="0.2">
      <c r="A79" s="2" t="s">
        <v>20</v>
      </c>
      <c r="B79" s="2" t="s">
        <v>21</v>
      </c>
      <c r="C79" s="2" t="s">
        <v>13</v>
      </c>
      <c r="D79" s="2">
        <v>3.448275862</v>
      </c>
      <c r="E79" s="2">
        <v>13.5</v>
      </c>
      <c r="F79" s="2"/>
      <c r="G79" s="5" t="s">
        <v>61</v>
      </c>
      <c r="J79" t="s">
        <v>174</v>
      </c>
    </row>
    <row r="80" spans="1:10" x14ac:dyDescent="0.2">
      <c r="A80" s="2" t="s">
        <v>20</v>
      </c>
      <c r="B80" s="2" t="s">
        <v>21</v>
      </c>
      <c r="C80" s="2" t="s">
        <v>13</v>
      </c>
      <c r="D80" s="2">
        <v>5.5555555559999998</v>
      </c>
      <c r="E80" s="2">
        <v>19.8</v>
      </c>
      <c r="F80" s="2"/>
      <c r="G80" s="5" t="s">
        <v>61</v>
      </c>
      <c r="J80" t="s">
        <v>174</v>
      </c>
    </row>
    <row r="81" spans="1:10" x14ac:dyDescent="0.2">
      <c r="A81" s="2" t="s">
        <v>20</v>
      </c>
      <c r="B81" s="2" t="s">
        <v>21</v>
      </c>
      <c r="C81" s="2" t="s">
        <v>13</v>
      </c>
      <c r="D81" s="2">
        <v>5.263157895</v>
      </c>
      <c r="E81" s="2">
        <v>13</v>
      </c>
      <c r="F81" s="2"/>
      <c r="G81" s="5" t="s">
        <v>61</v>
      </c>
      <c r="J81" t="s">
        <v>174</v>
      </c>
    </row>
    <row r="82" spans="1:10" x14ac:dyDescent="0.2">
      <c r="A82" s="2" t="s">
        <v>20</v>
      </c>
      <c r="B82" s="2" t="s">
        <v>21</v>
      </c>
      <c r="C82" s="2" t="s">
        <v>13</v>
      </c>
      <c r="D82" s="2">
        <v>6.6666666670000003</v>
      </c>
      <c r="E82" s="2"/>
      <c r="F82" s="2"/>
      <c r="G82" s="6" t="s">
        <v>61</v>
      </c>
      <c r="J82" t="s">
        <v>173</v>
      </c>
    </row>
    <row r="83" spans="1:10" x14ac:dyDescent="0.2">
      <c r="A83" s="2" t="s">
        <v>20</v>
      </c>
      <c r="B83" s="2" t="s">
        <v>21</v>
      </c>
      <c r="C83" s="2" t="s">
        <v>13</v>
      </c>
      <c r="D83" s="2">
        <v>5</v>
      </c>
      <c r="E83" s="2"/>
      <c r="F83" s="2"/>
      <c r="G83" s="6" t="s">
        <v>61</v>
      </c>
      <c r="J83" t="s">
        <v>173</v>
      </c>
    </row>
    <row r="84" spans="1:10" x14ac:dyDescent="0.2">
      <c r="A84" s="2" t="s">
        <v>20</v>
      </c>
      <c r="B84" s="2" t="s">
        <v>21</v>
      </c>
      <c r="C84" s="2" t="s">
        <v>13</v>
      </c>
      <c r="D84" s="2">
        <v>4</v>
      </c>
      <c r="E84" s="2"/>
      <c r="F84" s="2"/>
      <c r="G84" s="6" t="s">
        <v>61</v>
      </c>
      <c r="J84" t="s">
        <v>173</v>
      </c>
    </row>
    <row r="85" spans="1:10" x14ac:dyDescent="0.2">
      <c r="A85" s="2" t="s">
        <v>20</v>
      </c>
      <c r="B85" s="2" t="s">
        <v>21</v>
      </c>
      <c r="C85" s="2" t="s">
        <v>13</v>
      </c>
      <c r="D85" s="2">
        <v>3.3333333330000001</v>
      </c>
      <c r="E85" s="2"/>
      <c r="F85" s="2"/>
      <c r="G85" s="6" t="s">
        <v>61</v>
      </c>
      <c r="J85" t="s">
        <v>173</v>
      </c>
    </row>
    <row r="86" spans="1:10" x14ac:dyDescent="0.2">
      <c r="A86" s="2" t="s">
        <v>20</v>
      </c>
      <c r="B86" s="2" t="s">
        <v>21</v>
      </c>
      <c r="C86" s="2" t="s">
        <v>13</v>
      </c>
      <c r="D86" s="2">
        <v>2.8571428569999999</v>
      </c>
      <c r="E86" s="2"/>
      <c r="F86" s="2"/>
      <c r="G86" s="6" t="s">
        <v>61</v>
      </c>
      <c r="J86" t="s">
        <v>173</v>
      </c>
    </row>
    <row r="87" spans="1:10" x14ac:dyDescent="0.2">
      <c r="A87" s="2" t="s">
        <v>20</v>
      </c>
      <c r="B87" s="2" t="s">
        <v>21</v>
      </c>
      <c r="C87" s="2" t="s">
        <v>13</v>
      </c>
      <c r="D87" s="2">
        <v>4</v>
      </c>
      <c r="E87" s="2"/>
      <c r="F87" s="2"/>
      <c r="G87" s="6" t="s">
        <v>61</v>
      </c>
      <c r="J87" t="s">
        <v>172</v>
      </c>
    </row>
    <row r="88" spans="1:10" x14ac:dyDescent="0.2">
      <c r="A88" s="2" t="s">
        <v>49</v>
      </c>
      <c r="B88" s="2" t="s">
        <v>50</v>
      </c>
      <c r="C88" s="2" t="s">
        <v>51</v>
      </c>
      <c r="D88" s="2">
        <v>2.4390243900000002</v>
      </c>
      <c r="E88" s="2">
        <v>15</v>
      </c>
      <c r="F88" s="2"/>
      <c r="G88" s="5" t="s">
        <v>67</v>
      </c>
      <c r="J88" t="s">
        <v>171</v>
      </c>
    </row>
    <row r="89" spans="1:10" x14ac:dyDescent="0.2">
      <c r="A89" s="2" t="s">
        <v>29</v>
      </c>
      <c r="B89" s="2" t="s">
        <v>30</v>
      </c>
      <c r="C89" s="2" t="s">
        <v>14</v>
      </c>
      <c r="D89" s="2">
        <v>6.6666666670000003</v>
      </c>
      <c r="E89" s="2">
        <v>20</v>
      </c>
      <c r="F89" s="2"/>
      <c r="G89" s="5" t="s">
        <v>119</v>
      </c>
      <c r="J89" t="s">
        <v>170</v>
      </c>
    </row>
    <row r="90" spans="1:10" x14ac:dyDescent="0.2">
      <c r="A90" s="2" t="s">
        <v>31</v>
      </c>
      <c r="B90" s="2" t="s">
        <v>32</v>
      </c>
      <c r="C90" s="2" t="s">
        <v>14</v>
      </c>
      <c r="D90" s="2">
        <v>3.0303030299999998</v>
      </c>
      <c r="E90" s="2">
        <v>20</v>
      </c>
      <c r="F90" s="2"/>
      <c r="G90" s="5" t="s">
        <v>119</v>
      </c>
      <c r="J90" t="s">
        <v>170</v>
      </c>
    </row>
    <row r="91" spans="1:10" x14ac:dyDescent="0.2">
      <c r="A91" s="2" t="s">
        <v>33</v>
      </c>
      <c r="B91" s="2" t="s">
        <v>34</v>
      </c>
      <c r="C91" s="2" t="s">
        <v>14</v>
      </c>
      <c r="D91" s="2">
        <v>10</v>
      </c>
      <c r="E91" s="2">
        <v>20</v>
      </c>
      <c r="F91" s="2"/>
      <c r="G91" s="5" t="s">
        <v>119</v>
      </c>
      <c r="J91" t="s">
        <v>170</v>
      </c>
    </row>
    <row r="92" spans="1:10" x14ac:dyDescent="0.2">
      <c r="A92" s="2" t="s">
        <v>74</v>
      </c>
      <c r="B92" s="2" t="s">
        <v>73</v>
      </c>
      <c r="C92" s="2" t="s">
        <v>14</v>
      </c>
      <c r="D92" s="2">
        <f>3149/2920</f>
        <v>1.0784246575342467</v>
      </c>
      <c r="F92" t="s">
        <v>88</v>
      </c>
      <c r="G92" s="5" t="s">
        <v>69</v>
      </c>
      <c r="J92" t="s">
        <v>144</v>
      </c>
    </row>
    <row r="93" spans="1:10" x14ac:dyDescent="0.2">
      <c r="A93" s="2" t="s">
        <v>98</v>
      </c>
      <c r="B93" s="2" t="s">
        <v>30</v>
      </c>
      <c r="C93" s="2" t="s">
        <v>14</v>
      </c>
      <c r="D93" s="2">
        <v>6.1349693250000001</v>
      </c>
      <c r="E93" s="2"/>
      <c r="F93" s="2" t="s">
        <v>88</v>
      </c>
      <c r="G93" s="6" t="s">
        <v>97</v>
      </c>
      <c r="J93" s="3" t="s">
        <v>146</v>
      </c>
    </row>
    <row r="94" spans="1:10" x14ac:dyDescent="0.2">
      <c r="A94" s="2" t="s">
        <v>98</v>
      </c>
      <c r="B94" s="2" t="s">
        <v>30</v>
      </c>
      <c r="C94" s="2" t="s">
        <v>14</v>
      </c>
      <c r="D94" s="2">
        <v>4.8309178739999998</v>
      </c>
      <c r="E94" s="2"/>
      <c r="F94" s="2" t="s">
        <v>88</v>
      </c>
      <c r="G94" s="6" t="s">
        <v>97</v>
      </c>
      <c r="J94" t="s">
        <v>146</v>
      </c>
    </row>
    <row r="95" spans="1:10" x14ac:dyDescent="0.2">
      <c r="A95" s="2" t="s">
        <v>98</v>
      </c>
      <c r="B95" s="2" t="s">
        <v>30</v>
      </c>
      <c r="C95" s="2" t="s">
        <v>14</v>
      </c>
      <c r="D95" s="2">
        <v>7.0422535210000001</v>
      </c>
      <c r="E95" s="2"/>
      <c r="F95" s="2" t="s">
        <v>88</v>
      </c>
      <c r="G95" s="6" t="s">
        <v>97</v>
      </c>
      <c r="J95" t="s">
        <v>146</v>
      </c>
    </row>
    <row r="96" spans="1:10" x14ac:dyDescent="0.2">
      <c r="A96" s="2" t="s">
        <v>31</v>
      </c>
      <c r="B96" s="2" t="s">
        <v>32</v>
      </c>
      <c r="C96" s="2" t="s">
        <v>14</v>
      </c>
      <c r="D96" s="2">
        <v>7.1428571429999996</v>
      </c>
      <c r="E96" s="2">
        <v>30</v>
      </c>
      <c r="F96" s="2"/>
      <c r="G96" s="5" t="s">
        <v>121</v>
      </c>
      <c r="J96" t="s">
        <v>169</v>
      </c>
    </row>
    <row r="97" spans="1:10" x14ac:dyDescent="0.2">
      <c r="A97" s="2" t="s">
        <v>31</v>
      </c>
      <c r="B97" s="2" t="s">
        <v>32</v>
      </c>
      <c r="C97" s="2" t="s">
        <v>14</v>
      </c>
      <c r="D97" s="2">
        <v>13.33333333</v>
      </c>
      <c r="E97" s="2">
        <v>20</v>
      </c>
      <c r="F97" s="2"/>
      <c r="G97" s="5" t="s">
        <v>120</v>
      </c>
      <c r="J97" t="s">
        <v>168</v>
      </c>
    </row>
    <row r="98" spans="1:10" x14ac:dyDescent="0.2">
      <c r="A98" s="2" t="s">
        <v>98</v>
      </c>
      <c r="B98" s="2" t="s">
        <v>30</v>
      </c>
      <c r="C98" s="2" t="s">
        <v>14</v>
      </c>
      <c r="D98" s="2">
        <v>6.25</v>
      </c>
      <c r="E98" s="2"/>
      <c r="F98" s="2"/>
      <c r="G98" s="6" t="s">
        <v>100</v>
      </c>
      <c r="J98" t="s">
        <v>147</v>
      </c>
    </row>
    <row r="99" spans="1:10" x14ac:dyDescent="0.2">
      <c r="A99" s="2" t="s">
        <v>98</v>
      </c>
      <c r="B99" s="2" t="s">
        <v>30</v>
      </c>
      <c r="C99" s="2" t="s">
        <v>14</v>
      </c>
      <c r="D99" s="2">
        <v>6.25</v>
      </c>
      <c r="E99" s="2"/>
      <c r="F99" s="2"/>
      <c r="G99" s="6" t="s">
        <v>100</v>
      </c>
      <c r="J99" t="s">
        <v>147</v>
      </c>
    </row>
    <row r="100" spans="1:10" x14ac:dyDescent="0.2">
      <c r="A100" s="2" t="s">
        <v>76</v>
      </c>
      <c r="B100" s="2" t="s">
        <v>23</v>
      </c>
      <c r="C100" t="s">
        <v>14</v>
      </c>
      <c r="D100">
        <f>1/0.18</f>
        <v>5.5555555555555554</v>
      </c>
      <c r="G100" s="5" t="s">
        <v>81</v>
      </c>
      <c r="J100" t="s">
        <v>179</v>
      </c>
    </row>
    <row r="101" spans="1:10" x14ac:dyDescent="0.2">
      <c r="A101" s="2" t="s">
        <v>31</v>
      </c>
      <c r="B101" s="2" t="s">
        <v>32</v>
      </c>
      <c r="C101" t="s">
        <v>14</v>
      </c>
      <c r="D101">
        <f>1/0.26</f>
        <v>3.8461538461538458</v>
      </c>
      <c r="E101">
        <v>35</v>
      </c>
      <c r="F101" t="s">
        <v>88</v>
      </c>
      <c r="G101" s="5" t="s">
        <v>85</v>
      </c>
      <c r="J101" t="s">
        <v>178</v>
      </c>
    </row>
    <row r="102" spans="1:10" x14ac:dyDescent="0.2">
      <c r="A102" s="2" t="s">
        <v>31</v>
      </c>
      <c r="B102" s="2" t="s">
        <v>32</v>
      </c>
      <c r="C102" s="2" t="s">
        <v>14</v>
      </c>
      <c r="D102" s="2">
        <f>1/0.0846</f>
        <v>11.82033096926714</v>
      </c>
      <c r="E102" s="2">
        <v>10</v>
      </c>
      <c r="F102" s="2" t="s">
        <v>88</v>
      </c>
      <c r="G102" s="5" t="s">
        <v>85</v>
      </c>
      <c r="J102" t="s">
        <v>149</v>
      </c>
    </row>
    <row r="103" spans="1:10" x14ac:dyDescent="0.2">
      <c r="A103" s="2" t="s">
        <v>31</v>
      </c>
      <c r="B103" s="2" t="s">
        <v>32</v>
      </c>
      <c r="C103" s="2" t="s">
        <v>14</v>
      </c>
      <c r="D103" s="2">
        <f>1/0.111</f>
        <v>9.0090090090090094</v>
      </c>
      <c r="E103" s="2">
        <v>15</v>
      </c>
      <c r="F103" s="2" t="s">
        <v>88</v>
      </c>
      <c r="G103" s="5" t="s">
        <v>85</v>
      </c>
      <c r="J103" t="s">
        <v>149</v>
      </c>
    </row>
    <row r="104" spans="1:10" x14ac:dyDescent="0.2">
      <c r="A104" s="2" t="s">
        <v>31</v>
      </c>
      <c r="B104" s="2" t="s">
        <v>32</v>
      </c>
      <c r="C104" s="2" t="s">
        <v>14</v>
      </c>
      <c r="D104" s="2">
        <f>1/0.158</f>
        <v>6.3291139240506329</v>
      </c>
      <c r="E104" s="2">
        <v>20</v>
      </c>
      <c r="F104" s="2" t="s">
        <v>88</v>
      </c>
      <c r="G104" s="6" t="s">
        <v>85</v>
      </c>
      <c r="J104" t="s">
        <v>149</v>
      </c>
    </row>
    <row r="105" spans="1:10" x14ac:dyDescent="0.2">
      <c r="A105" s="2" t="s">
        <v>31</v>
      </c>
      <c r="B105" s="2" t="s">
        <v>32</v>
      </c>
      <c r="C105" s="2" t="s">
        <v>14</v>
      </c>
      <c r="D105" s="2">
        <f>1/0.207</f>
        <v>4.8309178743961354</v>
      </c>
      <c r="E105" s="2">
        <v>25</v>
      </c>
      <c r="F105" s="2" t="s">
        <v>88</v>
      </c>
      <c r="G105" s="6" t="s">
        <v>85</v>
      </c>
      <c r="J105" t="s">
        <v>149</v>
      </c>
    </row>
    <row r="106" spans="1:10" x14ac:dyDescent="0.2">
      <c r="A106" s="2" t="s">
        <v>31</v>
      </c>
      <c r="B106" s="2" t="s">
        <v>32</v>
      </c>
      <c r="C106" s="2" t="s">
        <v>14</v>
      </c>
      <c r="D106" s="2">
        <f>1/0.206</f>
        <v>4.8543689320388355</v>
      </c>
      <c r="E106" s="2">
        <v>30</v>
      </c>
      <c r="F106" s="2" t="s">
        <v>88</v>
      </c>
      <c r="G106" s="6" t="s">
        <v>85</v>
      </c>
      <c r="J106" t="s">
        <v>149</v>
      </c>
    </row>
    <row r="107" spans="1:10" x14ac:dyDescent="0.2">
      <c r="A107" s="2" t="s">
        <v>31</v>
      </c>
      <c r="B107" s="2" t="s">
        <v>32</v>
      </c>
      <c r="C107" s="2" t="s">
        <v>14</v>
      </c>
      <c r="D107" s="2">
        <f>1/0.238</f>
        <v>4.2016806722689077</v>
      </c>
      <c r="E107" s="2">
        <v>35</v>
      </c>
      <c r="F107" s="2" t="s">
        <v>88</v>
      </c>
      <c r="G107" s="6" t="s">
        <v>85</v>
      </c>
      <c r="J107" t="s">
        <v>149</v>
      </c>
    </row>
    <row r="108" spans="1:10" x14ac:dyDescent="0.2">
      <c r="A108" s="7" t="s">
        <v>31</v>
      </c>
      <c r="B108" s="7" t="s">
        <v>32</v>
      </c>
      <c r="C108" s="8" t="s">
        <v>15</v>
      </c>
      <c r="D108" s="8">
        <f>1/0.329</f>
        <v>3.0395136778115499</v>
      </c>
      <c r="E108" s="8"/>
      <c r="F108" s="8" t="s">
        <v>88</v>
      </c>
      <c r="G108" s="9" t="s">
        <v>83</v>
      </c>
      <c r="J108" t="s">
        <v>167</v>
      </c>
    </row>
    <row r="109" spans="1:10" x14ac:dyDescent="0.2">
      <c r="A109" s="7" t="s">
        <v>31</v>
      </c>
      <c r="B109" s="7" t="s">
        <v>32</v>
      </c>
      <c r="C109" s="8" t="s">
        <v>15</v>
      </c>
      <c r="D109" s="8">
        <f>1/0.33</f>
        <v>3.0303030303030303</v>
      </c>
      <c r="E109" s="8"/>
      <c r="F109" s="8" t="s">
        <v>88</v>
      </c>
      <c r="G109" s="9" t="s">
        <v>83</v>
      </c>
      <c r="J109" t="s">
        <v>167</v>
      </c>
    </row>
    <row r="110" spans="1:10" x14ac:dyDescent="0.2">
      <c r="A110" s="7" t="s">
        <v>20</v>
      </c>
      <c r="B110" s="7" t="s">
        <v>21</v>
      </c>
      <c r="C110" s="7" t="s">
        <v>16</v>
      </c>
      <c r="D110" s="7">
        <v>3.5</v>
      </c>
      <c r="E110" s="7"/>
      <c r="F110" s="7"/>
      <c r="G110" s="9" t="s">
        <v>65</v>
      </c>
      <c r="J110" t="s">
        <v>166</v>
      </c>
    </row>
    <row r="111" spans="1:10" x14ac:dyDescent="0.2">
      <c r="A111" s="7" t="s">
        <v>74</v>
      </c>
      <c r="B111" s="7" t="s">
        <v>73</v>
      </c>
      <c r="C111" s="7" t="s">
        <v>16</v>
      </c>
      <c r="D111" s="7">
        <f>5851/720</f>
        <v>8.1263888888888882</v>
      </c>
      <c r="E111" s="8"/>
      <c r="F111" s="8" t="s">
        <v>88</v>
      </c>
      <c r="G111" s="9" t="s">
        <v>69</v>
      </c>
      <c r="J111" t="s">
        <v>144</v>
      </c>
    </row>
    <row r="112" spans="1:10" x14ac:dyDescent="0.2">
      <c r="A112" s="7" t="s">
        <v>76</v>
      </c>
      <c r="B112" s="7" t="s">
        <v>23</v>
      </c>
      <c r="C112" s="8" t="s">
        <v>16</v>
      </c>
      <c r="D112" s="8">
        <f>1/0.2</f>
        <v>5</v>
      </c>
      <c r="E112" s="8"/>
      <c r="F112" s="8"/>
      <c r="G112" s="9" t="s">
        <v>81</v>
      </c>
      <c r="J112" t="s">
        <v>179</v>
      </c>
    </row>
    <row r="113" spans="1:10" x14ac:dyDescent="0.2">
      <c r="A113" s="7" t="s">
        <v>74</v>
      </c>
      <c r="B113" s="7" t="s">
        <v>73</v>
      </c>
      <c r="C113" s="7" t="s">
        <v>72</v>
      </c>
      <c r="D113" s="7">
        <f>3973/360</f>
        <v>11.036111111111111</v>
      </c>
      <c r="E113" s="8"/>
      <c r="F113" s="8" t="s">
        <v>88</v>
      </c>
      <c r="G113" s="9" t="s">
        <v>69</v>
      </c>
      <c r="J113" t="s">
        <v>144</v>
      </c>
    </row>
    <row r="114" spans="1:10" x14ac:dyDescent="0.2">
      <c r="A114" s="7" t="s">
        <v>76</v>
      </c>
      <c r="B114" s="7" t="s">
        <v>23</v>
      </c>
      <c r="C114" s="8" t="s">
        <v>79</v>
      </c>
      <c r="D114" s="8">
        <f>1/0.34</f>
        <v>2.9411764705882351</v>
      </c>
      <c r="E114" s="8"/>
      <c r="F114" s="8"/>
      <c r="G114" s="9" t="s">
        <v>81</v>
      </c>
      <c r="J114" t="s">
        <v>179</v>
      </c>
    </row>
    <row r="115" spans="1:10" x14ac:dyDescent="0.2">
      <c r="A115" s="7" t="s">
        <v>76</v>
      </c>
      <c r="B115" s="7" t="s">
        <v>23</v>
      </c>
      <c r="C115" s="10" t="s">
        <v>17</v>
      </c>
      <c r="D115" s="8">
        <f>1/0.41</f>
        <v>2.4390243902439024</v>
      </c>
      <c r="E115" s="8"/>
      <c r="F115" s="8" t="s">
        <v>88</v>
      </c>
      <c r="G115" s="9" t="s">
        <v>77</v>
      </c>
      <c r="J115" t="s">
        <v>165</v>
      </c>
    </row>
    <row r="116" spans="1:10" x14ac:dyDescent="0.2">
      <c r="A116" s="7" t="s">
        <v>76</v>
      </c>
      <c r="B116" s="7" t="s">
        <v>23</v>
      </c>
      <c r="C116" s="10" t="s">
        <v>17</v>
      </c>
      <c r="D116" s="8">
        <f>1/0.31</f>
        <v>3.2258064516129035</v>
      </c>
      <c r="E116" s="8"/>
      <c r="F116" s="8" t="s">
        <v>88</v>
      </c>
      <c r="G116" s="9" t="s">
        <v>77</v>
      </c>
      <c r="J116" t="s">
        <v>165</v>
      </c>
    </row>
    <row r="117" spans="1:10" x14ac:dyDescent="0.2">
      <c r="A117" s="7" t="s">
        <v>112</v>
      </c>
      <c r="B117" s="7" t="s">
        <v>42</v>
      </c>
      <c r="C117" s="7" t="s">
        <v>180</v>
      </c>
      <c r="D117" s="7">
        <v>2.7891373800000001</v>
      </c>
      <c r="E117" s="7">
        <v>12</v>
      </c>
      <c r="F117" s="7" t="s">
        <v>88</v>
      </c>
      <c r="G117" s="9" t="s">
        <v>111</v>
      </c>
      <c r="J117" t="s">
        <v>156</v>
      </c>
    </row>
    <row r="118" spans="1:10" x14ac:dyDescent="0.2">
      <c r="A118" s="7" t="s">
        <v>47</v>
      </c>
      <c r="B118" s="7" t="s">
        <v>48</v>
      </c>
      <c r="C118" s="7" t="s">
        <v>181</v>
      </c>
      <c r="D118" s="7">
        <v>4.1666666670000003</v>
      </c>
      <c r="E118" s="7">
        <v>15</v>
      </c>
      <c r="F118" s="7"/>
      <c r="G118" s="9" t="s">
        <v>126</v>
      </c>
      <c r="J118" s="3" t="s">
        <v>164</v>
      </c>
    </row>
    <row r="119" spans="1:10" x14ac:dyDescent="0.2">
      <c r="A119" s="7" t="s">
        <v>47</v>
      </c>
      <c r="B119" s="7" t="s">
        <v>48</v>
      </c>
      <c r="C119" s="7" t="s">
        <v>181</v>
      </c>
      <c r="D119" s="7">
        <v>4.3478260869999996</v>
      </c>
      <c r="E119" s="7">
        <v>25</v>
      </c>
      <c r="F119" s="7"/>
      <c r="G119" s="9" t="s">
        <v>126</v>
      </c>
      <c r="J119" t="s">
        <v>164</v>
      </c>
    </row>
    <row r="120" spans="1:10" x14ac:dyDescent="0.2">
      <c r="A120" s="7" t="s">
        <v>47</v>
      </c>
      <c r="B120" s="7" t="s">
        <v>48</v>
      </c>
      <c r="C120" s="7" t="s">
        <v>180</v>
      </c>
      <c r="D120" s="7">
        <v>8.3333333330000006</v>
      </c>
      <c r="E120" s="7">
        <v>15</v>
      </c>
      <c r="F120" s="7"/>
      <c r="G120" s="9" t="s">
        <v>126</v>
      </c>
      <c r="J120" t="s">
        <v>164</v>
      </c>
    </row>
    <row r="121" spans="1:10" x14ac:dyDescent="0.2">
      <c r="A121" s="7" t="s">
        <v>47</v>
      </c>
      <c r="B121" s="7" t="s">
        <v>48</v>
      </c>
      <c r="C121" s="7" t="s">
        <v>180</v>
      </c>
      <c r="D121" s="7">
        <v>8.3333333330000006</v>
      </c>
      <c r="E121" s="7">
        <v>25</v>
      </c>
      <c r="F121" s="7"/>
      <c r="G121" s="9" t="s">
        <v>126</v>
      </c>
      <c r="J121" s="3" t="s">
        <v>164</v>
      </c>
    </row>
    <row r="122" spans="1:10" x14ac:dyDescent="0.2">
      <c r="A122" s="11" t="s">
        <v>56</v>
      </c>
      <c r="B122" s="11" t="s">
        <v>57</v>
      </c>
      <c r="C122" s="11" t="s">
        <v>182</v>
      </c>
      <c r="D122" s="11">
        <v>1.111111111</v>
      </c>
      <c r="E122" s="11">
        <v>35</v>
      </c>
      <c r="F122" s="11"/>
      <c r="G122" s="12" t="s">
        <v>128</v>
      </c>
      <c r="H122" s="4"/>
      <c r="I122" s="4"/>
      <c r="J122" s="3" t="s">
        <v>163</v>
      </c>
    </row>
    <row r="123" spans="1:10" x14ac:dyDescent="0.2">
      <c r="A123" s="11" t="s">
        <v>56</v>
      </c>
      <c r="B123" s="11" t="s">
        <v>57</v>
      </c>
      <c r="C123" s="11" t="s">
        <v>183</v>
      </c>
      <c r="D123" s="11">
        <v>0.48543689299999998</v>
      </c>
      <c r="E123" s="11">
        <v>35</v>
      </c>
      <c r="F123" s="11"/>
      <c r="G123" s="12" t="s">
        <v>128</v>
      </c>
      <c r="H123" s="4"/>
      <c r="I123" s="4"/>
      <c r="J123" s="2" t="s">
        <v>163</v>
      </c>
    </row>
    <row r="124" spans="1:10" x14ac:dyDescent="0.2">
      <c r="A124" s="7" t="s">
        <v>58</v>
      </c>
      <c r="B124" s="7" t="s">
        <v>59</v>
      </c>
      <c r="C124" s="7" t="s">
        <v>182</v>
      </c>
      <c r="D124" s="7">
        <v>0.98039215700000004</v>
      </c>
      <c r="E124" s="7">
        <v>35</v>
      </c>
      <c r="F124" s="7"/>
      <c r="G124" s="9" t="s">
        <v>128</v>
      </c>
      <c r="H124" s="4"/>
      <c r="I124" s="4"/>
      <c r="J124" s="2" t="s">
        <v>163</v>
      </c>
    </row>
    <row r="125" spans="1:10" x14ac:dyDescent="0.2">
      <c r="A125" s="7" t="s">
        <v>58</v>
      </c>
      <c r="B125" s="7" t="s">
        <v>59</v>
      </c>
      <c r="C125" s="7" t="s">
        <v>183</v>
      </c>
      <c r="D125" s="7">
        <v>0.571428571</v>
      </c>
      <c r="E125" s="7">
        <v>35</v>
      </c>
      <c r="F125" s="7"/>
      <c r="G125" s="9" t="s">
        <v>128</v>
      </c>
      <c r="H125" s="4"/>
      <c r="I125" s="4"/>
      <c r="J125" s="2" t="s">
        <v>163</v>
      </c>
    </row>
    <row r="126" spans="1:10" x14ac:dyDescent="0.2">
      <c r="A126" s="7" t="s">
        <v>52</v>
      </c>
      <c r="B126" s="7" t="s">
        <v>53</v>
      </c>
      <c r="C126" s="7" t="s">
        <v>182</v>
      </c>
      <c r="D126" s="7">
        <v>5</v>
      </c>
      <c r="E126" s="7">
        <v>30</v>
      </c>
      <c r="F126" s="7"/>
      <c r="G126" s="9" t="s">
        <v>127</v>
      </c>
      <c r="H126" s="4"/>
      <c r="I126" s="4"/>
      <c r="J126" s="3" t="s">
        <v>162</v>
      </c>
    </row>
    <row r="127" spans="1:10" x14ac:dyDescent="0.2">
      <c r="A127" s="7" t="s">
        <v>54</v>
      </c>
      <c r="B127" s="7" t="s">
        <v>55</v>
      </c>
      <c r="C127" s="7" t="s">
        <v>182</v>
      </c>
      <c r="D127" s="7">
        <v>1.724137931</v>
      </c>
      <c r="E127" s="7">
        <v>25</v>
      </c>
      <c r="F127" s="7"/>
      <c r="G127" s="9" t="s">
        <v>127</v>
      </c>
      <c r="H127" s="4"/>
      <c r="I127" s="4"/>
      <c r="J127" s="2" t="s">
        <v>162</v>
      </c>
    </row>
    <row r="128" spans="1:10" x14ac:dyDescent="0.2">
      <c r="A128" s="7" t="s">
        <v>45</v>
      </c>
      <c r="B128" s="7" t="s">
        <v>46</v>
      </c>
      <c r="C128" s="7" t="s">
        <v>181</v>
      </c>
      <c r="D128" s="7">
        <v>4</v>
      </c>
      <c r="E128" s="7">
        <v>10</v>
      </c>
      <c r="F128" s="7"/>
      <c r="G128" s="9" t="s">
        <v>125</v>
      </c>
      <c r="H128" s="4"/>
      <c r="I128" s="4"/>
      <c r="J128" s="2" t="s">
        <v>161</v>
      </c>
    </row>
    <row r="129" spans="1:10" x14ac:dyDescent="0.2">
      <c r="A129" s="7" t="s">
        <v>45</v>
      </c>
      <c r="B129" s="7" t="s">
        <v>46</v>
      </c>
      <c r="C129" s="7" t="s">
        <v>181</v>
      </c>
      <c r="D129" s="7">
        <v>4</v>
      </c>
      <c r="E129" s="7">
        <v>20</v>
      </c>
      <c r="F129" s="7"/>
      <c r="G129" s="9" t="s">
        <v>125</v>
      </c>
      <c r="H129" s="4"/>
      <c r="I129" s="4"/>
      <c r="J129" s="2" t="s">
        <v>161</v>
      </c>
    </row>
    <row r="130" spans="1:10" x14ac:dyDescent="0.2">
      <c r="A130" s="7" t="s">
        <v>187</v>
      </c>
      <c r="B130" s="7" t="s">
        <v>44</v>
      </c>
      <c r="C130" t="s">
        <v>181</v>
      </c>
      <c r="D130">
        <f>1/0.31</f>
        <v>3.2258064516129035</v>
      </c>
      <c r="E130">
        <v>10</v>
      </c>
      <c r="G130" s="3" t="s">
        <v>125</v>
      </c>
      <c r="J130" t="s">
        <v>185</v>
      </c>
    </row>
    <row r="131" spans="1:10" x14ac:dyDescent="0.2">
      <c r="A131" s="7" t="s">
        <v>187</v>
      </c>
      <c r="B131" s="7" t="s">
        <v>44</v>
      </c>
      <c r="C131" t="s">
        <v>181</v>
      </c>
      <c r="D131">
        <f>1/0.51</f>
        <v>1.9607843137254901</v>
      </c>
      <c r="E131">
        <v>20</v>
      </c>
      <c r="G131" s="3" t="s">
        <v>125</v>
      </c>
      <c r="J131" t="s">
        <v>185</v>
      </c>
    </row>
    <row r="132" spans="1:10" x14ac:dyDescent="0.2">
      <c r="A132" s="11" t="s">
        <v>187</v>
      </c>
      <c r="B132" s="11" t="s">
        <v>44</v>
      </c>
      <c r="C132" s="11" t="s">
        <v>181</v>
      </c>
      <c r="D132" s="11">
        <f>1/0.3</f>
        <v>3.3333333333333335</v>
      </c>
      <c r="E132" s="11">
        <v>10</v>
      </c>
      <c r="F132" s="11"/>
      <c r="G132" s="12" t="s">
        <v>125</v>
      </c>
      <c r="H132" s="4"/>
      <c r="I132" s="4"/>
      <c r="J132" s="2" t="s">
        <v>186</v>
      </c>
    </row>
    <row r="133" spans="1:10" x14ac:dyDescent="0.2">
      <c r="A133" s="11" t="s">
        <v>187</v>
      </c>
      <c r="B133" s="11" t="s">
        <v>44</v>
      </c>
      <c r="C133" s="11" t="s">
        <v>181</v>
      </c>
      <c r="D133" s="11">
        <f>1/0.455</f>
        <v>2.1978021978021975</v>
      </c>
      <c r="E133" s="11">
        <v>20</v>
      </c>
      <c r="F133" s="11"/>
      <c r="G133" s="12" t="s">
        <v>125</v>
      </c>
      <c r="H133" s="4"/>
      <c r="I133" s="4"/>
      <c r="J133" s="2" t="s">
        <v>186</v>
      </c>
    </row>
    <row r="134" spans="1:10" x14ac:dyDescent="0.2">
      <c r="A134" s="11"/>
      <c r="B134" s="11"/>
      <c r="C134" s="7" t="s">
        <v>184</v>
      </c>
      <c r="D134" s="7">
        <v>4</v>
      </c>
      <c r="E134" s="7"/>
      <c r="F134" s="7"/>
      <c r="G134" s="9" t="s">
        <v>62</v>
      </c>
      <c r="H134" s="4"/>
      <c r="I134" s="4"/>
      <c r="J134" s="2" t="s">
        <v>160</v>
      </c>
    </row>
    <row r="135" spans="1:10" x14ac:dyDescent="0.2">
      <c r="A135" s="11"/>
      <c r="B135" s="11"/>
      <c r="C135" s="7" t="s">
        <v>184</v>
      </c>
      <c r="D135" s="7">
        <v>5</v>
      </c>
      <c r="E135" s="7"/>
      <c r="F135" s="7"/>
      <c r="G135" s="9" t="s">
        <v>63</v>
      </c>
      <c r="H135" s="4"/>
      <c r="I135" s="4"/>
      <c r="J135" s="2" t="s">
        <v>159</v>
      </c>
    </row>
    <row r="136" spans="1:10" x14ac:dyDescent="0.2">
      <c r="A136" s="11"/>
      <c r="B136" s="11"/>
      <c r="C136" s="11" t="s">
        <v>184</v>
      </c>
      <c r="D136" s="11">
        <v>2.5</v>
      </c>
      <c r="E136" s="11"/>
      <c r="F136" s="11"/>
      <c r="G136" s="12" t="s">
        <v>63</v>
      </c>
      <c r="H136" s="4"/>
      <c r="I136" s="4"/>
      <c r="J136" s="2" t="s">
        <v>159</v>
      </c>
    </row>
    <row r="137" spans="1:10" x14ac:dyDescent="0.2">
      <c r="H137" s="4"/>
      <c r="I137" s="4"/>
      <c r="J137" s="2"/>
    </row>
    <row r="138" spans="1:10" x14ac:dyDescent="0.2">
      <c r="H138" s="4"/>
      <c r="I138" s="4"/>
      <c r="J138" s="2"/>
    </row>
    <row r="139" spans="1:10" x14ac:dyDescent="0.2">
      <c r="H139" s="4"/>
      <c r="I139" s="4"/>
      <c r="J139" s="2"/>
    </row>
    <row r="140" spans="1:10" x14ac:dyDescent="0.2">
      <c r="H140" s="4"/>
      <c r="I140" s="4"/>
      <c r="J140" s="2"/>
    </row>
    <row r="141" spans="1:10" x14ac:dyDescent="0.2">
      <c r="H141" s="4"/>
      <c r="I141" s="4"/>
      <c r="J141" s="2"/>
    </row>
    <row r="142" spans="1:10" x14ac:dyDescent="0.2">
      <c r="H142" s="4"/>
      <c r="I142" s="4"/>
      <c r="J142" s="2"/>
    </row>
    <row r="143" spans="1:10" x14ac:dyDescent="0.2">
      <c r="H143" s="4"/>
      <c r="I143" s="4"/>
      <c r="J143" s="2"/>
    </row>
    <row r="144" spans="1:10" x14ac:dyDescent="0.2">
      <c r="H144" s="4"/>
      <c r="I144" s="4"/>
      <c r="J144" s="2"/>
    </row>
    <row r="145" spans="8:10" x14ac:dyDescent="0.2">
      <c r="H145" s="4"/>
      <c r="I145" s="4"/>
      <c r="J145" s="2"/>
    </row>
    <row r="146" spans="8:10" x14ac:dyDescent="0.2">
      <c r="H146" s="4"/>
      <c r="I146" s="4"/>
      <c r="J146" s="2"/>
    </row>
    <row r="147" spans="8:10" x14ac:dyDescent="0.2">
      <c r="H147" s="4"/>
      <c r="I147" s="4"/>
      <c r="J147" s="2"/>
    </row>
    <row r="148" spans="8:10" x14ac:dyDescent="0.2">
      <c r="H148" s="4"/>
      <c r="I148" s="4"/>
      <c r="J148" s="2"/>
    </row>
    <row r="149" spans="8:10" x14ac:dyDescent="0.2">
      <c r="H149" s="4"/>
      <c r="I149" s="4"/>
      <c r="J149" s="2"/>
    </row>
    <row r="150" spans="8:10" x14ac:dyDescent="0.2">
      <c r="H150" s="4"/>
      <c r="I150" s="4"/>
      <c r="J150" s="2"/>
    </row>
  </sheetData>
  <phoneticPr fontId="5" type="noConversion"/>
  <hyperlinks>
    <hyperlink ref="G77" r:id="rId1" display="https://doi.org/10.1098/rspb.1938.0050" xr:uid="{F8E4AC1D-9601-F94A-876B-43D5CF2413E0}"/>
    <hyperlink ref="G78" r:id="rId2" xr:uid="{419B2720-1200-4F44-834B-98C2FFC3F3C3}"/>
    <hyperlink ref="G79" r:id="rId3" xr:uid="{E2461951-53FB-1C4E-A6ED-011963B7209F}"/>
    <hyperlink ref="G80" r:id="rId4" xr:uid="{6F357B7F-50C4-C744-9C2A-81E6A3FED2F3}"/>
    <hyperlink ref="G81" r:id="rId5" xr:uid="{C3D2A45A-2941-8642-B89B-8ADCA205EE0F}"/>
    <hyperlink ref="G134" r:id="rId6" display="https://doi.org/10.5194/ms-7-19-2016" xr:uid="{B456CC0E-92CB-634B-86B1-43070B168447}"/>
    <hyperlink ref="G135" r:id="rId7" display="https://link.springer.com/article/10.1007/BF02584437" xr:uid="{9D61C0A7-C15C-F744-9FE8-A7662B0C0817}"/>
    <hyperlink ref="G136" r:id="rId8" display="https://link.springer.com/article/10.1007/BF02584437" xr:uid="{A5544016-ACD2-3640-952F-330271B137CA}"/>
    <hyperlink ref="G2" r:id="rId9" display="https://link.springer.com/article/10.1007/s004210050608" xr:uid="{D36162C6-D37F-2F41-AFB4-21CADCAFF4F8}"/>
    <hyperlink ref="G3" r:id="rId10" display="https://link.springer.com/article/10.1007/s004210050608" xr:uid="{D6290699-A5FD-A94D-A42F-30A328F1B43A}"/>
    <hyperlink ref="G4" r:id="rId11" display="https://www.ncbi.nlm.nih.gov/pmc/articles/PMC2270043/" xr:uid="{D09B78FA-D474-FC4C-88A0-B862F917D432}"/>
    <hyperlink ref="G5" r:id="rId12" display="https://www.ncbi.nlm.nih.gov/pmc/articles/PMC2270043/" xr:uid="{15CD5921-3DC5-FC4A-9D75-C53E3AB2FE00}"/>
    <hyperlink ref="G71" r:id="rId13" xr:uid="{2572CB36-2397-BD46-9BC6-60E08FD9DAC7}"/>
    <hyperlink ref="G72" r:id="rId14" xr:uid="{BFDF1134-2E8F-704B-AC1A-406BBF3BFD9C}"/>
    <hyperlink ref="G110" r:id="rId15" display="https://doi.org/10.3389/fphys.2019.00769" xr:uid="{BE267C30-FA5A-8743-BD72-1A5C30298919}"/>
    <hyperlink ref="G34" r:id="rId16" display="https://doi.org/10.1098/rspb.1940.0010" xr:uid="{2A547D23-2C46-CA46-ACB1-8AF525DE8BE8}"/>
    <hyperlink ref="G28" r:id="rId17" xr:uid="{FC839837-5D38-BB4E-964E-573C0DF361A5}"/>
    <hyperlink ref="G70:G76" r:id="rId18" display="Baratta" xr:uid="{BD7A55A3-696F-054D-8DEC-94C9FF1B274F}"/>
    <hyperlink ref="G29" r:id="rId19" xr:uid="{C92FCBCF-2B4D-F344-B5CC-B539C49CE515}"/>
    <hyperlink ref="G78:G81" r:id="rId20" display="Wilke" xr:uid="{C4B4A7EF-A927-4A4B-BB2F-783862524D88}"/>
    <hyperlink ref="G116" r:id="rId21" xr:uid="{EE32EF10-4494-9A4E-B333-4C0789557D2D}"/>
    <hyperlink ref="G54" r:id="rId22" xr:uid="{53FC523A-385A-A94C-8862-B586EDD236F7}"/>
    <hyperlink ref="G8" r:id="rId23" xr:uid="{9487330D-BF6B-D243-8E7B-068E075AB282}"/>
    <hyperlink ref="G97:G102" r:id="rId24" display="Valour" xr:uid="{F9C8A7C4-EC1D-6B43-B3B2-98943D4CB3EC}"/>
    <hyperlink ref="G109" r:id="rId25" xr:uid="{DD6D1A11-831E-5345-A5F8-07C06D97A19C}"/>
    <hyperlink ref="G60" r:id="rId26" xr:uid="{A391C85E-1862-164F-A886-C4B1CD9AE3D2}"/>
    <hyperlink ref="G61" r:id="rId27" xr:uid="{E3286559-FFAC-FE41-A14A-5670FA623F4E}"/>
    <hyperlink ref="G115" r:id="rId28" xr:uid="{66BF2E7A-3D00-DD4D-BF95-E529E1207AC5}"/>
    <hyperlink ref="G108" r:id="rId29" xr:uid="{27BD4D8F-672A-724A-84CF-6B2A7919C7B2}"/>
    <hyperlink ref="G70" r:id="rId30" xr:uid="{5AE5ADDF-8387-3E4A-A537-23280AA73EA8}"/>
    <hyperlink ref="G89" r:id="rId31" xr:uid="{6947D613-D183-3B4D-9F05-22EE4A5260BB}"/>
    <hyperlink ref="G103" r:id="rId32" xr:uid="{EFFF8503-B6C2-FC4C-A8AF-3C02D5C1EA70}"/>
    <hyperlink ref="G90" r:id="rId33" xr:uid="{3144AD4C-A234-FC45-BD99-42855820C755}"/>
    <hyperlink ref="G97" r:id="rId34" xr:uid="{FA651EF4-1ED3-C54E-A434-7DD7BF426BDF}"/>
    <hyperlink ref="G96" r:id="rId35" xr:uid="{CC79226C-A568-D742-8A03-8357566C90BC}"/>
    <hyperlink ref="G91" r:id="rId36" xr:uid="{1B39A908-88A2-E84E-9F94-E0AD92FB62B6}"/>
    <hyperlink ref="G23" r:id="rId37" xr:uid="{86D8A136-7365-154D-8963-BE31F2327814}"/>
    <hyperlink ref="G38:G39" r:id="rId38" display="Ranatunga" xr:uid="{51DAB267-384C-EB4A-8F03-93916CE42D16}"/>
    <hyperlink ref="G68" r:id="rId39" xr:uid="{0AEA4811-E87F-9444-A6EA-18089AA9F02F}"/>
    <hyperlink ref="G53" r:id="rId40" xr:uid="{AC3BE920-6365-F947-AC59-2DAC5CB25F54}"/>
    <hyperlink ref="G47" r:id="rId41" xr:uid="{62A0670A-D9BC-014F-9479-AE39BD88610E}"/>
    <hyperlink ref="G55" r:id="rId42" xr:uid="{D8D13374-0759-B14C-A1AA-D68252222EE5}"/>
    <hyperlink ref="G57" r:id="rId43" xr:uid="{A0C06B63-B225-AA47-AD92-3B44FDCF48C0}"/>
    <hyperlink ref="G128" r:id="rId44" xr:uid="{7BB51D8D-433D-3A4B-87A1-95E02B36AB36}"/>
    <hyperlink ref="G129" r:id="rId45" xr:uid="{A0F1BEB3-F335-EB46-B441-AE70EA6CD296}"/>
    <hyperlink ref="G118" r:id="rId46" xr:uid="{66663BF9-9B78-394C-A6C7-C3EDDCD97722}"/>
    <hyperlink ref="G88" r:id="rId47" xr:uid="{FE32A5AA-8F46-6845-B9D1-6945267888BD}"/>
    <hyperlink ref="G126" r:id="rId48" xr:uid="{76CE6639-3D49-D74C-95F7-918DC3EF40B5}"/>
    <hyperlink ref="G127" r:id="rId49" xr:uid="{90CE04A1-18F0-C34F-BAF3-F92521B6B9E1}"/>
    <hyperlink ref="G122" r:id="rId50" xr:uid="{3B079428-E874-F149-B1EA-372A29C266BC}"/>
    <hyperlink ref="G98" r:id="rId51" location="bib7" display="https://www.sciencedirect.com/science/article/pii/S0021929005000059?casa_token=HG_a1FQm0qcAAAAA:8f05UODjZ_3IZRGauWcHNBWWjsYCSKwyq6r44Qp_zleJ4HXkJduGP9B7qzCsgS7_80NuuAjCSg - bib7" xr:uid="{EB48FA1F-5D36-F642-9567-C64C53BA63F1}"/>
    <hyperlink ref="G99" r:id="rId52" location="bib7" display="https://www.sciencedirect.com/science/article/pii/S0021929005000059?casa_token=HG_a1FQm0qcAAAAA:8f05UODjZ_3IZRGauWcHNBWWjsYCSKwyq6r44Qp_zleJ4HXkJduGP9B7qzCsgS7_80NuuAjCSg - bib7" xr:uid="{F9381B98-01C3-4843-B1E2-FA185FD459AD}"/>
    <hyperlink ref="G19" r:id="rId53" location="bib7" display="https://www.sciencedirect.com/science/article/pii/S0021929005000059?casa_token=HG_a1FQm0qcAAAAA:8f05UODjZ_3IZRGauWcHNBWWjsYCSKwyq6r44Qp_zleJ4HXkJduGP9B7qzCsgS7_80NuuAjCSg - bib7" xr:uid="{6707C4BF-FADE-4D49-B7DF-7771A71389EE}"/>
    <hyperlink ref="G20" r:id="rId54" location="bib7" display="https://www.sciencedirect.com/science/article/pii/S0021929005000059?casa_token=HG_a1FQm0qcAAAAA:8f05UODjZ_3IZRGauWcHNBWWjsYCSKwyq6r44Qp_zleJ4HXkJduGP9B7qzCsgS7_80NuuAjCSg - bib7" xr:uid="{994C522A-7A5B-3C4D-84A2-04F18B3ACC45}"/>
    <hyperlink ref="G87" r:id="rId55" display="https://royalsocietypublishing.org/doi/10.1098/rspb.1939.0033" xr:uid="{D8666D89-ABD5-3E4D-8EFF-01F048F0D725}"/>
    <hyperlink ref="G73" r:id="rId56" display="https://link.springer.com/article/10.1007/BF01753412" xr:uid="{6D5BB496-B439-A74E-9405-CFEC1F1F10A8}"/>
    <hyperlink ref="G74" r:id="rId57" display="https://link.springer.com/article/10.1007/BF01753412" xr:uid="{68534BE8-18D0-DD49-A160-DAEBE3680D5F}"/>
    <hyperlink ref="G75" r:id="rId58" display="https://link.springer.com/article/10.1007/BF01753412" xr:uid="{82E9D965-71E9-C04F-9595-1A9CFC898EAD}"/>
    <hyperlink ref="G76" r:id="rId59" display="https://link.springer.com/article/10.1007/BF01753412" xr:uid="{69EEBDBC-AA9E-E84A-8469-FB299BA20798}"/>
    <hyperlink ref="G42" r:id="rId60" display="https://link.springer.com/article/10.1007/s004240050494" xr:uid="{32EE5D53-1626-FC43-AE08-62D40EE6CDCA}"/>
    <hyperlink ref="G6" r:id="rId61" display="https://physoc.onlinelibrary.wiley.com/doi/10.1113/jphysiol.1978.sp012444" xr:uid="{21FD315F-1063-A94E-BBDC-034F5EAD5175}"/>
    <hyperlink ref="G117" r:id="rId62" display="https://journals.biologists.com/jeb/article/158/1/343/6225/Efficiency-Of-Energy-Conversion-During-Shortening" xr:uid="{27FC7DC1-4A8F-0845-8228-BFA0C895A614}"/>
    <hyperlink ref="G62" r:id="rId63" display="https://rupress.org/jgp/article/62/3/303/12802/Energetics-of-Contraction-in-Phasic-and-Tonic" xr:uid="{B318273E-415C-6B4C-B6AB-1A7BA7F108BE}"/>
    <hyperlink ref="G7" r:id="rId64" display="https://rupress.org/jgp/article/62/3/303/12802/Energetics-of-Contraction-in-Phasic-and-Tonic" xr:uid="{A33ABE19-1CD0-C147-8BDA-2FAA741755E0}"/>
    <hyperlink ref="G86" r:id="rId65" display="https://pubmed.ncbi.nlm.nih.gov/14114167/" xr:uid="{2780F722-9258-1646-9FEE-5738CFE3002F}"/>
    <hyperlink ref="G85" r:id="rId66" display="https://pubmed.ncbi.nlm.nih.gov/14114167/" xr:uid="{92FB1253-9CC9-DC4B-B709-96B508777EAF}"/>
    <hyperlink ref="G84" r:id="rId67" display="https://pubmed.ncbi.nlm.nih.gov/14114167/" xr:uid="{57EF427F-8C68-AA4D-9480-5982FF97EE87}"/>
    <hyperlink ref="G83" r:id="rId68" display="https://pubmed.ncbi.nlm.nih.gov/14114167/" xr:uid="{514162A0-6CC7-4147-9C18-A8147B3E33BF}"/>
    <hyperlink ref="G82" r:id="rId69" display="https://pubmed.ncbi.nlm.nih.gov/14114167/" xr:uid="{03619336-7E79-654D-9A4B-7DF8E45DE1D2}"/>
    <hyperlink ref="G16" r:id="rId70" display="https://www.ncbi.nlm.nih.gov/pmc/articles/PMC1160974/" xr:uid="{85B9A7C8-5BD0-0247-B8D9-0D0F877EDE70}"/>
    <hyperlink ref="G17" r:id="rId71" display="https://www.ncbi.nlm.nih.gov/pmc/articles/PMC1160974/" xr:uid="{0CF461AA-2F2F-4646-B36F-4057D575B6B5}"/>
    <hyperlink ref="G93" r:id="rId72" xr:uid="{ED8E0801-1F73-AC44-AEF1-6EC35D03053F}"/>
    <hyperlink ref="G94" r:id="rId73" xr:uid="{EBB5B9E5-D9A0-1D45-AE98-CA0C8AEE04A7}"/>
    <hyperlink ref="G95" r:id="rId74" display="https://physoc.onlinelibrary.wiley.com/doi/10.1113/jphysiol.1993.sp019937" xr:uid="{F94FB7A5-8827-9849-8FE6-40EF88EFC9E0}"/>
    <hyperlink ref="G18" r:id="rId75" display="https://physoc.onlinelibrary.wiley.com/doi/10.1113/jphysiol.1993.sp019937" xr:uid="{B5C0FD29-7FA9-B949-A773-1389720C0975}"/>
    <hyperlink ref="G22" r:id="rId76" xr:uid="{9BBFFDF7-B3F3-5B4F-B36F-A6DC2999289F}"/>
    <hyperlink ref="G25" r:id="rId77" xr:uid="{90514E79-096A-8641-9A16-726133039017}"/>
    <hyperlink ref="A1" r:id="rId78" display="Ranatunga" xr:uid="{6E2B8436-023A-2149-9390-76774770452D}"/>
    <hyperlink ref="G24" r:id="rId79" xr:uid="{5C6F9CE6-2EF3-8748-8DD8-6DF8C59C83F8}"/>
    <hyperlink ref="G26" r:id="rId80" xr:uid="{D477F69B-0D38-9E44-986C-AA0083D472FF}"/>
    <hyperlink ref="G102" r:id="rId81" xr:uid="{3AA8118C-550E-354A-A165-C062359743BD}"/>
    <hyperlink ref="G92:G94" r:id="rId82" display="Ranatunga" xr:uid="{89B6F0E5-2FA3-D448-BABF-0B4A532C2C1B}"/>
    <hyperlink ref="G15" r:id="rId83" xr:uid="{5BB42F22-B793-FE4A-A166-0E6018ABCCBA}"/>
    <hyperlink ref="G30:G33" r:id="rId84" display="Wilke" xr:uid="{536673C5-9859-E940-B871-A40965F31E51}"/>
    <hyperlink ref="G36" r:id="rId85" display="https://doi.org/10.1098/rspb.1940.0010" xr:uid="{96C76EAC-B3D6-3C4A-B269-6B1ACB9E5A04}"/>
    <hyperlink ref="G35" r:id="rId86" display="https://doi.org/10.1098/rspb.1940.0010" xr:uid="{8870D0CB-0145-E245-9807-375DFE52ADE7}"/>
    <hyperlink ref="G48:G50" r:id="rId87" display="Lännergren" xr:uid="{4229A7EB-BACF-BB46-ADA5-6B6F195F0140}"/>
    <hyperlink ref="G44:G46" r:id="rId88" display="Lannergren" xr:uid="{8D254EE8-73DE-0A49-9FD3-6383B5619BA5}"/>
    <hyperlink ref="G43" r:id="rId89" xr:uid="{762A1988-6C75-5E4E-9BCC-E47A0D2CBB2C}"/>
    <hyperlink ref="G51:G52" r:id="rId90" display="Mutungi" xr:uid="{649B5F97-14F4-D248-9E8F-A0E5DCF0ECC2}"/>
    <hyperlink ref="G56" r:id="rId91" xr:uid="{55F8428C-971B-2149-88AF-E9D4BDAEB30A}"/>
    <hyperlink ref="G38" r:id="rId92" xr:uid="{B891A6AB-78C8-8C4C-832B-98ADC98F4D51}"/>
    <hyperlink ref="G39" r:id="rId93" xr:uid="{720A88E5-37F3-7347-99E5-B7A3571DD91C}"/>
    <hyperlink ref="G58" r:id="rId94" xr:uid="{03DDB770-945C-E64F-868A-DF2F01E3C860}"/>
    <hyperlink ref="G59" r:id="rId95" xr:uid="{9D606C7A-32AA-404B-9A62-016113A84237}"/>
    <hyperlink ref="G111" r:id="rId96" xr:uid="{9630D2EA-4F2E-D145-8D18-FDE4E36212FE}"/>
    <hyperlink ref="G113" r:id="rId97" xr:uid="{A321F7D2-4BB9-334B-A897-D704FA7EF484}"/>
    <hyperlink ref="G92" r:id="rId98" xr:uid="{4D4B5B31-4299-574A-89D4-F6FDA817AF65}"/>
    <hyperlink ref="G63" r:id="rId99" xr:uid="{37405576-F5A0-404B-AAB4-B3C244ACB965}"/>
    <hyperlink ref="G64" r:id="rId100" xr:uid="{330D9439-5D67-2149-A347-818C42A1F281}"/>
    <hyperlink ref="G65" r:id="rId101" xr:uid="{5BB4B521-F6EC-0C4D-8F13-AE1969B000B1}"/>
    <hyperlink ref="G66" r:id="rId102" xr:uid="{699ACB62-5511-AE4F-9D8A-EC2A1CAE353A}"/>
    <hyperlink ref="G67" r:id="rId103" xr:uid="{64B78568-7D0D-3446-B94F-6B184685B077}"/>
    <hyperlink ref="G21" r:id="rId104" xr:uid="{802A7AC6-CBAB-AD4F-9DD4-F205F4E9BE64}"/>
    <hyperlink ref="G101" r:id="rId105" xr:uid="{0F410A10-CCDC-D647-90D8-F15EA4EBD3F2}"/>
    <hyperlink ref="G14" r:id="rId106" xr:uid="{DFDA50C3-64AB-C942-BEEE-88E5EBA7F935}"/>
    <hyperlink ref="G37" r:id="rId107" xr:uid="{1D1C5372-1993-E747-83E6-FC5E0D40CC86}"/>
    <hyperlink ref="G40" r:id="rId108" xr:uid="{C6CF76D1-6D1C-DB4D-9030-66855167FA4C}"/>
    <hyperlink ref="G41" r:id="rId109" xr:uid="{E9517DFB-915F-D741-B26E-5C683FE3AC03}"/>
    <hyperlink ref="G69" r:id="rId110" xr:uid="{4F839D1F-6552-4647-90A4-56A2270CFED2}"/>
    <hyperlink ref="G100" r:id="rId111" xr:uid="{F96F77F9-FC8F-A844-9685-A5EE437E6956}"/>
    <hyperlink ref="G112" r:id="rId112" xr:uid="{97B13904-F99A-2847-8970-079FC2FE8E29}"/>
    <hyperlink ref="G114" r:id="rId113" xr:uid="{3B60D724-397B-2F43-B4F5-F966DBE4021A}"/>
    <hyperlink ref="J118" r:id="rId114" xr:uid="{6311FE16-0A4D-AC43-BC98-9DDEAE955925}"/>
    <hyperlink ref="J55" r:id="rId115" xr:uid="{F8311DD3-6DB0-ED4A-9036-950B3981156D}"/>
    <hyperlink ref="J56" r:id="rId116" xr:uid="{D05001E8-5929-BE49-A627-7891E6EC9B8D}"/>
    <hyperlink ref="J57" r:id="rId117" xr:uid="{C593239B-B98D-3D40-9B69-9392948EF879}"/>
    <hyperlink ref="J122" r:id="rId118" xr:uid="{6062E4A8-A9F1-FA46-B7B5-F9939A147A1C}"/>
    <hyperlink ref="J126" r:id="rId119" xr:uid="{33194541-4B92-F44B-A4DC-0EDE53135606}"/>
    <hyperlink ref="G130" r:id="rId120" xr:uid="{58E23ADD-AF30-2A4C-AC6B-ABE9FD5B204E}"/>
    <hyperlink ref="G131" r:id="rId121" xr:uid="{DBE7A868-66AA-3A4E-B5DE-31558554FD3D}"/>
    <hyperlink ref="G132" r:id="rId122" xr:uid="{E8C3824D-5962-654A-A854-B7BC2B3ED08F}"/>
    <hyperlink ref="G133" r:id="rId123" xr:uid="{D641C6FE-F82E-D045-B19A-E48CBB4B3186}"/>
    <hyperlink ref="J9" r:id="rId124" xr:uid="{4A29E37A-CA9E-CB4C-A10F-73FD8A03A972}"/>
    <hyperlink ref="J65" r:id="rId125" xr:uid="{D5360DD8-CD3B-EE47-AE90-D70737518F75}"/>
    <hyperlink ref="J121" r:id="rId126" xr:uid="{F9CFF84E-787B-0746-9DD5-1FA32742292D}"/>
    <hyperlink ref="J13" r:id="rId127" xr:uid="{9D5549A4-180A-0A45-942C-ED1DD6E28843}"/>
    <hyperlink ref="J62" r:id="rId128" xr:uid="{C95599CA-17A7-E94E-9BE6-155BE31BFD1A}"/>
    <hyperlink ref="J71" r:id="rId129" xr:uid="{461406A5-786F-7344-86A2-2B3FEFADBCF1}"/>
    <hyperlink ref="J93" r:id="rId130" xr:uid="{01885AC6-9886-B64B-94AC-70094B5FD472}"/>
    <hyperlink ref="J43" r:id="rId131" xr:uid="{519BBFD5-B18A-B34A-AD6F-CE57E6B6B8ED}"/>
    <hyperlink ref="J47" r:id="rId132" xr:uid="{006C9218-8B4B-5449-A3CA-45794B3822BC}"/>
  </hyperlinks>
  <pageMargins left="0.7" right="0.7" top="0.75" bottom="0.75" header="0.3" footer="0.3"/>
  <pageSetup orientation="portrait" horizontalDpi="0" verticalDpi="0"/>
  <tableParts count="1">
    <tablePart r:id="rId13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B70751-F55C-BC45-93AE-D15E2BC8CC69}">
  <dimension ref="A1:H17"/>
  <sheetViews>
    <sheetView zoomScale="110" zoomScaleNormal="110" workbookViewId="0"/>
  </sheetViews>
  <sheetFormatPr baseColWidth="10" defaultRowHeight="16" x14ac:dyDescent="0.2"/>
  <cols>
    <col min="1" max="1" width="22.33203125" bestFit="1" customWidth="1"/>
    <col min="2" max="2" width="21.83203125" bestFit="1" customWidth="1"/>
    <col min="3" max="3" width="15.5" bestFit="1" customWidth="1"/>
    <col min="4" max="4" width="19.1640625" bestFit="1" customWidth="1"/>
    <col min="5" max="5" width="15.83203125" bestFit="1" customWidth="1"/>
    <col min="6" max="6" width="21.33203125" bestFit="1" customWidth="1"/>
    <col min="7" max="7" width="19.33203125" bestFit="1" customWidth="1"/>
    <col min="17" max="17" width="12.83203125" bestFit="1" customWidth="1"/>
  </cols>
  <sheetData>
    <row r="1" spans="1:8" ht="2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89</v>
      </c>
      <c r="F1" s="1" t="s">
        <v>90</v>
      </c>
      <c r="G1" s="1" t="s">
        <v>91</v>
      </c>
      <c r="H1" s="1"/>
    </row>
    <row r="2" spans="1:8" x14ac:dyDescent="0.2">
      <c r="A2" t="s">
        <v>4</v>
      </c>
      <c r="B2">
        <v>5.01</v>
      </c>
      <c r="C2">
        <v>1.53</v>
      </c>
      <c r="D2">
        <v>80.400000000000006</v>
      </c>
      <c r="E2">
        <v>9.1</v>
      </c>
      <c r="F2" s="3" t="s">
        <v>135</v>
      </c>
      <c r="G2">
        <v>4</v>
      </c>
    </row>
    <row r="3" spans="1:8" x14ac:dyDescent="0.2">
      <c r="A3" t="s">
        <v>5</v>
      </c>
      <c r="B3">
        <v>2.72</v>
      </c>
      <c r="C3">
        <v>0.88</v>
      </c>
      <c r="D3">
        <v>50.5</v>
      </c>
      <c r="E3">
        <v>10</v>
      </c>
      <c r="F3" s="3" t="s">
        <v>135</v>
      </c>
      <c r="G3">
        <v>6</v>
      </c>
    </row>
    <row r="4" spans="1:8" x14ac:dyDescent="0.2">
      <c r="A4" t="s">
        <v>6</v>
      </c>
      <c r="B4">
        <v>4.2</v>
      </c>
      <c r="C4">
        <v>0.49</v>
      </c>
      <c r="D4">
        <v>66.900000000000006</v>
      </c>
      <c r="E4">
        <v>10.9</v>
      </c>
      <c r="F4" s="3" t="s">
        <v>135</v>
      </c>
      <c r="G4">
        <v>2</v>
      </c>
    </row>
    <row r="5" spans="1:8" x14ac:dyDescent="0.2">
      <c r="A5" t="s">
        <v>35</v>
      </c>
      <c r="B5">
        <v>4.3099999999999996</v>
      </c>
      <c r="C5">
        <v>3.45</v>
      </c>
      <c r="D5">
        <v>47.3</v>
      </c>
      <c r="E5">
        <v>5.5</v>
      </c>
      <c r="F5" s="3" t="s">
        <v>135</v>
      </c>
      <c r="G5">
        <v>13</v>
      </c>
    </row>
    <row r="6" spans="1:8" x14ac:dyDescent="0.2">
      <c r="A6" t="s">
        <v>7</v>
      </c>
      <c r="B6">
        <v>3.47</v>
      </c>
      <c r="C6">
        <v>1.47</v>
      </c>
      <c r="D6">
        <v>47.3</v>
      </c>
      <c r="E6">
        <v>20.45</v>
      </c>
      <c r="F6" s="3" t="s">
        <v>135</v>
      </c>
      <c r="G6">
        <v>6</v>
      </c>
    </row>
    <row r="7" spans="1:8" x14ac:dyDescent="0.2">
      <c r="A7" t="s">
        <v>8</v>
      </c>
      <c r="B7">
        <v>4.54</v>
      </c>
      <c r="C7">
        <v>1.65</v>
      </c>
      <c r="D7">
        <v>50.3</v>
      </c>
      <c r="E7">
        <v>6.95</v>
      </c>
      <c r="F7" s="3" t="s">
        <v>135</v>
      </c>
      <c r="G7">
        <v>3</v>
      </c>
    </row>
    <row r="8" spans="1:8" x14ac:dyDescent="0.2">
      <c r="A8" t="s">
        <v>9</v>
      </c>
      <c r="B8">
        <v>3.45</v>
      </c>
      <c r="C8">
        <v>0</v>
      </c>
      <c r="D8">
        <v>52.4</v>
      </c>
      <c r="E8">
        <v>15.35</v>
      </c>
      <c r="F8" s="3" t="s">
        <v>135</v>
      </c>
      <c r="G8">
        <v>1</v>
      </c>
    </row>
    <row r="9" spans="1:8" x14ac:dyDescent="0.2">
      <c r="A9" t="s">
        <v>10</v>
      </c>
      <c r="B9">
        <v>4.63</v>
      </c>
      <c r="C9">
        <v>0.69</v>
      </c>
      <c r="D9">
        <v>49.2</v>
      </c>
      <c r="E9">
        <v>9.65</v>
      </c>
      <c r="F9" s="3" t="s">
        <v>135</v>
      </c>
      <c r="G9">
        <v>7</v>
      </c>
    </row>
    <row r="10" spans="1:8" x14ac:dyDescent="0.2">
      <c r="A10" t="s">
        <v>11</v>
      </c>
      <c r="B10">
        <v>7.15</v>
      </c>
      <c r="C10">
        <v>6.6</v>
      </c>
      <c r="D10">
        <v>62.5</v>
      </c>
      <c r="E10">
        <v>10.050000000000001</v>
      </c>
      <c r="F10" s="3" t="s">
        <v>135</v>
      </c>
      <c r="G10">
        <v>3</v>
      </c>
    </row>
    <row r="11" spans="1:8" x14ac:dyDescent="0.2">
      <c r="A11" t="s">
        <v>115</v>
      </c>
      <c r="B11">
        <v>3.7</v>
      </c>
      <c r="C11">
        <v>0</v>
      </c>
      <c r="D11">
        <v>50.5</v>
      </c>
      <c r="E11">
        <f>(62.8-38.2)/2</f>
        <v>12.299999999999997</v>
      </c>
      <c r="F11" s="3" t="s">
        <v>135</v>
      </c>
      <c r="G11">
        <v>1</v>
      </c>
    </row>
    <row r="12" spans="1:8" x14ac:dyDescent="0.2">
      <c r="A12" t="s">
        <v>12</v>
      </c>
      <c r="B12">
        <v>8.3000000000000007</v>
      </c>
      <c r="C12">
        <v>7.91</v>
      </c>
      <c r="D12">
        <v>42.8</v>
      </c>
      <c r="E12">
        <f>(51.5-34.1)/2</f>
        <v>8.6999999999999993</v>
      </c>
      <c r="F12" s="3" t="s">
        <v>135</v>
      </c>
      <c r="G12">
        <v>2</v>
      </c>
    </row>
    <row r="13" spans="1:8" x14ac:dyDescent="0.2">
      <c r="A13" t="s">
        <v>13</v>
      </c>
      <c r="B13">
        <v>4.78</v>
      </c>
      <c r="C13">
        <v>1.59</v>
      </c>
      <c r="D13">
        <v>49.6</v>
      </c>
      <c r="E13">
        <v>10.050000000000001</v>
      </c>
      <c r="F13" s="3" t="s">
        <v>135</v>
      </c>
      <c r="G13">
        <v>17</v>
      </c>
    </row>
    <row r="14" spans="1:8" x14ac:dyDescent="0.2">
      <c r="A14" t="s">
        <v>14</v>
      </c>
      <c r="B14">
        <v>6.43</v>
      </c>
      <c r="C14">
        <v>2.96</v>
      </c>
      <c r="D14">
        <v>89</v>
      </c>
      <c r="E14">
        <v>8.85</v>
      </c>
      <c r="F14" s="3" t="s">
        <v>135</v>
      </c>
      <c r="G14">
        <v>19</v>
      </c>
    </row>
    <row r="15" spans="1:8" x14ac:dyDescent="0.2">
      <c r="A15" t="s">
        <v>15</v>
      </c>
      <c r="B15">
        <v>3.03</v>
      </c>
      <c r="C15">
        <v>7.0000000000000001E-3</v>
      </c>
      <c r="D15">
        <v>35.200000000000003</v>
      </c>
      <c r="E15">
        <v>7.65</v>
      </c>
      <c r="F15" s="3" t="s">
        <v>135</v>
      </c>
      <c r="G15">
        <v>2</v>
      </c>
    </row>
    <row r="16" spans="1:8" x14ac:dyDescent="0.2">
      <c r="A16" t="s">
        <v>16</v>
      </c>
      <c r="B16">
        <v>5.54</v>
      </c>
      <c r="C16">
        <v>2.36</v>
      </c>
      <c r="D16">
        <v>72.7</v>
      </c>
      <c r="E16">
        <v>5.45</v>
      </c>
      <c r="F16" s="3" t="s">
        <v>135</v>
      </c>
      <c r="G16">
        <v>3</v>
      </c>
    </row>
    <row r="17" spans="1:7" x14ac:dyDescent="0.2">
      <c r="A17" t="s">
        <v>17</v>
      </c>
      <c r="B17">
        <v>2.87</v>
      </c>
      <c r="C17">
        <v>0.4</v>
      </c>
      <c r="D17">
        <v>46.9</v>
      </c>
      <c r="E17">
        <v>9.35</v>
      </c>
      <c r="F17" s="3" t="s">
        <v>135</v>
      </c>
      <c r="G17">
        <v>3</v>
      </c>
    </row>
  </sheetData>
  <hyperlinks>
    <hyperlink ref="F2" r:id="rId1" xr:uid="{DC98E56E-80D5-4A48-9B61-781ED486C147}"/>
  </hyperlinks>
  <pageMargins left="0.7" right="0.7" top="0.75" bottom="0.75" header="0.3" footer="0.3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C172DA-494F-4541-BA01-12700505A0C5}">
  <dimension ref="A1:K45"/>
  <sheetViews>
    <sheetView zoomScale="120" zoomScaleNormal="120" workbookViewId="0">
      <selection activeCell="C34" sqref="C34"/>
    </sheetView>
  </sheetViews>
  <sheetFormatPr baseColWidth="10" defaultRowHeight="16" x14ac:dyDescent="0.2"/>
  <cols>
    <col min="1" max="2" width="21.6640625" customWidth="1"/>
    <col min="3" max="3" width="22" bestFit="1" customWidth="1"/>
    <col min="4" max="4" width="21.83203125" bestFit="1" customWidth="1"/>
    <col min="5" max="5" width="16.6640625" customWidth="1"/>
    <col min="6" max="6" width="28.6640625" bestFit="1" customWidth="1"/>
    <col min="7" max="7" width="22.83203125" bestFit="1" customWidth="1"/>
    <col min="8" max="8" width="24.6640625" bestFit="1" customWidth="1"/>
    <col min="9" max="9" width="21.6640625" customWidth="1"/>
    <col min="10" max="10" width="6" customWidth="1"/>
    <col min="11" max="11" width="13" bestFit="1" customWidth="1"/>
  </cols>
  <sheetData>
    <row r="1" spans="1:11" ht="22" x14ac:dyDescent="0.3">
      <c r="A1" s="1" t="s">
        <v>19</v>
      </c>
      <c r="B1" s="1" t="s">
        <v>60</v>
      </c>
      <c r="C1" s="1" t="s">
        <v>0</v>
      </c>
      <c r="D1" s="1" t="s">
        <v>1</v>
      </c>
      <c r="E1" s="1" t="s">
        <v>2</v>
      </c>
      <c r="F1" s="1" t="s">
        <v>92</v>
      </c>
      <c r="G1" s="1" t="s">
        <v>99</v>
      </c>
      <c r="H1" s="1" t="s">
        <v>104</v>
      </c>
      <c r="I1" s="1" t="s">
        <v>93</v>
      </c>
      <c r="J1" s="1"/>
    </row>
    <row r="2" spans="1:11" x14ac:dyDescent="0.2">
      <c r="A2" t="s">
        <v>94</v>
      </c>
      <c r="B2" t="s">
        <v>95</v>
      </c>
      <c r="C2" t="s">
        <v>12</v>
      </c>
      <c r="D2">
        <f>1/0.072</f>
        <v>13.888888888888889</v>
      </c>
      <c r="E2">
        <f>(1/0.072) * (0.008/0.072)</f>
        <v>1.5432098765432101</v>
      </c>
      <c r="F2">
        <v>0.76875000000000004</v>
      </c>
      <c r="G2">
        <v>6.5799999999999997E-2</v>
      </c>
      <c r="H2" t="s">
        <v>88</v>
      </c>
      <c r="I2" s="3" t="s">
        <v>96</v>
      </c>
      <c r="K2" s="3"/>
    </row>
    <row r="3" spans="1:11" x14ac:dyDescent="0.2">
      <c r="A3" t="s">
        <v>20</v>
      </c>
      <c r="B3" t="s">
        <v>21</v>
      </c>
      <c r="C3" t="s">
        <v>13</v>
      </c>
      <c r="D3">
        <f>1/0.15</f>
        <v>6.666666666666667</v>
      </c>
      <c r="F3">
        <v>0.40400000000000003</v>
      </c>
      <c r="I3" s="3" t="s">
        <v>61</v>
      </c>
      <c r="K3" s="3"/>
    </row>
    <row r="4" spans="1:11" x14ac:dyDescent="0.2">
      <c r="A4" t="s">
        <v>20</v>
      </c>
      <c r="B4" t="s">
        <v>21</v>
      </c>
      <c r="C4" t="s">
        <v>13</v>
      </c>
      <c r="D4">
        <f>1/0.2</f>
        <v>5</v>
      </c>
      <c r="F4">
        <v>0.42199999999999999</v>
      </c>
      <c r="I4" s="3" t="s">
        <v>61</v>
      </c>
      <c r="K4" s="3"/>
    </row>
    <row r="5" spans="1:11" x14ac:dyDescent="0.2">
      <c r="A5" t="s">
        <v>20</v>
      </c>
      <c r="B5" t="s">
        <v>21</v>
      </c>
      <c r="C5" t="s">
        <v>13</v>
      </c>
      <c r="D5">
        <f>1/0.25</f>
        <v>4</v>
      </c>
      <c r="F5">
        <v>0.42899999999999999</v>
      </c>
      <c r="I5" s="3" t="s">
        <v>61</v>
      </c>
      <c r="K5" s="3"/>
    </row>
    <row r="6" spans="1:11" x14ac:dyDescent="0.2">
      <c r="A6" t="s">
        <v>20</v>
      </c>
      <c r="B6" t="s">
        <v>21</v>
      </c>
      <c r="C6" t="s">
        <v>13</v>
      </c>
      <c r="D6">
        <f>1/0.3</f>
        <v>3.3333333333333335</v>
      </c>
      <c r="F6">
        <v>0.432</v>
      </c>
      <c r="I6" s="3" t="s">
        <v>61</v>
      </c>
      <c r="K6" s="3"/>
    </row>
    <row r="7" spans="1:11" x14ac:dyDescent="0.2">
      <c r="A7" t="s">
        <v>20</v>
      </c>
      <c r="B7" t="s">
        <v>21</v>
      </c>
      <c r="C7" t="s">
        <v>13</v>
      </c>
      <c r="D7">
        <f>1/0.35</f>
        <v>2.8571428571428572</v>
      </c>
      <c r="F7">
        <v>0.435</v>
      </c>
      <c r="I7" s="3" t="s">
        <v>61</v>
      </c>
      <c r="K7" s="3"/>
    </row>
    <row r="8" spans="1:11" x14ac:dyDescent="0.2">
      <c r="A8" t="s">
        <v>98</v>
      </c>
      <c r="B8" t="s">
        <v>30</v>
      </c>
      <c r="C8" t="s">
        <v>35</v>
      </c>
      <c r="D8">
        <f>1/0.466</f>
        <v>2.1459227467811157</v>
      </c>
      <c r="E8">
        <f t="shared" ref="E8" si="0">(1/0.466) * (0.057/0.466)</f>
        <v>0.26248411280369871</v>
      </c>
      <c r="F8">
        <v>0.33300000000000002</v>
      </c>
      <c r="G8">
        <v>0.02</v>
      </c>
      <c r="H8" t="s">
        <v>88</v>
      </c>
      <c r="I8" s="3" t="s">
        <v>97</v>
      </c>
      <c r="K8" s="3"/>
    </row>
    <row r="9" spans="1:11" x14ac:dyDescent="0.2">
      <c r="A9" t="s">
        <v>98</v>
      </c>
      <c r="B9" t="s">
        <v>30</v>
      </c>
      <c r="C9" t="s">
        <v>35</v>
      </c>
      <c r="D9">
        <f>1/0.648</f>
        <v>1.5432098765432098</v>
      </c>
      <c r="E9">
        <f>(1/0.648) * (0.093/0.648)</f>
        <v>0.22147919524462734</v>
      </c>
      <c r="F9">
        <v>0.28199999999999997</v>
      </c>
      <c r="G9">
        <v>2.1000000000000001E-2</v>
      </c>
      <c r="H9" t="s">
        <v>88</v>
      </c>
      <c r="I9" s="3" t="s">
        <v>97</v>
      </c>
      <c r="K9" s="3"/>
    </row>
    <row r="10" spans="1:11" x14ac:dyDescent="0.2">
      <c r="A10" t="s">
        <v>98</v>
      </c>
      <c r="B10" t="s">
        <v>30</v>
      </c>
      <c r="C10" t="s">
        <v>14</v>
      </c>
      <c r="D10">
        <f>1/0.163</f>
        <v>6.1349693251533743</v>
      </c>
      <c r="E10">
        <f>(1/0.163) * (0.01/0.163)</f>
        <v>0.3763784862057285</v>
      </c>
      <c r="F10">
        <v>0.42499999999999999</v>
      </c>
      <c r="G10">
        <v>2.5000000000000001E-2</v>
      </c>
      <c r="H10" t="s">
        <v>88</v>
      </c>
      <c r="I10" s="3" t="s">
        <v>97</v>
      </c>
      <c r="K10" s="3"/>
    </row>
    <row r="11" spans="1:11" x14ac:dyDescent="0.2">
      <c r="A11" t="s">
        <v>98</v>
      </c>
      <c r="B11" t="s">
        <v>30</v>
      </c>
      <c r="C11" t="s">
        <v>14</v>
      </c>
      <c r="D11">
        <f>1/0.207</f>
        <v>4.8309178743961354</v>
      </c>
      <c r="E11">
        <f>(1/0.207) * (0.022/0.207)</f>
        <v>0.51343088520152169</v>
      </c>
      <c r="F11">
        <v>0.38700000000000001</v>
      </c>
      <c r="G11">
        <v>2.5000000000000001E-2</v>
      </c>
      <c r="H11" t="s">
        <v>88</v>
      </c>
      <c r="I11" s="3" t="s">
        <v>97</v>
      </c>
      <c r="K11" s="3"/>
    </row>
    <row r="12" spans="1:11" x14ac:dyDescent="0.2">
      <c r="A12" t="s">
        <v>98</v>
      </c>
      <c r="B12" t="s">
        <v>30</v>
      </c>
      <c r="C12" t="s">
        <v>14</v>
      </c>
      <c r="D12">
        <f>1/0.142</f>
        <v>7.042253521126761</v>
      </c>
      <c r="E12">
        <f>(1/0.142) * (0.014/0.142)</f>
        <v>0.69430668518151173</v>
      </c>
      <c r="F12">
        <v>0.30599999999999999</v>
      </c>
      <c r="G12">
        <v>2.5999999999999999E-2</v>
      </c>
      <c r="I12" s="3" t="s">
        <v>97</v>
      </c>
      <c r="K12" s="3"/>
    </row>
    <row r="13" spans="1:11" x14ac:dyDescent="0.2">
      <c r="A13" t="s">
        <v>98</v>
      </c>
      <c r="B13" t="s">
        <v>30</v>
      </c>
      <c r="C13" t="s">
        <v>35</v>
      </c>
      <c r="D13">
        <f>1/0.34</f>
        <v>2.9411764705882351</v>
      </c>
      <c r="E13">
        <f>(1/0.34) * (0.02/0.34)</f>
        <v>0.17301038062283736</v>
      </c>
      <c r="F13">
        <v>0.28299999999999997</v>
      </c>
      <c r="G13">
        <v>2.4E-2</v>
      </c>
      <c r="I13" s="3" t="s">
        <v>97</v>
      </c>
      <c r="K13" s="3"/>
    </row>
    <row r="14" spans="1:11" x14ac:dyDescent="0.2">
      <c r="A14" t="s">
        <v>98</v>
      </c>
      <c r="B14" t="s">
        <v>30</v>
      </c>
      <c r="C14" t="s">
        <v>14</v>
      </c>
      <c r="D14">
        <f>1/0.16</f>
        <v>6.25</v>
      </c>
      <c r="F14">
        <v>0.45900000000000002</v>
      </c>
      <c r="I14" s="3" t="s">
        <v>100</v>
      </c>
      <c r="K14" s="3"/>
    </row>
    <row r="15" spans="1:11" x14ac:dyDescent="0.2">
      <c r="A15" t="s">
        <v>98</v>
      </c>
      <c r="B15" t="s">
        <v>30</v>
      </c>
      <c r="C15" t="s">
        <v>14</v>
      </c>
      <c r="D15">
        <f>1/0.16</f>
        <v>6.25</v>
      </c>
      <c r="F15">
        <v>0.437</v>
      </c>
      <c r="I15" s="3" t="s">
        <v>100</v>
      </c>
      <c r="K15" s="3"/>
    </row>
    <row r="16" spans="1:11" x14ac:dyDescent="0.2">
      <c r="A16" t="s">
        <v>98</v>
      </c>
      <c r="B16" t="s">
        <v>30</v>
      </c>
      <c r="C16" t="s">
        <v>35</v>
      </c>
      <c r="D16">
        <f>1/0.28</f>
        <v>3.5714285714285712</v>
      </c>
      <c r="F16">
        <v>0.318</v>
      </c>
      <c r="I16" s="3" t="s">
        <v>100</v>
      </c>
      <c r="K16" s="3"/>
    </row>
    <row r="17" spans="1:11" x14ac:dyDescent="0.2">
      <c r="A17" t="s">
        <v>98</v>
      </c>
      <c r="B17" t="s">
        <v>30</v>
      </c>
      <c r="C17" t="s">
        <v>35</v>
      </c>
      <c r="D17">
        <f>1/0.28</f>
        <v>3.5714285714285712</v>
      </c>
      <c r="F17">
        <v>0.32700000000000001</v>
      </c>
      <c r="I17" s="3" t="s">
        <v>100</v>
      </c>
      <c r="K17" s="3"/>
    </row>
    <row r="18" spans="1:11" x14ac:dyDescent="0.2">
      <c r="A18" t="s">
        <v>20</v>
      </c>
      <c r="B18" t="s">
        <v>21</v>
      </c>
      <c r="C18" t="s">
        <v>13</v>
      </c>
      <c r="D18">
        <f>1/0.25</f>
        <v>4</v>
      </c>
      <c r="F18">
        <v>0.40500000000000003</v>
      </c>
      <c r="I18" s="3" t="s">
        <v>61</v>
      </c>
      <c r="K18" s="3"/>
    </row>
    <row r="19" spans="1:11" x14ac:dyDescent="0.2">
      <c r="A19" t="s">
        <v>101</v>
      </c>
      <c r="B19" t="s">
        <v>102</v>
      </c>
      <c r="C19" t="s">
        <v>13</v>
      </c>
      <c r="D19">
        <f>1/0.11</f>
        <v>9.0909090909090917</v>
      </c>
      <c r="E19">
        <f>(1/0.11) * (0.01/0.11)</f>
        <v>0.82644628099173567</v>
      </c>
      <c r="F19">
        <f>23.6/(23.6+18.1)</f>
        <v>0.56594724220623505</v>
      </c>
      <c r="G19">
        <v>2.0799999999999999E-2</v>
      </c>
      <c r="I19" s="3" t="s">
        <v>105</v>
      </c>
      <c r="K19" s="3"/>
    </row>
    <row r="20" spans="1:11" x14ac:dyDescent="0.2">
      <c r="A20" t="s">
        <v>101</v>
      </c>
      <c r="B20" t="s">
        <v>102</v>
      </c>
      <c r="C20" t="s">
        <v>13</v>
      </c>
      <c r="D20">
        <f>1/0.18</f>
        <v>5.5555555555555554</v>
      </c>
      <c r="E20">
        <f>(1/0.18) * (0.02/0.18)</f>
        <v>0.61728395061728392</v>
      </c>
      <c r="F20">
        <f>26.8/(26.8+23.2)</f>
        <v>0.53600000000000003</v>
      </c>
      <c r="G20">
        <v>2.0899999999999998E-2</v>
      </c>
      <c r="I20" s="3" t="s">
        <v>105</v>
      </c>
      <c r="K20" s="3"/>
    </row>
    <row r="21" spans="1:11" x14ac:dyDescent="0.2">
      <c r="A21" t="s">
        <v>101</v>
      </c>
      <c r="B21" t="s">
        <v>102</v>
      </c>
      <c r="C21" t="s">
        <v>13</v>
      </c>
      <c r="D21">
        <f>1/0.15</f>
        <v>6.666666666666667</v>
      </c>
      <c r="E21">
        <f>(1/0.15) * (0.02/0.15)</f>
        <v>0.88888888888888895</v>
      </c>
      <c r="F21">
        <f>9/(9+12.3)</f>
        <v>0.42253521126760563</v>
      </c>
      <c r="G21">
        <v>1.9400000000000001E-2</v>
      </c>
      <c r="I21" s="3" t="s">
        <v>105</v>
      </c>
      <c r="K21" s="3"/>
    </row>
    <row r="22" spans="1:11" x14ac:dyDescent="0.2">
      <c r="A22" t="s">
        <v>101</v>
      </c>
      <c r="B22" t="s">
        <v>102</v>
      </c>
      <c r="C22" t="s">
        <v>13</v>
      </c>
      <c r="D22">
        <f>1/0.26</f>
        <v>3.8461538461538458</v>
      </c>
      <c r="E22">
        <f>(1/0.26) * (0.02/0.26)</f>
        <v>0.29585798816568049</v>
      </c>
      <c r="F22">
        <f>10.3/(10.3+15.4)</f>
        <v>0.40077821011673148</v>
      </c>
      <c r="G22">
        <v>1.7100000000000001E-2</v>
      </c>
      <c r="I22" s="3" t="s">
        <v>105</v>
      </c>
      <c r="K22" s="3"/>
    </row>
    <row r="23" spans="1:11" x14ac:dyDescent="0.2">
      <c r="A23" t="s">
        <v>106</v>
      </c>
      <c r="B23" t="s">
        <v>27</v>
      </c>
      <c r="C23" t="s">
        <v>28</v>
      </c>
      <c r="D23">
        <f>1/0.43</f>
        <v>2.3255813953488373</v>
      </c>
      <c r="E23">
        <f>(1/0.43) * (0.25/0.43)</f>
        <v>1.3520822065981613</v>
      </c>
      <c r="F23">
        <v>0.33</v>
      </c>
      <c r="G23">
        <v>0.02</v>
      </c>
      <c r="I23" s="3" t="s">
        <v>107</v>
      </c>
      <c r="K23" s="3"/>
    </row>
    <row r="24" spans="1:11" x14ac:dyDescent="0.2">
      <c r="A24" t="s">
        <v>108</v>
      </c>
      <c r="B24" t="s">
        <v>109</v>
      </c>
      <c r="C24" t="s">
        <v>110</v>
      </c>
      <c r="D24">
        <f>1/0.07</f>
        <v>14.285714285714285</v>
      </c>
      <c r="E24">
        <f>(1/0.07) * (0.01/0.07)</f>
        <v>2.0408163265306118</v>
      </c>
      <c r="F24">
        <v>0.67500000000000004</v>
      </c>
      <c r="G24">
        <v>0.105</v>
      </c>
      <c r="I24" s="3" t="s">
        <v>105</v>
      </c>
      <c r="K24" s="3"/>
    </row>
    <row r="25" spans="1:11" x14ac:dyDescent="0.2">
      <c r="A25" t="s">
        <v>112</v>
      </c>
      <c r="B25" t="s">
        <v>42</v>
      </c>
      <c r="C25" t="s">
        <v>113</v>
      </c>
      <c r="D25">
        <f>0.873/0.313</f>
        <v>2.7891373801916934</v>
      </c>
      <c r="E25">
        <f>0.4132</f>
        <v>0.41320000000000001</v>
      </c>
      <c r="F25">
        <v>0.33</v>
      </c>
      <c r="G25">
        <v>0.01</v>
      </c>
      <c r="I25" s="3" t="s">
        <v>111</v>
      </c>
      <c r="K25" s="3"/>
    </row>
    <row r="26" spans="1:11" x14ac:dyDescent="0.2">
      <c r="A26" t="s">
        <v>117</v>
      </c>
      <c r="B26" t="s">
        <v>116</v>
      </c>
      <c r="C26" t="s">
        <v>115</v>
      </c>
      <c r="D26">
        <f>1/0.27</f>
        <v>3.7037037037037033</v>
      </c>
      <c r="E26">
        <f>(1/0.27) * (0.01/0.27)</f>
        <v>0.1371742112482853</v>
      </c>
      <c r="F26">
        <v>0.44</v>
      </c>
      <c r="G26">
        <v>0.03</v>
      </c>
      <c r="H26" t="s">
        <v>88</v>
      </c>
      <c r="I26" s="3" t="s">
        <v>118</v>
      </c>
      <c r="K26" s="3"/>
    </row>
    <row r="27" spans="1:11" x14ac:dyDescent="0.2">
      <c r="A27" t="s">
        <v>117</v>
      </c>
      <c r="B27" t="s">
        <v>116</v>
      </c>
      <c r="C27" t="s">
        <v>114</v>
      </c>
      <c r="D27">
        <f>1/0.11</f>
        <v>9.0909090909090917</v>
      </c>
      <c r="E27">
        <f>(1/0.11) * (0.002/0.11)</f>
        <v>0.16528925619834711</v>
      </c>
      <c r="F27">
        <v>0.55000000000000004</v>
      </c>
      <c r="G27">
        <v>0.04</v>
      </c>
      <c r="H27" t="s">
        <v>88</v>
      </c>
      <c r="I27" s="3" t="s">
        <v>118</v>
      </c>
      <c r="K27" s="3"/>
    </row>
    <row r="30" spans="1:11" x14ac:dyDescent="0.2">
      <c r="A30" s="3"/>
      <c r="I30" s="3"/>
      <c r="K30" s="3"/>
    </row>
    <row r="34" spans="1:4" x14ac:dyDescent="0.2">
      <c r="C34" s="3"/>
      <c r="D34" s="3"/>
    </row>
    <row r="35" spans="1:4" x14ac:dyDescent="0.2">
      <c r="A35" s="3"/>
      <c r="B35" s="3"/>
      <c r="D35" s="3"/>
    </row>
    <row r="36" spans="1:4" x14ac:dyDescent="0.2">
      <c r="A36" s="3"/>
      <c r="B36" s="3"/>
      <c r="D36" s="3"/>
    </row>
    <row r="37" spans="1:4" x14ac:dyDescent="0.2">
      <c r="A37" s="3"/>
      <c r="B37" s="3"/>
      <c r="D37" s="3"/>
    </row>
    <row r="38" spans="1:4" x14ac:dyDescent="0.2">
      <c r="A38" s="3"/>
      <c r="B38" s="3"/>
      <c r="D38" s="3"/>
    </row>
    <row r="39" spans="1:4" x14ac:dyDescent="0.2">
      <c r="A39" s="3"/>
      <c r="B39" s="3"/>
      <c r="D39" s="3"/>
    </row>
    <row r="40" spans="1:4" x14ac:dyDescent="0.2">
      <c r="A40" s="3"/>
      <c r="B40" s="3"/>
      <c r="D40" s="3"/>
    </row>
    <row r="41" spans="1:4" x14ac:dyDescent="0.2">
      <c r="A41" s="3"/>
      <c r="B41" s="3"/>
      <c r="D41" s="3"/>
    </row>
    <row r="42" spans="1:4" x14ac:dyDescent="0.2">
      <c r="A42" s="3"/>
      <c r="B42" s="3"/>
      <c r="D42" s="3"/>
    </row>
    <row r="43" spans="1:4" x14ac:dyDescent="0.2">
      <c r="A43" s="3"/>
      <c r="B43" s="3"/>
      <c r="D43" s="3"/>
    </row>
    <row r="44" spans="1:4" x14ac:dyDescent="0.2">
      <c r="A44" s="3"/>
      <c r="B44" s="3"/>
      <c r="D44" s="3"/>
    </row>
    <row r="45" spans="1:4" x14ac:dyDescent="0.2">
      <c r="A45" s="3"/>
      <c r="B45" s="3"/>
      <c r="D45" s="3"/>
    </row>
  </sheetData>
  <hyperlinks>
    <hyperlink ref="I3" r:id="rId1" xr:uid="{8FD5D3A8-2EC0-9941-A0FC-4508B196E2BE}"/>
    <hyperlink ref="I4:I7" r:id="rId2" display="Hill" xr:uid="{531358E9-2D9E-7347-943D-B131D2946041}"/>
    <hyperlink ref="I8" r:id="rId3" xr:uid="{D3094937-307B-9041-B123-E69BE2288C2C}"/>
    <hyperlink ref="I9:I11" r:id="rId4" display="Barclay" xr:uid="{8B1C6B52-9B64-DD44-84F9-5270D9D851AE}"/>
    <hyperlink ref="I12" r:id="rId5" xr:uid="{88BC6D71-C343-FA4A-B492-988B495A8C4B}"/>
    <hyperlink ref="I13" r:id="rId6" xr:uid="{31CD00BC-1996-A24F-A5DF-8560A9A901A5}"/>
    <hyperlink ref="I14" r:id="rId7" location="bib7" xr:uid="{C9E70D5D-7AFF-6940-ACE9-09613534619E}"/>
    <hyperlink ref="I15:I17" r:id="rId8" location="bib7" display="Houdijk" xr:uid="{88896021-F42F-924D-9CE0-AF59B48C1DD8}"/>
    <hyperlink ref="I18" r:id="rId9" xr:uid="{0E19C089-FCE0-6F44-B1D9-756E13914AD7}"/>
    <hyperlink ref="I19" r:id="rId10" xr:uid="{17D4BC95-8B33-9648-B985-7230138362BD}"/>
    <hyperlink ref="I20:I22" r:id="rId11" display="Gilbert" xr:uid="{C36E50EF-9DC7-3344-884B-F6EBF07FDD2B}"/>
    <hyperlink ref="I23" r:id="rId12" xr:uid="{04DD6691-00A3-C246-9F5C-A2C7B90EE42D}"/>
    <hyperlink ref="I24" r:id="rId13" xr:uid="{6AC66458-84CA-204B-B1F6-9E139B15404D}"/>
    <hyperlink ref="I2" r:id="rId14" xr:uid="{B7BA76BC-6F0A-C24B-A502-B440483EE20E}"/>
    <hyperlink ref="I25" r:id="rId15" xr:uid="{6B6A7C20-C0BA-8F48-A775-85191EAC433C}"/>
    <hyperlink ref="I26" r:id="rId16" xr:uid="{E8A2B2B0-537E-9E40-9489-546D77EBB76A}"/>
    <hyperlink ref="I27" r:id="rId17" xr:uid="{FB49777E-E4BA-E34F-AD65-E1EAD4EA1571}"/>
  </hyperlinks>
  <pageMargins left="0.7" right="0.7" top="0.75" bottom="0.75" header="0.3" footer="0.3"/>
  <tableParts count="1">
    <tablePart r:id="rId18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Supplementary Data 1</vt:lpstr>
      <vt:lpstr>Supplementary Data 2</vt:lpstr>
      <vt:lpstr>Supplementary Data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McGrath, Jake</dc:creator>
  <cp:lastModifiedBy>McGrath III, Jake</cp:lastModifiedBy>
  <dcterms:created xsi:type="dcterms:W3CDTF">2024-04-01T17:55:40Z</dcterms:created>
  <dcterms:modified xsi:type="dcterms:W3CDTF">2025-04-15T18:53:10Z</dcterms:modified>
</cp:coreProperties>
</file>