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7236" yWindow="1700" windowWidth="29320" windowHeight="18600" activeTab="2"/>
  </bookViews>
  <sheets>
    <sheet name="supremacy" sheetId="1" r:id="rId1"/>
    <sheet name="QEC" sheetId="2" r:id="rId2"/>
    <sheet name="QAOA" sheetId="3" r:id="rId3"/>
  </sheets>
  <calcPr calcId="144525"/>
</workbook>
</file>

<file path=xl/sharedStrings.xml><?xml version="1.0" encoding="utf-8"?>
<sst xmlns="http://schemas.openxmlformats.org/spreadsheetml/2006/main" count="145" uniqueCount="36">
  <si>
    <t>Trial 1</t>
  </si>
  <si>
    <t>Trial 2</t>
  </si>
  <si>
    <t>Trial 3</t>
  </si>
  <si>
    <t>Trial 4</t>
  </si>
  <si>
    <t>Trial 5</t>
  </si>
  <si>
    <t>Trial 6</t>
  </si>
  <si>
    <t>Trial 7</t>
  </si>
  <si>
    <t>Trial 8</t>
  </si>
  <si>
    <t>Trial 9</t>
  </si>
  <si>
    <t>Trial 10</t>
  </si>
  <si>
    <t>Contraction cost before slicing (logarithm base 10)</t>
  </si>
  <si>
    <t>m12</t>
  </si>
  <si>
    <t>m14</t>
  </si>
  <si>
    <t>m16</t>
  </si>
  <si>
    <t>m18</t>
  </si>
  <si>
    <t>m20</t>
  </si>
  <si>
    <t xml:space="preserve">Contraction cost after slicing (logarithm base 10)         </t>
  </si>
  <si>
    <t>Contraction cost of each subtask after slicing</t>
  </si>
  <si>
    <t>Number of slices</t>
  </si>
  <si>
    <t>Slicing overhead</t>
  </si>
  <si>
    <t>QEC regular</t>
  </si>
  <si>
    <t>QEC ZX</t>
  </si>
  <si>
    <t>QEC XZZX</t>
  </si>
  <si>
    <t>CFI I blue 4</t>
  </si>
  <si>
    <t>CFI I red 4</t>
  </si>
  <si>
    <t>CFI II blue 4</t>
  </si>
  <si>
    <t>CFI II red 4</t>
  </si>
  <si>
    <t>CFI I blue 5</t>
  </si>
  <si>
    <t>CFI I red 5</t>
  </si>
  <si>
    <t>CFI II blue 5</t>
  </si>
  <si>
    <t>CFI II red 5</t>
  </si>
  <si>
    <t>CFI I blue 6</t>
  </si>
  <si>
    <t>CFI I red 6</t>
  </si>
  <si>
    <t>CFI II blue 6</t>
  </si>
  <si>
    <t>CFI II red 6</t>
  </si>
  <si>
    <t>Slicing overhead (1 indicates no slicing)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</si>
</sst>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</numFmts>
  <fonts count="21"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7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10" borderId="5" applyNumberFormat="0" applyFont="0" applyAlignment="0" applyProtection="0">
      <alignment vertical="center"/>
    </xf>
    <xf numFmtId="0" fontId="4" fillId="2" borderId="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3.xml"/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customXml" Target="../customXml/item6.xml"/><Relationship Id="rId11" Type="http://schemas.openxmlformats.org/officeDocument/2006/relationships/customXml" Target="../customXml/item5.xml"/><Relationship Id="rId10" Type="http://schemas.openxmlformats.org/officeDocument/2006/relationships/customXml" Target="../customXml/item4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opLeftCell="A2" workbookViewId="0">
      <selection activeCell="A42" sqref="A42:K68"/>
    </sheetView>
  </sheetViews>
  <sheetFormatPr defaultColWidth="10" defaultRowHeight="16.5" customHeight="1"/>
  <cols>
    <col min="2" max="11" width="12.625"/>
    <col min="17" max="21" width="12.1666666666667" customWidth="1"/>
  </cols>
  <sheetData>
    <row r="1" customHeight="1" spans="2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customHeight="1" spans="2:11">
      <c r="B2" s="1" t="s">
        <v>10</v>
      </c>
      <c r="C2" s="1"/>
      <c r="D2" s="1"/>
      <c r="E2" s="1"/>
      <c r="F2" s="1"/>
      <c r="G2" s="1"/>
      <c r="H2" s="1"/>
      <c r="I2" s="1"/>
      <c r="J2" s="1"/>
      <c r="K2" s="1"/>
    </row>
    <row r="3" ht="15.75" spans="1:11">
      <c r="A3" t="s">
        <v>11</v>
      </c>
      <c r="B3">
        <v>13.03</v>
      </c>
      <c r="C3">
        <f>13.336960748689-LOG(2)</f>
        <v>13.035930753025</v>
      </c>
      <c r="D3">
        <f>13.3276093719947-LOG(2)</f>
        <v>13.0265793763307</v>
      </c>
      <c r="E3">
        <f>13.379488564336-LOG10(2)</f>
        <v>13.078458568672</v>
      </c>
      <c r="F3">
        <f>13.4369089580801-LOG10(2)</f>
        <v>13.1358789624161</v>
      </c>
      <c r="G3">
        <v>13.0356758103785</v>
      </c>
      <c r="H3">
        <v>13.0459423049762</v>
      </c>
      <c r="I3">
        <v>13.0534777794093</v>
      </c>
      <c r="J3">
        <v>13.0488996277942</v>
      </c>
      <c r="K3">
        <v>13.033345877807</v>
      </c>
    </row>
    <row r="4" spans="1:11">
      <c r="A4" t="s">
        <v>12</v>
      </c>
      <c r="B4">
        <v>13.8</v>
      </c>
      <c r="C4">
        <f>14.1105660119906-LOG10(2)</f>
        <v>13.8095360163266</v>
      </c>
      <c r="D4">
        <f>14.0870962998109-LOG10(2)</f>
        <v>13.7860663041469</v>
      </c>
      <c r="E4">
        <f>14.1594325963177-LOG10(2)</f>
        <v>13.8584026006537</v>
      </c>
      <c r="F4">
        <f>14.1664101104678-LOG10(2)</f>
        <v>13.8653801148038</v>
      </c>
      <c r="G4">
        <v>13.820901858023</v>
      </c>
      <c r="H4">
        <v>13.8567809737283</v>
      </c>
      <c r="I4">
        <v>13.8081267407423</v>
      </c>
      <c r="J4">
        <v>13.8313253969779</v>
      </c>
      <c r="K4">
        <v>13.7981841320444</v>
      </c>
    </row>
    <row r="5" spans="1:11">
      <c r="A5" t="s">
        <v>13</v>
      </c>
      <c r="B5">
        <v>16.59</v>
      </c>
      <c r="C5">
        <f>17.1906744116264-LOG10(2)</f>
        <v>16.8896444159624</v>
      </c>
      <c r="D5">
        <f>16.7821467395587-LOG10(2)</f>
        <v>16.4811167438947</v>
      </c>
      <c r="E5">
        <f>17.1100133238601-LOG10(2)</f>
        <v>16.8089833281961</v>
      </c>
      <c r="F5">
        <f>17.0668905231498-LOG10(2)</f>
        <v>16.7658605274858</v>
      </c>
      <c r="G5">
        <v>17.0885608418276</v>
      </c>
      <c r="H5">
        <v>17.0935178125132</v>
      </c>
      <c r="I5">
        <v>16.5295608078468</v>
      </c>
      <c r="J5">
        <v>17.2390112660918</v>
      </c>
      <c r="K5">
        <v>17.0142256376715</v>
      </c>
    </row>
    <row r="6" spans="1:11">
      <c r="A6" t="s">
        <v>14</v>
      </c>
      <c r="B6">
        <v>17.13</v>
      </c>
      <c r="C6">
        <f>17.6239483612377-LOG10(2)</f>
        <v>17.3229183655737</v>
      </c>
      <c r="D6">
        <f>17.605140639119-LOG10(2)</f>
        <v>17.304110643455</v>
      </c>
      <c r="E6">
        <f>17.6239722326217-LOG10(2)</f>
        <v>17.3229422369577</v>
      </c>
      <c r="F6">
        <f>17.6318480018209-LOG10(2)</f>
        <v>17.3308180061569</v>
      </c>
      <c r="G6">
        <v>17.2730014027845</v>
      </c>
      <c r="H6">
        <v>17.2707258705079</v>
      </c>
      <c r="I6">
        <v>17.283433362658</v>
      </c>
      <c r="J6">
        <v>17.2709630282016</v>
      </c>
      <c r="K6">
        <v>17.2874762755981</v>
      </c>
    </row>
    <row r="7" spans="1:11">
      <c r="A7" t="s">
        <v>15</v>
      </c>
      <c r="B7">
        <v>18.17</v>
      </c>
      <c r="C7">
        <f>18.8459840252517-LOG10(2)</f>
        <v>18.5449540295877</v>
      </c>
      <c r="D7">
        <f>18.9182435605734-LOG10(2)</f>
        <v>18.6172135649094</v>
      </c>
      <c r="E7">
        <f>18.8483248820302-LOG10(2)</f>
        <v>18.5472948863662</v>
      </c>
      <c r="F7">
        <f>18.7727102186694-LOG10(2)</f>
        <v>18.4716802230054</v>
      </c>
      <c r="G7">
        <f>18.8777824726937-LOG10(2)</f>
        <v>18.5767524770297</v>
      </c>
      <c r="H7">
        <f>18.9645403412283-LOG10(2)</f>
        <v>18.6635103455643</v>
      </c>
      <c r="I7">
        <f>18.8918793324751-LOG10(2)</f>
        <v>18.5908493368111</v>
      </c>
      <c r="J7">
        <f>18.8777824726937-LOG10(2)</f>
        <v>18.5767524770297</v>
      </c>
      <c r="K7">
        <v>18.4468297243389</v>
      </c>
    </row>
    <row r="9" ht="15.75" spans="2:11">
      <c r="B9" s="1" t="s">
        <v>16</v>
      </c>
      <c r="C9" s="1"/>
      <c r="D9" s="1"/>
      <c r="E9" s="1"/>
      <c r="F9" s="1"/>
      <c r="G9" s="1"/>
      <c r="H9" s="1"/>
      <c r="I9" s="1"/>
      <c r="J9" s="1"/>
      <c r="K9" s="1"/>
    </row>
    <row r="10" ht="15.75" spans="1:11">
      <c r="A10" t="s">
        <v>11</v>
      </c>
      <c r="B10">
        <f t="shared" ref="B10:K14" si="0">LOG10(POWER(2,B24)/2*B17)</f>
        <v>13.0629541946514</v>
      </c>
      <c r="C10">
        <f t="shared" si="0"/>
        <v>13.0466129394184</v>
      </c>
      <c r="D10">
        <f t="shared" si="0"/>
        <v>13.0356336919714</v>
      </c>
      <c r="E10">
        <f t="shared" si="0"/>
        <v>13.1022212626085</v>
      </c>
      <c r="F10">
        <f t="shared" si="0"/>
        <v>13.1664921979209</v>
      </c>
      <c r="G10">
        <f t="shared" si="0"/>
        <v>13.0454330261412</v>
      </c>
      <c r="H10">
        <f t="shared" si="0"/>
        <v>13.0534608346187</v>
      </c>
      <c r="I10">
        <f t="shared" si="0"/>
        <v>13.0612864020364</v>
      </c>
      <c r="J10">
        <f t="shared" si="0"/>
        <v>13.0856578520175</v>
      </c>
      <c r="K10">
        <f t="shared" si="0"/>
        <v>13.0442484416232</v>
      </c>
    </row>
    <row r="11" ht="15.75" spans="1:11">
      <c r="A11" t="s">
        <v>12</v>
      </c>
      <c r="B11">
        <f t="shared" si="0"/>
        <v>13.8958198094494</v>
      </c>
      <c r="C11">
        <f t="shared" si="0"/>
        <v>13.8573792077979</v>
      </c>
      <c r="D11">
        <f t="shared" si="0"/>
        <v>13.8555561670392</v>
      </c>
      <c r="E11">
        <f t="shared" si="0"/>
        <v>13.8919639899759</v>
      </c>
      <c r="F11">
        <f t="shared" si="0"/>
        <v>13.9137274649253</v>
      </c>
      <c r="G11">
        <f t="shared" si="0"/>
        <v>13.8501370755151</v>
      </c>
      <c r="H11">
        <f t="shared" si="0"/>
        <v>13.915424413645</v>
      </c>
      <c r="I11">
        <f t="shared" si="0"/>
        <v>13.9872810070637</v>
      </c>
      <c r="J11">
        <f t="shared" si="0"/>
        <v>13.8803539763354</v>
      </c>
      <c r="K11">
        <f t="shared" si="0"/>
        <v>13.8695003943858</v>
      </c>
    </row>
    <row r="12" ht="15.75" spans="1:11">
      <c r="A12" t="s">
        <v>13</v>
      </c>
      <c r="B12">
        <f t="shared" si="0"/>
        <v>17.4117676726883</v>
      </c>
      <c r="C12">
        <f t="shared" si="0"/>
        <v>17.5842291590899</v>
      </c>
      <c r="D12">
        <f t="shared" si="0"/>
        <v>17.0603778873993</v>
      </c>
      <c r="E12">
        <f t="shared" si="0"/>
        <v>17.6215989737764</v>
      </c>
      <c r="F12">
        <f t="shared" si="0"/>
        <v>17.3248959657215</v>
      </c>
      <c r="G12">
        <f t="shared" si="0"/>
        <v>17.1955987432261</v>
      </c>
      <c r="H12">
        <f t="shared" si="0"/>
        <v>17.2450354509759</v>
      </c>
      <c r="I12">
        <f t="shared" si="0"/>
        <v>17.1356566770041</v>
      </c>
      <c r="J12">
        <f t="shared" si="0"/>
        <v>17.3580064347555</v>
      </c>
      <c r="K12">
        <f t="shared" si="0"/>
        <v>17.2458194153869</v>
      </c>
    </row>
    <row r="13" ht="15.75" spans="1:11">
      <c r="A13" t="s">
        <v>14</v>
      </c>
      <c r="B13">
        <f t="shared" si="0"/>
        <v>17.4139858393656</v>
      </c>
      <c r="C13">
        <f t="shared" si="0"/>
        <v>17.407458099205</v>
      </c>
      <c r="D13">
        <f t="shared" si="0"/>
        <v>17.3939084387294</v>
      </c>
      <c r="E13">
        <f t="shared" si="0"/>
        <v>17.407458099205</v>
      </c>
      <c r="F13">
        <f t="shared" si="0"/>
        <v>17.3833290209372</v>
      </c>
      <c r="G13">
        <f t="shared" si="0"/>
        <v>17.3110586815203</v>
      </c>
      <c r="H13">
        <f t="shared" si="0"/>
        <v>17.3320560554198</v>
      </c>
      <c r="I13">
        <f t="shared" si="0"/>
        <v>17.3746950982144</v>
      </c>
      <c r="J13">
        <f t="shared" si="0"/>
        <v>17.3082254288391</v>
      </c>
      <c r="K13">
        <f t="shared" si="0"/>
        <v>17.408421833349</v>
      </c>
    </row>
    <row r="14" customHeight="1" spans="1:11">
      <c r="A14" t="s">
        <v>15</v>
      </c>
      <c r="B14">
        <f t="shared" si="0"/>
        <v>18.8235683141944</v>
      </c>
      <c r="C14">
        <f t="shared" si="0"/>
        <v>19.4492858750342</v>
      </c>
      <c r="D14">
        <f t="shared" si="0"/>
        <v>19.3251650101111</v>
      </c>
      <c r="E14">
        <f t="shared" si="0"/>
        <v>18.9842690453517</v>
      </c>
      <c r="F14">
        <f t="shared" si="0"/>
        <v>19.1548541689946</v>
      </c>
      <c r="G14">
        <f t="shared" si="0"/>
        <v>19.1619197246278</v>
      </c>
      <c r="H14">
        <f t="shared" si="0"/>
        <v>19.2132755936921</v>
      </c>
      <c r="I14">
        <f t="shared" si="0"/>
        <v>19.2290489099023</v>
      </c>
      <c r="J14">
        <f t="shared" si="0"/>
        <v>19.4655940975283</v>
      </c>
      <c r="K14">
        <f t="shared" si="0"/>
        <v>19.1283815478061</v>
      </c>
    </row>
    <row r="16" customHeight="1" spans="2:11">
      <c r="B16" s="1" t="s">
        <v>17</v>
      </c>
      <c r="C16" s="1"/>
      <c r="D16" s="1"/>
      <c r="E16" s="1"/>
      <c r="F16" s="1"/>
      <c r="G16" s="1"/>
      <c r="H16" s="1"/>
      <c r="I16" s="1"/>
      <c r="J16" s="1"/>
      <c r="K16" s="1"/>
    </row>
    <row r="17" customHeight="1" spans="1:11">
      <c r="A17" t="s">
        <v>11</v>
      </c>
      <c r="B17">
        <v>180623486350</v>
      </c>
      <c r="C17">
        <v>173953417536</v>
      </c>
      <c r="D17">
        <v>169610884124</v>
      </c>
      <c r="E17">
        <v>197715760068</v>
      </c>
      <c r="F17">
        <v>229251520050</v>
      </c>
      <c r="G17">
        <v>173481453486</v>
      </c>
      <c r="H17">
        <v>176718029646</v>
      </c>
      <c r="I17">
        <v>179931179982</v>
      </c>
      <c r="J17">
        <v>190317129192</v>
      </c>
      <c r="K17">
        <v>173008909070</v>
      </c>
    </row>
    <row r="18" customHeight="1" spans="1:11">
      <c r="A18" t="s">
        <v>12</v>
      </c>
      <c r="B18">
        <v>153656115024</v>
      </c>
      <c r="C18">
        <v>140640126002</v>
      </c>
      <c r="D18">
        <v>140050997394</v>
      </c>
      <c r="E18">
        <v>152297939980</v>
      </c>
      <c r="F18">
        <v>160124395772</v>
      </c>
      <c r="G18">
        <v>138314309998</v>
      </c>
      <c r="H18">
        <v>160751284790</v>
      </c>
      <c r="I18">
        <v>189675416370</v>
      </c>
      <c r="J18">
        <v>148280490974</v>
      </c>
      <c r="K18">
        <v>144620691380</v>
      </c>
    </row>
    <row r="19" customHeight="1" spans="1:11">
      <c r="A19" t="s">
        <v>13</v>
      </c>
      <c r="B19" s="2">
        <v>246131817930</v>
      </c>
      <c r="C19" s="2">
        <v>366124882920</v>
      </c>
      <c r="D19" s="2">
        <v>219183556608</v>
      </c>
      <c r="E19" s="2">
        <v>399024039158</v>
      </c>
      <c r="F19" s="2">
        <v>201509744536</v>
      </c>
      <c r="G19">
        <v>299246325004</v>
      </c>
      <c r="H19">
        <v>335324691232</v>
      </c>
      <c r="I19">
        <v>260667423558</v>
      </c>
      <c r="J19">
        <v>217473588858</v>
      </c>
      <c r="K19">
        <v>335930547508</v>
      </c>
    </row>
    <row r="20" customHeight="1" spans="1:11">
      <c r="A20" t="s">
        <v>14</v>
      </c>
      <c r="B20" s="2">
        <v>247392156364</v>
      </c>
      <c r="C20" s="2">
        <v>487402981616</v>
      </c>
      <c r="D20" s="2">
        <v>236215572710</v>
      </c>
      <c r="E20" s="2">
        <v>487402981616</v>
      </c>
      <c r="F20" s="2">
        <v>461061759530</v>
      </c>
      <c r="G20">
        <v>390381082412</v>
      </c>
      <c r="H20">
        <v>409719031830</v>
      </c>
      <c r="I20">
        <v>451986205644</v>
      </c>
      <c r="J20">
        <v>387842601484</v>
      </c>
      <c r="K20">
        <v>488485768714</v>
      </c>
    </row>
    <row r="21" customHeight="1" spans="1:11">
      <c r="A21" t="s">
        <v>15</v>
      </c>
      <c r="B21" s="2">
        <v>397052941950</v>
      </c>
      <c r="C21" s="2">
        <v>419281777430</v>
      </c>
      <c r="D21" s="2">
        <v>315054090648</v>
      </c>
      <c r="E21" s="2">
        <v>574842870542</v>
      </c>
      <c r="F21" s="2">
        <v>425700614806</v>
      </c>
      <c r="G21">
        <v>432683000806</v>
      </c>
      <c r="H21">
        <v>486996345368</v>
      </c>
      <c r="I21">
        <v>505008884126</v>
      </c>
      <c r="J21">
        <v>435325603000</v>
      </c>
      <c r="K21">
        <v>400526869496</v>
      </c>
    </row>
    <row r="23" customHeight="1" spans="2:11">
      <c r="B23" s="1" t="s">
        <v>18</v>
      </c>
      <c r="C23" s="1"/>
      <c r="D23" s="1"/>
      <c r="E23" s="1"/>
      <c r="F23" s="1"/>
      <c r="G23" s="1"/>
      <c r="H23" s="1"/>
      <c r="I23" s="1"/>
      <c r="J23" s="1"/>
      <c r="K23" s="1"/>
    </row>
    <row r="24" customHeight="1" spans="1:11">
      <c r="A24" t="s">
        <v>11</v>
      </c>
      <c r="B24">
        <v>7</v>
      </c>
      <c r="C24">
        <v>7</v>
      </c>
      <c r="D24">
        <v>7</v>
      </c>
      <c r="E24">
        <v>7</v>
      </c>
      <c r="F24">
        <v>7</v>
      </c>
      <c r="G24">
        <v>7</v>
      </c>
      <c r="H24">
        <v>7</v>
      </c>
      <c r="I24">
        <v>7</v>
      </c>
      <c r="J24">
        <v>7</v>
      </c>
      <c r="K24">
        <v>7</v>
      </c>
    </row>
    <row r="25" customHeight="1" spans="1:11">
      <c r="A25" t="s">
        <v>12</v>
      </c>
      <c r="B25">
        <v>10</v>
      </c>
      <c r="C25">
        <v>10</v>
      </c>
      <c r="D25">
        <v>10</v>
      </c>
      <c r="E25">
        <v>10</v>
      </c>
      <c r="F25">
        <v>10</v>
      </c>
      <c r="G25">
        <v>10</v>
      </c>
      <c r="H25">
        <v>10</v>
      </c>
      <c r="I25">
        <v>10</v>
      </c>
      <c r="J25">
        <v>10</v>
      </c>
      <c r="K25">
        <v>10</v>
      </c>
    </row>
    <row r="26" customHeight="1" spans="1:11">
      <c r="A26" t="s">
        <v>13</v>
      </c>
      <c r="B26">
        <v>21</v>
      </c>
      <c r="C26">
        <v>21</v>
      </c>
      <c r="D26">
        <v>20</v>
      </c>
      <c r="E26">
        <v>21</v>
      </c>
      <c r="F26">
        <v>21</v>
      </c>
      <c r="G26">
        <v>20</v>
      </c>
      <c r="H26">
        <v>20</v>
      </c>
      <c r="I26">
        <v>20</v>
      </c>
      <c r="J26">
        <v>21</v>
      </c>
      <c r="K26">
        <v>20</v>
      </c>
    </row>
    <row r="27" customHeight="1" spans="1:11">
      <c r="A27" t="s">
        <v>14</v>
      </c>
      <c r="B27">
        <v>21</v>
      </c>
      <c r="C27">
        <v>20</v>
      </c>
      <c r="D27">
        <v>21</v>
      </c>
      <c r="E27">
        <v>20</v>
      </c>
      <c r="F27">
        <v>20</v>
      </c>
      <c r="G27">
        <v>20</v>
      </c>
      <c r="H27">
        <v>20</v>
      </c>
      <c r="I27">
        <v>20</v>
      </c>
      <c r="J27">
        <v>20</v>
      </c>
      <c r="K27">
        <v>20</v>
      </c>
    </row>
    <row r="28" customHeight="1" spans="1:11">
      <c r="A28" t="s">
        <v>15</v>
      </c>
      <c r="B28">
        <v>25</v>
      </c>
      <c r="C28">
        <v>27</v>
      </c>
      <c r="D28">
        <v>27</v>
      </c>
      <c r="E28">
        <v>25</v>
      </c>
      <c r="F28">
        <v>26</v>
      </c>
      <c r="G28">
        <v>26</v>
      </c>
      <c r="H28">
        <v>26</v>
      </c>
      <c r="I28">
        <v>26</v>
      </c>
      <c r="J28">
        <v>27</v>
      </c>
      <c r="K28">
        <v>26</v>
      </c>
    </row>
    <row r="30" customHeight="1" spans="2:11">
      <c r="B30" s="1" t="s">
        <v>19</v>
      </c>
      <c r="C30" s="1"/>
      <c r="D30" s="1"/>
      <c r="E30" s="1"/>
      <c r="F30" s="1"/>
      <c r="G30" s="1"/>
      <c r="H30" s="1"/>
      <c r="I30" s="1"/>
      <c r="J30" s="1"/>
      <c r="K30" s="1"/>
    </row>
    <row r="31" customHeight="1" spans="1:11">
      <c r="A31" t="s">
        <v>11</v>
      </c>
      <c r="B31">
        <f>POWER(10,B10-B3)</f>
        <v>1.07883293095094</v>
      </c>
      <c r="C31">
        <f t="shared" ref="C31:K31" si="1">POWER(10,C10-C3)</f>
        <v>1.02490163604374</v>
      </c>
      <c r="D31">
        <f t="shared" si="1"/>
        <v>1.02106717690254</v>
      </c>
      <c r="E31">
        <f t="shared" si="1"/>
        <v>1.05624020347269</v>
      </c>
      <c r="F31">
        <f t="shared" si="1"/>
        <v>1.0730333880658</v>
      </c>
      <c r="G31">
        <f t="shared" si="1"/>
        <v>1.02272109926976</v>
      </c>
      <c r="H31">
        <f t="shared" si="1"/>
        <v>1.01746277640121</v>
      </c>
      <c r="I31">
        <f t="shared" si="1"/>
        <v>1.01814263171954</v>
      </c>
      <c r="J31">
        <f t="shared" si="1"/>
        <v>1.08832404453644</v>
      </c>
      <c r="K31">
        <f t="shared" si="1"/>
        <v>1.02542184181773</v>
      </c>
    </row>
    <row r="32" customHeight="1" spans="1:11">
      <c r="A32" t="s">
        <v>12</v>
      </c>
      <c r="B32">
        <f>POWER(10,B11-B4)</f>
        <v>1.24686607708958</v>
      </c>
      <c r="C32">
        <f>POWER(10,C11-C4)</f>
        <v>1.11646006036634</v>
      </c>
      <c r="D32">
        <f>POWER(10,D11-D4)</f>
        <v>1.17351829043196</v>
      </c>
      <c r="E32">
        <f>POWER(10,E11-E4)</f>
        <v>1.08034232094689</v>
      </c>
      <c r="F32">
        <f>POWER(10,F11-F4)</f>
        <v>1.11775687590882</v>
      </c>
      <c r="G32">
        <f>POWER(10,G11-G4)</f>
        <v>1.06963404503511</v>
      </c>
      <c r="H32">
        <f>POWER(10,H11-H4)</f>
        <v>1.1445728499079</v>
      </c>
      <c r="I32">
        <f>POWER(10,I11-I4)</f>
        <v>1.51061664702566</v>
      </c>
      <c r="J32">
        <f>POWER(10,J11-J4)</f>
        <v>1.1195115520711</v>
      </c>
      <c r="K32">
        <f>POWER(10,K11-K4)</f>
        <v>1.17846384318638</v>
      </c>
    </row>
    <row r="33" customHeight="1" spans="1:11">
      <c r="A33" t="s">
        <v>13</v>
      </c>
      <c r="B33">
        <f>POWER(10,B12-B5)</f>
        <v>6.63388093743112</v>
      </c>
      <c r="C33">
        <f>POWER(10,C12-C5)</f>
        <v>4.94976685438188</v>
      </c>
      <c r="D33">
        <f>POWER(10,D12-D5)</f>
        <v>3.79543137611962</v>
      </c>
      <c r="E33">
        <f>POWER(10,E12-E5)</f>
        <v>6.49554574402559</v>
      </c>
      <c r="F33">
        <f>POWER(10,F12-F5)</f>
        <v>3.62272558489507</v>
      </c>
      <c r="G33">
        <f>POWER(10,G12-G5)</f>
        <v>1.27949296216536</v>
      </c>
      <c r="H33">
        <f>POWER(10,H12-H5)</f>
        <v>1.41748227998585</v>
      </c>
      <c r="I33">
        <f>POWER(10,I12-I5)</f>
        <v>4.03734506269156</v>
      </c>
      <c r="J33">
        <f>POWER(10,J12-J5)</f>
        <v>1.31521020097232</v>
      </c>
      <c r="K33">
        <f>POWER(10,K12-K5)</f>
        <v>1.70448733152439</v>
      </c>
    </row>
    <row r="34" customHeight="1" spans="1:11">
      <c r="A34" t="s">
        <v>14</v>
      </c>
      <c r="B34">
        <f>POWER(10,B13-B6)</f>
        <v>1.92302902547737</v>
      </c>
      <c r="C34">
        <f>POWER(10,C13-C6)</f>
        <v>1.21489776646504</v>
      </c>
      <c r="D34">
        <f>POWER(10,D13-D6)</f>
        <v>1.2296960988889</v>
      </c>
      <c r="E34">
        <f>POWER(10,E13-E6)</f>
        <v>1.21483099035969</v>
      </c>
      <c r="F34">
        <f>POWER(10,F13-F6)</f>
        <v>1.12852455933378</v>
      </c>
      <c r="G34">
        <f>POWER(10,G13-G6)</f>
        <v>1.09158429509445</v>
      </c>
      <c r="H34">
        <f>POWER(10,H13-H6)</f>
        <v>1.15167565082722</v>
      </c>
      <c r="I34">
        <f>POWER(10,I13-I6)</f>
        <v>1.23384821051651</v>
      </c>
      <c r="J34">
        <f>POWER(10,J13-J6)</f>
        <v>1.08958822347513</v>
      </c>
      <c r="K34">
        <f>POWER(10,K13-K6)</f>
        <v>1.32113000970724</v>
      </c>
    </row>
    <row r="35" customHeight="1" spans="1:11">
      <c r="A35" t="s">
        <v>15</v>
      </c>
      <c r="B35">
        <f>POWER(10,B14-B7)</f>
        <v>4.5036881839203</v>
      </c>
      <c r="C35">
        <f>POWER(10,C14-C7)</f>
        <v>8.0229086159295</v>
      </c>
      <c r="D35">
        <f>POWER(10,D14-D7)</f>
        <v>5.10447927913092</v>
      </c>
      <c r="E35">
        <f>POWER(10,E14-E7)</f>
        <v>2.73510597955541</v>
      </c>
      <c r="F35">
        <f>POWER(10,F14-F7)</f>
        <v>4.82140868641947</v>
      </c>
      <c r="G35">
        <f>POWER(10,G14-G7)</f>
        <v>3.84739917564716</v>
      </c>
      <c r="H35">
        <f>POWER(10,H14-H7)</f>
        <v>3.546216515913</v>
      </c>
      <c r="I35">
        <f>POWER(10,I14-I7)</f>
        <v>4.34709942288758</v>
      </c>
      <c r="J35">
        <f>POWER(10,J14-J7)</f>
        <v>7.74179416801842</v>
      </c>
      <c r="K35">
        <f>POWER(10,K14-K7)</f>
        <v>4.80343395209283</v>
      </c>
    </row>
  </sheetData>
  <sheetProtection formatCells="0" insertHyperlinks="0" autoFilter="0"/>
  <mergeCells count="5">
    <mergeCell ref="B2:K2"/>
    <mergeCell ref="B9:K9"/>
    <mergeCell ref="B16:K16"/>
    <mergeCell ref="B23:K23"/>
    <mergeCell ref="B30:K3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25" sqref="A25:K37"/>
    </sheetView>
  </sheetViews>
  <sheetFormatPr defaultColWidth="10" defaultRowHeight="16.5" customHeight="1"/>
  <cols>
    <col min="2" max="11" width="12.625"/>
  </cols>
  <sheetData>
    <row r="1" customHeight="1" spans="2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customHeight="1" spans="2:11">
      <c r="B2" s="1" t="s">
        <v>10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t="s">
        <v>20</v>
      </c>
      <c r="B3">
        <v>14.2889</v>
      </c>
      <c r="C3">
        <f>15.1304355724967-LOG10(2)</f>
        <v>14.8294055768327</v>
      </c>
      <c r="D3">
        <f>15.1185512965894-LOG10(2)</f>
        <v>14.8175213009254</v>
      </c>
      <c r="E3">
        <f>14.6618009653624-LOG10(2)</f>
        <v>14.3607709696984</v>
      </c>
      <c r="F3">
        <f>15.1304355724967-LOG10(2)</f>
        <v>14.8294055768327</v>
      </c>
      <c r="G3">
        <f>15.0284612523333-LOG10(2)</f>
        <v>14.7274312566693</v>
      </c>
      <c r="H3">
        <f>14.9166585213951-LOG10(2)</f>
        <v>14.6156285257311</v>
      </c>
      <c r="I3">
        <f>15.1135834107913-LOG10(2)</f>
        <v>14.8125534151273</v>
      </c>
      <c r="J3">
        <f>14.9082513855125-LOG10(2)</f>
        <v>14.6072213898485</v>
      </c>
      <c r="K3">
        <f>14.5826061776005-LOG10(2)</f>
        <v>14.2815761819365</v>
      </c>
    </row>
    <row r="4" spans="1:11">
      <c r="A4" t="s">
        <v>21</v>
      </c>
      <c r="B4">
        <v>14.7186</v>
      </c>
      <c r="C4">
        <f>14.9220084608297-LOG10(2)</f>
        <v>14.6209784651657</v>
      </c>
      <c r="D4">
        <f>14.766046728061-LOG10(2)</f>
        <v>14.465016732397</v>
      </c>
      <c r="E4">
        <f>14.7537403111043-LOG10(2)</f>
        <v>14.4527103154403</v>
      </c>
      <c r="F4">
        <f>14.9351057145518-LOG10(2)</f>
        <v>14.6340757188878</v>
      </c>
      <c r="G4">
        <f>14.8896300427702-LOG10(2)</f>
        <v>14.5886000471062</v>
      </c>
      <c r="H4">
        <f>15.180054026639-LOG10(2)</f>
        <v>14.879024030975</v>
      </c>
      <c r="I4">
        <f>14.8387065515192-LOG10(2)</f>
        <v>14.5376765558552</v>
      </c>
      <c r="J4">
        <f>15.0292326177961-LOG10(2)</f>
        <v>14.7282026221321</v>
      </c>
      <c r="K4">
        <f>14.9593796941434-LOG10(2)</f>
        <v>14.6583496984794</v>
      </c>
    </row>
    <row r="5" ht="15.75" spans="1:11">
      <c r="A5" t="s">
        <v>22</v>
      </c>
      <c r="B5">
        <v>14.5134</v>
      </c>
      <c r="C5">
        <f>14.8865242577712-LOG10(2)</f>
        <v>14.5854942621072</v>
      </c>
      <c r="D5">
        <f>14.5530256585763-LOG10(2)</f>
        <v>14.2519956629123</v>
      </c>
      <c r="E5">
        <f>14.8764447230216-LOG10(2)</f>
        <v>14.5754147273576</v>
      </c>
      <c r="F5">
        <f>14.9062012487675-LOG10(2)</f>
        <v>14.6051712531035</v>
      </c>
      <c r="G5">
        <f>14.7778694125966-LOG10(2)</f>
        <v>14.4768394169326</v>
      </c>
      <c r="H5">
        <f>15.0154505106666-LOG10(2)</f>
        <v>14.7144205150026</v>
      </c>
      <c r="I5">
        <f>14.9589469149807-LOG10(2)</f>
        <v>14.6579169193167</v>
      </c>
      <c r="J5">
        <f>14.965128854676-LOG10(2)</f>
        <v>14.664098859012</v>
      </c>
      <c r="K5">
        <f>14.5626399731951-LOG10(2)</f>
        <v>14.2616099775311</v>
      </c>
    </row>
    <row r="7" spans="2:11">
      <c r="B7" s="1" t="s">
        <v>16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t="s">
        <v>20</v>
      </c>
      <c r="B8">
        <f t="shared" ref="B8:K10" si="0">LOG10(POWER(2,B18)/2*B13)</f>
        <v>14.6533037997919</v>
      </c>
      <c r="C8">
        <f t="shared" si="0"/>
        <v>14.5333488690354</v>
      </c>
      <c r="D8">
        <f t="shared" si="0"/>
        <v>14.3267422520454</v>
      </c>
      <c r="E8">
        <f t="shared" si="0"/>
        <v>14.3248695320698</v>
      </c>
      <c r="F8">
        <f t="shared" si="0"/>
        <v>14.2435497889298</v>
      </c>
      <c r="G8">
        <f t="shared" si="0"/>
        <v>14.4899318990582</v>
      </c>
      <c r="H8">
        <f t="shared" si="0"/>
        <v>14.6033824721089</v>
      </c>
      <c r="I8">
        <f t="shared" si="0"/>
        <v>14.8153763782242</v>
      </c>
      <c r="J8">
        <f t="shared" si="0"/>
        <v>14.5477523116391</v>
      </c>
      <c r="K8">
        <f t="shared" si="0"/>
        <v>14.3718906458378</v>
      </c>
    </row>
    <row r="9" spans="1:11">
      <c r="A9" t="s">
        <v>21</v>
      </c>
      <c r="B9">
        <f t="shared" si="0"/>
        <v>14.479876058804</v>
      </c>
      <c r="C9">
        <f t="shared" si="0"/>
        <v>14.5876683413169</v>
      </c>
      <c r="D9">
        <f t="shared" si="0"/>
        <v>14.1654985037537</v>
      </c>
      <c r="E9">
        <f t="shared" si="0"/>
        <v>14.4779228501205</v>
      </c>
      <c r="F9">
        <f t="shared" si="0"/>
        <v>14.1225623736737</v>
      </c>
      <c r="G9">
        <f t="shared" si="0"/>
        <v>14.2398865320058</v>
      </c>
      <c r="H9">
        <f t="shared" si="0"/>
        <v>14.6611352780817</v>
      </c>
      <c r="I9">
        <f t="shared" si="0"/>
        <v>14.3585841917409</v>
      </c>
      <c r="J9">
        <f t="shared" si="0"/>
        <v>14.5409726552884</v>
      </c>
      <c r="K9">
        <f t="shared" si="0"/>
        <v>14.5410137005994</v>
      </c>
    </row>
    <row r="10" customHeight="1" spans="1:11">
      <c r="A10" t="s">
        <v>22</v>
      </c>
      <c r="B10">
        <f t="shared" si="0"/>
        <v>14.6370178879556</v>
      </c>
      <c r="C10">
        <f t="shared" si="0"/>
        <v>14.4494372610743</v>
      </c>
      <c r="D10">
        <f t="shared" si="0"/>
        <v>14.3157758711035</v>
      </c>
      <c r="E10">
        <f t="shared" si="0"/>
        <v>14.4917114812464</v>
      </c>
      <c r="F10">
        <f t="shared" si="0"/>
        <v>14.5127100489832</v>
      </c>
      <c r="G10">
        <f t="shared" si="0"/>
        <v>14.6377774562099</v>
      </c>
      <c r="H10">
        <f t="shared" si="0"/>
        <v>14.7792905250828</v>
      </c>
      <c r="I10">
        <f t="shared" si="0"/>
        <v>14.8079810357044</v>
      </c>
      <c r="J10">
        <f t="shared" si="0"/>
        <v>14.4660702933365</v>
      </c>
      <c r="K10">
        <f t="shared" si="0"/>
        <v>14.3016715245185</v>
      </c>
    </row>
    <row r="11" ht="15.75"/>
    <row r="12" spans="2:11">
      <c r="B12" s="1" t="s">
        <v>17</v>
      </c>
      <c r="C12" s="1"/>
      <c r="D12" s="1"/>
      <c r="E12" s="1"/>
      <c r="F12" s="1"/>
      <c r="G12" s="1"/>
      <c r="H12" s="1"/>
      <c r="I12" s="1"/>
      <c r="J12" s="1"/>
      <c r="K12" s="1"/>
    </row>
    <row r="13" customHeight="1" spans="1:11">
      <c r="A13" t="s">
        <v>20</v>
      </c>
      <c r="B13">
        <v>109886376260</v>
      </c>
      <c r="C13">
        <v>166731983506</v>
      </c>
      <c r="D13">
        <v>51806267547</v>
      </c>
      <c r="E13">
        <v>51583354847</v>
      </c>
      <c r="F13">
        <v>42774982542</v>
      </c>
      <c r="G13">
        <v>150869672207</v>
      </c>
      <c r="H13">
        <v>783632629401</v>
      </c>
      <c r="I13">
        <v>159593952378</v>
      </c>
      <c r="J13">
        <v>172354393823</v>
      </c>
      <c r="K13">
        <v>229927379256</v>
      </c>
    </row>
    <row r="14" customHeight="1" spans="1:11">
      <c r="A14" t="s">
        <v>21</v>
      </c>
      <c r="B14">
        <v>294833007226</v>
      </c>
      <c r="C14">
        <v>94473149381</v>
      </c>
      <c r="D14">
        <v>142954735763</v>
      </c>
      <c r="E14">
        <v>146754996980</v>
      </c>
      <c r="F14">
        <v>64748903974</v>
      </c>
      <c r="G14">
        <v>84831389323</v>
      </c>
      <c r="H14">
        <v>223771784783</v>
      </c>
      <c r="I14">
        <v>111494704143</v>
      </c>
      <c r="J14">
        <v>84842353523</v>
      </c>
      <c r="K14">
        <v>42425186190</v>
      </c>
    </row>
    <row r="15" customHeight="1" spans="1:11">
      <c r="A15" t="s">
        <v>22</v>
      </c>
      <c r="B15">
        <v>211683952361</v>
      </c>
      <c r="C15">
        <v>68719076283</v>
      </c>
      <c r="D15">
        <v>101028968479</v>
      </c>
      <c r="E15">
        <v>605956600218</v>
      </c>
      <c r="F15">
        <v>158993766115</v>
      </c>
      <c r="G15">
        <v>106027252653</v>
      </c>
      <c r="H15">
        <v>146869148546</v>
      </c>
      <c r="I15">
        <v>39224832382</v>
      </c>
      <c r="J15">
        <v>71401994846</v>
      </c>
      <c r="K15">
        <v>195601223894</v>
      </c>
    </row>
    <row r="17" customHeight="1" spans="2:11">
      <c r="B17" s="1" t="s">
        <v>18</v>
      </c>
      <c r="C17" s="1"/>
      <c r="D17" s="1"/>
      <c r="E17" s="1"/>
      <c r="F17" s="1"/>
      <c r="G17" s="1"/>
      <c r="H17" s="1"/>
      <c r="I17" s="1"/>
      <c r="J17" s="1"/>
      <c r="K17" s="1"/>
    </row>
    <row r="18" customHeight="1" spans="1:11">
      <c r="A18" t="s">
        <v>20</v>
      </c>
      <c r="B18">
        <v>13</v>
      </c>
      <c r="C18">
        <v>12</v>
      </c>
      <c r="D18">
        <v>13</v>
      </c>
      <c r="E18">
        <v>13</v>
      </c>
      <c r="F18">
        <v>13</v>
      </c>
      <c r="G18">
        <v>12</v>
      </c>
      <c r="H18">
        <v>10</v>
      </c>
      <c r="I18">
        <v>13</v>
      </c>
      <c r="J18">
        <v>12</v>
      </c>
      <c r="K18">
        <v>11</v>
      </c>
    </row>
    <row r="19" customHeight="1" spans="1:11">
      <c r="A19" t="s">
        <v>21</v>
      </c>
      <c r="B19">
        <v>11</v>
      </c>
      <c r="C19">
        <v>13</v>
      </c>
      <c r="D19">
        <v>11</v>
      </c>
      <c r="E19">
        <v>12</v>
      </c>
      <c r="F19">
        <v>12</v>
      </c>
      <c r="G19">
        <v>12</v>
      </c>
      <c r="H19">
        <v>12</v>
      </c>
      <c r="I19">
        <v>12</v>
      </c>
      <c r="J19">
        <v>13</v>
      </c>
      <c r="K19">
        <v>14</v>
      </c>
    </row>
    <row r="20" customHeight="1" spans="1:11">
      <c r="A20" t="s">
        <v>22</v>
      </c>
      <c r="B20">
        <v>12</v>
      </c>
      <c r="C20">
        <v>13</v>
      </c>
      <c r="D20">
        <v>12</v>
      </c>
      <c r="E20">
        <v>10</v>
      </c>
      <c r="F20">
        <v>12</v>
      </c>
      <c r="G20">
        <v>13</v>
      </c>
      <c r="H20">
        <v>13</v>
      </c>
      <c r="I20">
        <v>15</v>
      </c>
      <c r="J20">
        <v>13</v>
      </c>
      <c r="K20">
        <v>11</v>
      </c>
    </row>
    <row r="22" customHeight="1" spans="2:11">
      <c r="B22" s="1" t="s">
        <v>19</v>
      </c>
      <c r="C22" s="1"/>
      <c r="D22" s="1"/>
      <c r="E22" s="1"/>
      <c r="F22" s="1"/>
      <c r="G22" s="1"/>
      <c r="H22" s="1"/>
      <c r="I22" s="1"/>
      <c r="J22" s="1"/>
      <c r="K22" s="1"/>
    </row>
    <row r="23" customHeight="1" spans="1:11">
      <c r="A23" t="s">
        <v>20</v>
      </c>
      <c r="B23">
        <f t="shared" ref="B23:K25" si="1">POWER(10,B8-B3)</f>
        <v>2.31421550929081</v>
      </c>
      <c r="C23">
        <f t="shared" si="1"/>
        <v>0.505758618498106</v>
      </c>
      <c r="D23">
        <f t="shared" si="1"/>
        <v>0.323013706425834</v>
      </c>
      <c r="E23">
        <f t="shared" si="1"/>
        <v>0.920658489875892</v>
      </c>
      <c r="F23">
        <f t="shared" si="1"/>
        <v>0.259504092997779</v>
      </c>
      <c r="G23">
        <f t="shared" si="1"/>
        <v>0.578762844428495</v>
      </c>
      <c r="H23">
        <f t="shared" si="1"/>
        <v>0.972196260782258</v>
      </c>
      <c r="I23">
        <f t="shared" si="1"/>
        <v>1.00652128432544</v>
      </c>
      <c r="J23">
        <f t="shared" si="1"/>
        <v>0.872028987587729</v>
      </c>
      <c r="K23">
        <f t="shared" si="1"/>
        <v>1.23115990627806</v>
      </c>
    </row>
    <row r="24" customHeight="1" spans="1:11">
      <c r="A24" t="s">
        <v>21</v>
      </c>
      <c r="B24">
        <f t="shared" si="1"/>
        <v>0.577133200898508</v>
      </c>
      <c r="C24">
        <f t="shared" si="1"/>
        <v>0.926168222915277</v>
      </c>
      <c r="D24">
        <f t="shared" si="1"/>
        <v>0.501743518912819</v>
      </c>
      <c r="E24">
        <f t="shared" si="1"/>
        <v>1.05977222876552</v>
      </c>
      <c r="F24">
        <f t="shared" si="1"/>
        <v>0.307954571025571</v>
      </c>
      <c r="G24">
        <f t="shared" si="1"/>
        <v>0.448008738312413</v>
      </c>
      <c r="H24">
        <f t="shared" si="1"/>
        <v>0.605495956270024</v>
      </c>
      <c r="I24">
        <f t="shared" si="1"/>
        <v>0.662075680965906</v>
      </c>
      <c r="J24">
        <f t="shared" si="1"/>
        <v>0.649785525951385</v>
      </c>
      <c r="K24">
        <f t="shared" si="1"/>
        <v>0.763245060091744</v>
      </c>
    </row>
    <row r="25" customHeight="1" spans="1:11">
      <c r="A25" t="s">
        <v>22</v>
      </c>
      <c r="B25">
        <f t="shared" si="1"/>
        <v>1.32928433846902</v>
      </c>
      <c r="C25">
        <f t="shared" si="1"/>
        <v>0.731043127974207</v>
      </c>
      <c r="D25">
        <f t="shared" si="1"/>
        <v>1.15819105965656</v>
      </c>
      <c r="E25">
        <f t="shared" si="1"/>
        <v>0.824701441916598</v>
      </c>
      <c r="F25">
        <f t="shared" si="1"/>
        <v>0.808237126368297</v>
      </c>
      <c r="G25">
        <f t="shared" si="1"/>
        <v>1.44856517224517</v>
      </c>
      <c r="H25">
        <f t="shared" si="1"/>
        <v>1.16110102936452</v>
      </c>
      <c r="I25">
        <f t="shared" si="1"/>
        <v>1.41274609779183</v>
      </c>
      <c r="J25">
        <f t="shared" si="1"/>
        <v>0.633828019912061</v>
      </c>
      <c r="K25">
        <f t="shared" si="1"/>
        <v>1.09663359694762</v>
      </c>
    </row>
  </sheetData>
  <sheetProtection formatCells="0" insertHyperlinks="0" autoFilter="0"/>
  <mergeCells count="5">
    <mergeCell ref="B2:K2"/>
    <mergeCell ref="B7:K7"/>
    <mergeCell ref="B12:K12"/>
    <mergeCell ref="B17:K17"/>
    <mergeCell ref="B22:K2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0"/>
  <sheetViews>
    <sheetView tabSelected="1" topLeftCell="A36" workbookViewId="0">
      <selection activeCell="B14" sqref="B14:K40"/>
    </sheetView>
  </sheetViews>
  <sheetFormatPr defaultColWidth="10" defaultRowHeight="16.5" customHeight="1"/>
  <cols>
    <col min="2" max="11" width="12.625"/>
  </cols>
  <sheetData>
    <row r="1" customHeight="1" spans="2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customHeight="1" spans="2:11">
      <c r="B2" s="1" t="s">
        <v>10</v>
      </c>
      <c r="C2" s="1"/>
      <c r="D2" s="1"/>
      <c r="E2" s="1"/>
      <c r="F2" s="1"/>
      <c r="G2" s="1"/>
      <c r="H2" s="1"/>
      <c r="I2" s="1"/>
      <c r="J2" s="1"/>
      <c r="K2" s="1"/>
    </row>
    <row r="3" ht="15.75" spans="1:11">
      <c r="A3" t="s">
        <v>23</v>
      </c>
      <c r="B3">
        <f t="shared" ref="B3:K6" si="0">B17</f>
        <v>7.3326773167836</v>
      </c>
      <c r="C3">
        <f t="shared" si="0"/>
        <v>7.62986909640407</v>
      </c>
      <c r="D3">
        <f t="shared" si="0"/>
        <v>7.6767994365811</v>
      </c>
      <c r="E3">
        <f t="shared" si="0"/>
        <v>7.3987677836761</v>
      </c>
      <c r="F3">
        <f t="shared" si="0"/>
        <v>7.49650128338212</v>
      </c>
      <c r="G3">
        <f t="shared" si="0"/>
        <v>7.39341879399992</v>
      </c>
      <c r="H3">
        <f t="shared" si="0"/>
        <v>7.28570210969911</v>
      </c>
      <c r="I3">
        <f t="shared" si="0"/>
        <v>6.81468114086659</v>
      </c>
      <c r="J3">
        <f t="shared" si="0"/>
        <v>7.29575300417473</v>
      </c>
      <c r="K3">
        <f t="shared" si="0"/>
        <v>7.67255353559816</v>
      </c>
    </row>
    <row r="4" spans="1:11">
      <c r="A4" t="s">
        <v>24</v>
      </c>
      <c r="B4">
        <f t="shared" si="0"/>
        <v>7.65647944680436</v>
      </c>
      <c r="C4">
        <f t="shared" si="0"/>
        <v>7.67210162796507</v>
      </c>
      <c r="D4">
        <f t="shared" si="0"/>
        <v>7.60174440518154</v>
      </c>
      <c r="E4">
        <f t="shared" si="0"/>
        <v>7.7907552989665</v>
      </c>
      <c r="F4">
        <f t="shared" si="0"/>
        <v>7.65245158127606</v>
      </c>
      <c r="G4">
        <f t="shared" si="0"/>
        <v>7.7317417968114</v>
      </c>
      <c r="H4">
        <f t="shared" si="0"/>
        <v>7.72966536579089</v>
      </c>
      <c r="I4">
        <f t="shared" si="0"/>
        <v>7.59145213655397</v>
      </c>
      <c r="J4">
        <f t="shared" si="0"/>
        <v>7.67740658361407</v>
      </c>
      <c r="K4">
        <f t="shared" si="0"/>
        <v>7.68455439456907</v>
      </c>
    </row>
    <row r="5" ht="15.75" spans="1:11">
      <c r="A5" t="s">
        <v>25</v>
      </c>
      <c r="B5">
        <f t="shared" si="0"/>
        <v>7.4233123404888</v>
      </c>
      <c r="C5">
        <f t="shared" si="0"/>
        <v>7.68484288508204</v>
      </c>
      <c r="D5">
        <f t="shared" si="0"/>
        <v>7.32040645238344</v>
      </c>
      <c r="E5">
        <f t="shared" si="0"/>
        <v>7.25637334811876</v>
      </c>
      <c r="F5">
        <f t="shared" si="0"/>
        <v>7.57951818446128</v>
      </c>
      <c r="G5">
        <f t="shared" si="0"/>
        <v>7.65460992671893</v>
      </c>
      <c r="H5">
        <f t="shared" si="0"/>
        <v>7.08096787265655</v>
      </c>
      <c r="I5">
        <f t="shared" si="0"/>
        <v>7.50758328661338</v>
      </c>
      <c r="J5">
        <f t="shared" si="0"/>
        <v>7.65164534154</v>
      </c>
      <c r="K5">
        <f t="shared" si="0"/>
        <v>7.25519683476165</v>
      </c>
    </row>
    <row r="6" ht="15.75" spans="1:11">
      <c r="A6" t="s">
        <v>26</v>
      </c>
      <c r="B6">
        <f t="shared" si="0"/>
        <v>7.63226186632221</v>
      </c>
      <c r="C6">
        <f t="shared" si="0"/>
        <v>7.89225301333211</v>
      </c>
      <c r="D6">
        <f t="shared" si="0"/>
        <v>7.72776325976284</v>
      </c>
      <c r="E6">
        <f t="shared" si="0"/>
        <v>7.66508240125268</v>
      </c>
      <c r="F6">
        <f t="shared" si="0"/>
        <v>7.88496540196194</v>
      </c>
      <c r="G6">
        <f t="shared" si="0"/>
        <v>7.75171508921439</v>
      </c>
      <c r="H6">
        <f t="shared" si="0"/>
        <v>7.70019780692033</v>
      </c>
      <c r="I6">
        <f t="shared" si="0"/>
        <v>7.51116437627153</v>
      </c>
      <c r="J6">
        <f t="shared" si="0"/>
        <v>7.69053944460196</v>
      </c>
      <c r="K6">
        <f t="shared" si="0"/>
        <v>7.67877734891139</v>
      </c>
    </row>
    <row r="7" ht="15.75" spans="1:11">
      <c r="A7" t="s">
        <v>27</v>
      </c>
      <c r="B7">
        <f>12.2577810941035-LOG10(2)</f>
        <v>11.9567510984395</v>
      </c>
      <c r="C7">
        <f>12.2184166049666-LOG10(2)</f>
        <v>11.9173866093026</v>
      </c>
      <c r="D7">
        <f>12.4344493822245-LOG10(2)</f>
        <v>12.1334193865605</v>
      </c>
      <c r="E7">
        <f>12.1433198290176-LOG10(2)</f>
        <v>11.8422898333536</v>
      </c>
      <c r="F7">
        <f>12.3317337477489-LOG10(2)</f>
        <v>12.0307037520849</v>
      </c>
      <c r="G7">
        <f>12.5203027327664-LOG10(2)</f>
        <v>12.2192727371024</v>
      </c>
      <c r="H7">
        <f>11.821418008718-LOG10(2)</f>
        <v>11.520388013054</v>
      </c>
      <c r="I7">
        <f>12.1484547486974-LOG10(2)</f>
        <v>11.8474247530334</v>
      </c>
      <c r="J7">
        <f>12.3616020440971-LOG10(2)</f>
        <v>12.0605720484331</v>
      </c>
      <c r="K7">
        <f>12.3627312696731-LOG10(2)</f>
        <v>12.0617012740091</v>
      </c>
    </row>
    <row r="8" ht="15.75" spans="1:11">
      <c r="A8" t="s">
        <v>28</v>
      </c>
      <c r="B8">
        <f>11.7715406660748-LOG10(2)</f>
        <v>11.4705106704108</v>
      </c>
      <c r="C8">
        <f>11.8252706645259-LOG10(2)</f>
        <v>11.5242406688619</v>
      </c>
      <c r="D8">
        <f>11.7870456132118-LOG10(2)</f>
        <v>11.4860156175478</v>
      </c>
      <c r="E8">
        <f>11.9231494427599-LOG10(2)</f>
        <v>11.6221194470959</v>
      </c>
      <c r="F8">
        <f>11.4934339047218-LOG10(2)</f>
        <v>11.1924039090578</v>
      </c>
      <c r="G8">
        <f>11.8963996235524-LOG10(2)</f>
        <v>11.5953696278884</v>
      </c>
      <c r="H8">
        <f>11.6039892230281-LOG10(2)</f>
        <v>11.3029592273641</v>
      </c>
      <c r="I8">
        <f>11.7592313599572-LOG10(2)</f>
        <v>11.4582013642932</v>
      </c>
      <c r="J8">
        <f>11.9327780408371-LOG10(2)</f>
        <v>11.6317480451731</v>
      </c>
      <c r="K8">
        <f>11.7283939882309-LOG10(2)</f>
        <v>11.4273639925669</v>
      </c>
    </row>
    <row r="9" ht="15.75" spans="1:11">
      <c r="A9" t="s">
        <v>29</v>
      </c>
      <c r="B9">
        <f>12.2549614956735-LOG10(2)</f>
        <v>11.9539315000095</v>
      </c>
      <c r="C9">
        <f>11.853431575867-LOG10(2)</f>
        <v>11.552401580203</v>
      </c>
      <c r="D9">
        <f>12.6619071407419-LOG10(2)</f>
        <v>12.3608771450779</v>
      </c>
      <c r="E9">
        <f>11.9932047867697-LOG10(2)</f>
        <v>11.6921747911057</v>
      </c>
      <c r="F9">
        <f>12.3101850380906-LOG10(2)</f>
        <v>12.0091550424266</v>
      </c>
      <c r="G9">
        <f>12.0327561501036-LOG10(2)</f>
        <v>11.7317261544396</v>
      </c>
      <c r="H9">
        <f>12.1650459136628-LOG10(2)</f>
        <v>11.8640159179988</v>
      </c>
      <c r="I9">
        <f>12.0537179195048-LOG10(2)</f>
        <v>11.7526879238408</v>
      </c>
      <c r="J9">
        <f>11.9903458230674-LOG10(2)</f>
        <v>11.6893158274034</v>
      </c>
      <c r="K9">
        <f>11.8440016078512-LOG10(2)</f>
        <v>11.5429716121872</v>
      </c>
    </row>
    <row r="10" ht="15.75" spans="1:11">
      <c r="A10" t="s">
        <v>30</v>
      </c>
      <c r="B10">
        <f>11.6934820574861-LOG10(2)</f>
        <v>11.3924520618221</v>
      </c>
      <c r="C10">
        <f>11.8037637466836-LOG10(2)</f>
        <v>11.5027337510196</v>
      </c>
      <c r="D10">
        <f>12.0159154024933-LOG10(2)</f>
        <v>11.7148854068293</v>
      </c>
      <c r="E10">
        <f>11.7758289950169-LOG10(2)</f>
        <v>11.4747989993529</v>
      </c>
      <c r="F10">
        <f>12.0455487672019-LOG10(2)</f>
        <v>11.7445187715379</v>
      </c>
      <c r="G10">
        <f>11.952838165186-LOG10(2)</f>
        <v>11.651808169522</v>
      </c>
      <c r="H10">
        <f>11.604618063231-LOG10(2)</f>
        <v>11.303588067567</v>
      </c>
      <c r="I10">
        <f>11.5808797518621-LOG10(2)</f>
        <v>11.2798497561981</v>
      </c>
      <c r="J10">
        <f>11.9650521348125-LOG10(2)</f>
        <v>11.6640221391485</v>
      </c>
      <c r="K10">
        <f>11.8993880255182-LOG10(2)</f>
        <v>11.5983580298542</v>
      </c>
    </row>
    <row r="11" ht="15.75" spans="1:11">
      <c r="A11" t="s">
        <v>31</v>
      </c>
      <c r="B11">
        <f>14.8760134719599-LOG10(2)</f>
        <v>14.5749834762959</v>
      </c>
      <c r="C11">
        <f>14.9183216426991-LOG10(2)</f>
        <v>14.6172916470351</v>
      </c>
      <c r="D11">
        <f>14.8977895136568-LOG10(2)</f>
        <v>14.5967595179928</v>
      </c>
      <c r="E11">
        <f>14.8830126655001-LOG10(2)</f>
        <v>14.5819826698361</v>
      </c>
      <c r="F11">
        <f>14.9409373755532-LOG10(2)</f>
        <v>14.6399073798892</v>
      </c>
      <c r="G11">
        <f>14.9106671579468-LOG10(2)</f>
        <v>14.6096371622828</v>
      </c>
      <c r="H11">
        <f>14.8914888701371-LOG10(2)</f>
        <v>14.5904588744731</v>
      </c>
      <c r="I11">
        <f>14.8697808142844-LOG10(2)</f>
        <v>14.5687508186204</v>
      </c>
      <c r="J11">
        <f>14.9170321655641-LOG10(2)</f>
        <v>14.6160021699001</v>
      </c>
      <c r="K11">
        <f>14.8974311493436-LOG10(2)</f>
        <v>14.5964011536796</v>
      </c>
    </row>
    <row r="12" ht="15.75" spans="1:11">
      <c r="A12" t="s">
        <v>32</v>
      </c>
      <c r="B12">
        <f>14.8524793743613-LOG10(2)</f>
        <v>14.5514493786973</v>
      </c>
      <c r="C12">
        <f>14.8777254793747-LOG10(2)</f>
        <v>14.5766954837107</v>
      </c>
      <c r="D12">
        <f>14.8461943187632-LOG10(2)</f>
        <v>14.5451643230992</v>
      </c>
      <c r="E12">
        <f>14.9149020174144-LOG10(2)</f>
        <v>14.6138720217504</v>
      </c>
      <c r="F12">
        <f>14.8512808800032-LOG10(2)</f>
        <v>14.5502508843392</v>
      </c>
      <c r="G12">
        <f>14.8919502633818-LOG10(2)</f>
        <v>14.5909202677178</v>
      </c>
      <c r="H12">
        <f>14.889587215988-LOG10(2)</f>
        <v>14.588557220324</v>
      </c>
      <c r="I12">
        <f>14.9957875077595-LOG10(2)</f>
        <v>14.6947575120955</v>
      </c>
      <c r="J12">
        <f>14.9246106924833-LOG10(2)</f>
        <v>14.6235806968193</v>
      </c>
      <c r="K12">
        <f>14.9007408631097-LOG10(2)</f>
        <v>14.5997108674457</v>
      </c>
    </row>
    <row r="13" ht="15.75" spans="1:11">
      <c r="A13" t="s">
        <v>33</v>
      </c>
      <c r="B13">
        <f>14.9020911130389-LOG10(2)</f>
        <v>14.6010611173749</v>
      </c>
      <c r="C13">
        <f>14.9511160179687-LOG10(2)</f>
        <v>14.6500860223047</v>
      </c>
      <c r="D13">
        <f>14.8666184740981-LOG10(2)</f>
        <v>14.5655884784341</v>
      </c>
      <c r="E13">
        <f>14.8564058168969-LOG10(2)</f>
        <v>14.5553758212329</v>
      </c>
      <c r="F13">
        <f>14.8787163250261-LOG10(2)</f>
        <v>14.5776863293621</v>
      </c>
      <c r="G13">
        <f>14.8980500692574-LOG10(2)</f>
        <v>14.5970200735934</v>
      </c>
      <c r="H13">
        <f>14.8852607391922-LOG10(2)</f>
        <v>14.5842307435282</v>
      </c>
      <c r="I13">
        <f>14.9078414810742-LOG10(2)</f>
        <v>14.6068114854102</v>
      </c>
      <c r="J13">
        <f>14.8815659274789-LOG10(2)</f>
        <v>14.5805359318149</v>
      </c>
      <c r="K13">
        <f>14.8783822075488-LOG10(2)</f>
        <v>14.5773522118848</v>
      </c>
    </row>
    <row r="14" spans="1:11">
      <c r="A14" t="s">
        <v>34</v>
      </c>
      <c r="B14">
        <f>14.8621280179-LOG10(2)</f>
        <v>14.561098022236</v>
      </c>
      <c r="C14">
        <f>14.8993515772451-LOG10(2)</f>
        <v>14.5983215815811</v>
      </c>
      <c r="D14">
        <f>14.850776416502-LOG10(2)</f>
        <v>14.549746420838</v>
      </c>
      <c r="E14">
        <f>14.9103263955915-LOG10(2)</f>
        <v>14.6092963999275</v>
      </c>
      <c r="F14">
        <f>14.8502076444973-LOG10(2)</f>
        <v>14.5491776488333</v>
      </c>
      <c r="G14">
        <f>14.9340281798781-LOG10(2)</f>
        <v>14.6329981842141</v>
      </c>
      <c r="H14">
        <f>14.918993534107-LOG10(2)</f>
        <v>14.617963538443</v>
      </c>
      <c r="I14">
        <f>14.8706818429167-LOG10(2)</f>
        <v>14.5696518472527</v>
      </c>
      <c r="J14">
        <f>14.893528511359-LOG10(2)</f>
        <v>14.592498515695</v>
      </c>
      <c r="K14">
        <f>14.8829562987416-LOG10(2)</f>
        <v>14.5819263030776</v>
      </c>
    </row>
    <row r="15" ht="15.75"/>
    <row r="16" customHeight="1" spans="2:11">
      <c r="B16" s="1" t="s">
        <v>16</v>
      </c>
      <c r="C16" s="1"/>
      <c r="D16" s="1"/>
      <c r="E16" s="1"/>
      <c r="F16" s="1"/>
      <c r="G16" s="1"/>
      <c r="H16" s="1"/>
      <c r="I16" s="1"/>
      <c r="J16" s="1"/>
      <c r="K16" s="1"/>
    </row>
    <row r="17" ht="15.75" spans="1:11">
      <c r="A17" t="s">
        <v>23</v>
      </c>
      <c r="B17">
        <f t="shared" ref="B17:B28" si="1">LOG10(POWER(2,B45)/2*B31)</f>
        <v>7.3326773167836</v>
      </c>
      <c r="C17">
        <f t="shared" ref="C17:C28" si="2">LOG10(POWER(2,C45)/2*C31)</f>
        <v>7.62986909640407</v>
      </c>
      <c r="D17">
        <f t="shared" ref="D17:D28" si="3">LOG10(POWER(2,D45)/2*D31)</f>
        <v>7.6767994365811</v>
      </c>
      <c r="E17">
        <f t="shared" ref="E17:E28" si="4">LOG10(POWER(2,E45)/2*E31)</f>
        <v>7.3987677836761</v>
      </c>
      <c r="F17">
        <f t="shared" ref="F17:F28" si="5">LOG10(POWER(2,F45)/2*F31)</f>
        <v>7.49650128338212</v>
      </c>
      <c r="G17">
        <f t="shared" ref="G17:G28" si="6">LOG10(POWER(2,G45)/2*G31)</f>
        <v>7.39341879399992</v>
      </c>
      <c r="H17">
        <f t="shared" ref="H17:H28" si="7">LOG10(POWER(2,H45)/2*H31)</f>
        <v>7.28570210969911</v>
      </c>
      <c r="I17">
        <f t="shared" ref="I17:I28" si="8">LOG10(POWER(2,I45)/2*I31)</f>
        <v>6.81468114086659</v>
      </c>
      <c r="J17">
        <f t="shared" ref="J17:J28" si="9">LOG10(POWER(2,J45)/2*J31)</f>
        <v>7.29575300417473</v>
      </c>
      <c r="K17">
        <f t="shared" ref="K17:K28" si="10">LOG10(POWER(2,K45)/2*K31)</f>
        <v>7.67255353559816</v>
      </c>
    </row>
    <row r="18" ht="15.75" spans="1:11">
      <c r="A18" t="s">
        <v>24</v>
      </c>
      <c r="B18">
        <f t="shared" si="1"/>
        <v>7.65647944680436</v>
      </c>
      <c r="C18">
        <f t="shared" si="2"/>
        <v>7.67210162796507</v>
      </c>
      <c r="D18">
        <f t="shared" si="3"/>
        <v>7.60174440518154</v>
      </c>
      <c r="E18">
        <f t="shared" si="4"/>
        <v>7.7907552989665</v>
      </c>
      <c r="F18">
        <f t="shared" si="5"/>
        <v>7.65245158127606</v>
      </c>
      <c r="G18">
        <f t="shared" si="6"/>
        <v>7.7317417968114</v>
      </c>
      <c r="H18">
        <f t="shared" si="7"/>
        <v>7.72966536579089</v>
      </c>
      <c r="I18">
        <f t="shared" si="8"/>
        <v>7.59145213655397</v>
      </c>
      <c r="J18">
        <f t="shared" si="9"/>
        <v>7.67740658361407</v>
      </c>
      <c r="K18">
        <f t="shared" si="10"/>
        <v>7.68455439456907</v>
      </c>
    </row>
    <row r="19" ht="15.75" spans="1:11">
      <c r="A19" t="s">
        <v>25</v>
      </c>
      <c r="B19">
        <f t="shared" si="1"/>
        <v>7.4233123404888</v>
      </c>
      <c r="C19">
        <f t="shared" si="2"/>
        <v>7.68484288508204</v>
      </c>
      <c r="D19">
        <f t="shared" si="3"/>
        <v>7.32040645238344</v>
      </c>
      <c r="E19">
        <f t="shared" si="4"/>
        <v>7.25637334811876</v>
      </c>
      <c r="F19">
        <f t="shared" si="5"/>
        <v>7.57951818446128</v>
      </c>
      <c r="G19">
        <f t="shared" si="6"/>
        <v>7.65460992671893</v>
      </c>
      <c r="H19">
        <f t="shared" si="7"/>
        <v>7.08096787265655</v>
      </c>
      <c r="I19">
        <f t="shared" si="8"/>
        <v>7.50758328661338</v>
      </c>
      <c r="J19">
        <f t="shared" si="9"/>
        <v>7.65164534154</v>
      </c>
      <c r="K19">
        <f t="shared" si="10"/>
        <v>7.25519683476165</v>
      </c>
    </row>
    <row r="20" ht="15.75" spans="1:11">
      <c r="A20" t="s">
        <v>26</v>
      </c>
      <c r="B20">
        <f t="shared" si="1"/>
        <v>7.63226186632221</v>
      </c>
      <c r="C20">
        <f t="shared" si="2"/>
        <v>7.89225301333211</v>
      </c>
      <c r="D20">
        <f t="shared" si="3"/>
        <v>7.72776325976284</v>
      </c>
      <c r="E20">
        <f t="shared" si="4"/>
        <v>7.66508240125268</v>
      </c>
      <c r="F20">
        <f t="shared" si="5"/>
        <v>7.88496540196194</v>
      </c>
      <c r="G20">
        <f t="shared" si="6"/>
        <v>7.75171508921439</v>
      </c>
      <c r="H20">
        <f t="shared" si="7"/>
        <v>7.70019780692033</v>
      </c>
      <c r="I20">
        <f t="shared" si="8"/>
        <v>7.51116437627153</v>
      </c>
      <c r="J20">
        <f t="shared" si="9"/>
        <v>7.69053944460196</v>
      </c>
      <c r="K20">
        <f t="shared" si="10"/>
        <v>7.67877734891139</v>
      </c>
    </row>
    <row r="21" ht="15.75" spans="1:11">
      <c r="A21" t="s">
        <v>27</v>
      </c>
      <c r="B21">
        <f t="shared" si="1"/>
        <v>12.4506684228549</v>
      </c>
      <c r="C21">
        <f t="shared" si="2"/>
        <v>11.932873364228</v>
      </c>
      <c r="D21">
        <f t="shared" si="3"/>
        <v>11.7476503976431</v>
      </c>
      <c r="E21">
        <f t="shared" si="4"/>
        <v>11.8520454401288</v>
      </c>
      <c r="F21">
        <f t="shared" si="5"/>
        <v>12.0846121168754</v>
      </c>
      <c r="G21">
        <f t="shared" si="6"/>
        <v>12.2154945897205</v>
      </c>
      <c r="H21">
        <f t="shared" si="7"/>
        <v>11.5256024045518</v>
      </c>
      <c r="I21">
        <f t="shared" si="8"/>
        <v>11.8571918827023</v>
      </c>
      <c r="J21">
        <f t="shared" si="9"/>
        <v>12.0754797890163</v>
      </c>
      <c r="K21">
        <f t="shared" si="10"/>
        <v>12.0976775374827</v>
      </c>
    </row>
    <row r="22" ht="15.75" spans="1:11">
      <c r="A22" t="s">
        <v>28</v>
      </c>
      <c r="B22">
        <f t="shared" si="1"/>
        <v>11.4741926365546</v>
      </c>
      <c r="C22">
        <f t="shared" si="2"/>
        <v>11.4992718037413</v>
      </c>
      <c r="D22">
        <f t="shared" si="3"/>
        <v>11.3476138519412</v>
      </c>
      <c r="E22">
        <f t="shared" si="4"/>
        <v>11.6265181074308</v>
      </c>
      <c r="F22">
        <f t="shared" si="5"/>
        <v>11.1760774263361</v>
      </c>
      <c r="G22">
        <f t="shared" si="6"/>
        <v>11.6005725433336</v>
      </c>
      <c r="H22">
        <f t="shared" si="7"/>
        <v>11.3162538671271</v>
      </c>
      <c r="I22">
        <f t="shared" si="8"/>
        <v>11.4574318518893</v>
      </c>
      <c r="J22">
        <f t="shared" si="9"/>
        <v>11.3634618017449</v>
      </c>
      <c r="K22">
        <f t="shared" si="10"/>
        <v>11.4343542223424</v>
      </c>
    </row>
    <row r="23" ht="15.75" spans="1:11">
      <c r="A23" t="s">
        <v>29</v>
      </c>
      <c r="B23">
        <f t="shared" si="1"/>
        <v>11.9247144211929</v>
      </c>
      <c r="C23">
        <f t="shared" si="2"/>
        <v>11.5230934031755</v>
      </c>
      <c r="D23">
        <f t="shared" si="3"/>
        <v>12.3609028298452</v>
      </c>
      <c r="E23">
        <f t="shared" si="4"/>
        <v>11.614179841188</v>
      </c>
      <c r="F23">
        <f t="shared" si="5"/>
        <v>12.033468455896</v>
      </c>
      <c r="G23">
        <f t="shared" si="6"/>
        <v>11.7701843205642</v>
      </c>
      <c r="H23">
        <f t="shared" si="7"/>
        <v>12.3382969402512</v>
      </c>
      <c r="I23">
        <f t="shared" si="8"/>
        <v>11.7388151858565</v>
      </c>
      <c r="J23">
        <f t="shared" si="9"/>
        <v>11.7056050744337</v>
      </c>
      <c r="K23">
        <f t="shared" si="10"/>
        <v>11.5508689205054</v>
      </c>
    </row>
    <row r="24" ht="15.75" spans="1:11">
      <c r="A24" t="s">
        <v>30</v>
      </c>
      <c r="B24">
        <f t="shared" si="1"/>
        <v>11.3924510300167</v>
      </c>
      <c r="C24">
        <f t="shared" si="2"/>
        <v>11.4903637399871</v>
      </c>
      <c r="D24">
        <f t="shared" si="3"/>
        <v>11.7146758204128</v>
      </c>
      <c r="E24">
        <f t="shared" si="4"/>
        <v>11.4747754873038</v>
      </c>
      <c r="F24">
        <f t="shared" si="5"/>
        <v>11.6226398915925</v>
      </c>
      <c r="G24">
        <f t="shared" si="6"/>
        <v>11.6509462709332</v>
      </c>
      <c r="H24">
        <f t="shared" si="7"/>
        <v>11.2991085886579</v>
      </c>
      <c r="I24">
        <f t="shared" si="8"/>
        <v>11.2796880496726</v>
      </c>
      <c r="J24">
        <f t="shared" si="9"/>
        <v>11.6700909581958</v>
      </c>
      <c r="K24">
        <f t="shared" si="10"/>
        <v>11.5982895363124</v>
      </c>
    </row>
    <row r="25" ht="15.75" spans="1:11">
      <c r="A25" t="s">
        <v>31</v>
      </c>
      <c r="B25">
        <f t="shared" si="1"/>
        <v>14.7885450657414</v>
      </c>
      <c r="C25">
        <f t="shared" si="2"/>
        <v>14.7879937553018</v>
      </c>
      <c r="D25">
        <f t="shared" si="3"/>
        <v>14.6782668714543</v>
      </c>
      <c r="E25">
        <f t="shared" si="4"/>
        <v>14.6626569704049</v>
      </c>
      <c r="F25">
        <f t="shared" si="5"/>
        <v>14.6700945980949</v>
      </c>
      <c r="G25">
        <f t="shared" si="6"/>
        <v>14.8200734228369</v>
      </c>
      <c r="H25">
        <f t="shared" si="7"/>
        <v>14.7003025458623</v>
      </c>
      <c r="I25">
        <f t="shared" si="8"/>
        <v>14.6256881469802</v>
      </c>
      <c r="J25">
        <f t="shared" si="9"/>
        <v>14.7237632569557</v>
      </c>
      <c r="K25">
        <f t="shared" si="10"/>
        <v>14.68497454609</v>
      </c>
    </row>
    <row r="26" ht="15.75" spans="1:11">
      <c r="A26" t="s">
        <v>32</v>
      </c>
      <c r="B26">
        <f t="shared" si="1"/>
        <v>14.6716976851624</v>
      </c>
      <c r="C26">
        <f t="shared" si="2"/>
        <v>14.753972490567</v>
      </c>
      <c r="D26">
        <f t="shared" si="3"/>
        <v>14.6345357106952</v>
      </c>
      <c r="E26">
        <f t="shared" si="4"/>
        <v>14.6423985268308</v>
      </c>
      <c r="F26">
        <f t="shared" si="5"/>
        <v>14.6018915948686</v>
      </c>
      <c r="G26">
        <f t="shared" si="6"/>
        <v>14.7533038527664</v>
      </c>
      <c r="H26">
        <f t="shared" si="7"/>
        <v>14.6798228673645</v>
      </c>
      <c r="I26">
        <f t="shared" si="8"/>
        <v>14.6947575120955</v>
      </c>
      <c r="J26">
        <f t="shared" si="9"/>
        <v>14.657490474703</v>
      </c>
      <c r="K26">
        <f t="shared" si="10"/>
        <v>14.6150933257234</v>
      </c>
    </row>
    <row r="27" ht="15.75" spans="1:11">
      <c r="A27" t="s">
        <v>33</v>
      </c>
      <c r="B27">
        <f t="shared" si="1"/>
        <v>14.7319685452337</v>
      </c>
      <c r="C27">
        <f t="shared" si="2"/>
        <v>14.6601729727126</v>
      </c>
      <c r="D27">
        <f t="shared" si="3"/>
        <v>14.5807064428675</v>
      </c>
      <c r="E27">
        <f t="shared" si="4"/>
        <v>14.5883282979793</v>
      </c>
      <c r="F27">
        <f t="shared" si="5"/>
        <v>14.602714921811</v>
      </c>
      <c r="G27">
        <f t="shared" si="6"/>
        <v>14.7006360557217</v>
      </c>
      <c r="H27">
        <f t="shared" si="7"/>
        <v>14.6396457658033</v>
      </c>
      <c r="I27">
        <f t="shared" si="8"/>
        <v>14.6771482580901</v>
      </c>
      <c r="J27">
        <f t="shared" si="9"/>
        <v>14.7295301433249</v>
      </c>
      <c r="K27">
        <f t="shared" si="10"/>
        <v>14.6413273690305</v>
      </c>
    </row>
    <row r="28" ht="15.75" spans="1:11">
      <c r="A28" t="s">
        <v>34</v>
      </c>
      <c r="B28">
        <f t="shared" si="1"/>
        <v>14.6778421424236</v>
      </c>
      <c r="C28">
        <f t="shared" si="2"/>
        <v>14.5928144658376</v>
      </c>
      <c r="D28">
        <f t="shared" si="3"/>
        <v>14.665909475492</v>
      </c>
      <c r="E28">
        <f t="shared" si="4"/>
        <v>14.6383500710247</v>
      </c>
      <c r="F28">
        <f t="shared" si="5"/>
        <v>14.6853903198717</v>
      </c>
      <c r="G28">
        <f t="shared" si="6"/>
        <v>14.671313878575</v>
      </c>
      <c r="H28">
        <f t="shared" si="7"/>
        <v>14.6922279966509</v>
      </c>
      <c r="I28">
        <f t="shared" si="8"/>
        <v>14.6975132126016</v>
      </c>
      <c r="J28">
        <f t="shared" si="9"/>
        <v>14.8123412265827</v>
      </c>
      <c r="K28">
        <f t="shared" si="10"/>
        <v>14.8021331246816</v>
      </c>
    </row>
    <row r="29" ht="15.75"/>
    <row r="30" customHeight="1" spans="2:11">
      <c r="B30" s="1" t="s">
        <v>17</v>
      </c>
      <c r="C30" s="1"/>
      <c r="D30" s="1"/>
      <c r="E30" s="1"/>
      <c r="F30" s="1"/>
      <c r="G30" s="1"/>
      <c r="H30" s="1"/>
      <c r="I30" s="1"/>
      <c r="J30" s="1"/>
      <c r="K30" s="1"/>
    </row>
    <row r="31" ht="15.75" spans="1:11">
      <c r="A31" t="s">
        <v>23</v>
      </c>
      <c r="B31">
        <v>43023656</v>
      </c>
      <c r="C31">
        <v>85290192</v>
      </c>
      <c r="D31">
        <v>95023152</v>
      </c>
      <c r="E31">
        <v>50095392</v>
      </c>
      <c r="F31">
        <v>62738088</v>
      </c>
      <c r="G31">
        <v>49482176</v>
      </c>
      <c r="H31">
        <v>38612872</v>
      </c>
      <c r="I31">
        <v>13053024</v>
      </c>
      <c r="J31">
        <v>39516912</v>
      </c>
      <c r="K31">
        <v>94098680</v>
      </c>
    </row>
    <row r="32" ht="15.75" spans="1:11">
      <c r="A32" t="s">
        <v>24</v>
      </c>
      <c r="B32">
        <v>90679568</v>
      </c>
      <c r="C32">
        <v>94000816</v>
      </c>
      <c r="D32">
        <v>79941888</v>
      </c>
      <c r="E32">
        <v>123533656</v>
      </c>
      <c r="F32">
        <v>89842448</v>
      </c>
      <c r="G32">
        <v>107837992</v>
      </c>
      <c r="H32">
        <v>107323632</v>
      </c>
      <c r="I32">
        <v>78069632</v>
      </c>
      <c r="J32">
        <v>95156088</v>
      </c>
      <c r="K32">
        <v>96735168</v>
      </c>
    </row>
    <row r="33" ht="15.75" spans="1:11">
      <c r="A33" t="s">
        <v>25</v>
      </c>
      <c r="B33">
        <v>53008112</v>
      </c>
      <c r="C33">
        <v>96799448</v>
      </c>
      <c r="D33">
        <v>41825048</v>
      </c>
      <c r="E33">
        <v>36091368</v>
      </c>
      <c r="F33">
        <v>75953568</v>
      </c>
      <c r="G33">
        <v>90290056</v>
      </c>
      <c r="H33">
        <v>24098936</v>
      </c>
      <c r="I33">
        <v>64359592</v>
      </c>
      <c r="J33">
        <v>89675816</v>
      </c>
      <c r="K33">
        <v>35993728</v>
      </c>
    </row>
    <row r="34" ht="15.75" spans="1:11">
      <c r="A34" t="s">
        <v>26</v>
      </c>
      <c r="B34">
        <v>85761400</v>
      </c>
      <c r="C34">
        <v>156056912</v>
      </c>
      <c r="D34">
        <v>106854608</v>
      </c>
      <c r="E34">
        <v>92493752</v>
      </c>
      <c r="F34">
        <v>153460072</v>
      </c>
      <c r="G34">
        <v>112913296</v>
      </c>
      <c r="H34">
        <v>100283112</v>
      </c>
      <c r="I34">
        <v>64892480</v>
      </c>
      <c r="J34">
        <v>98077512</v>
      </c>
      <c r="K34">
        <v>95456904</v>
      </c>
    </row>
    <row r="35" ht="15.75" spans="1:11">
      <c r="A35" t="s">
        <v>27</v>
      </c>
      <c r="B35">
        <v>44105063214</v>
      </c>
      <c r="C35">
        <v>53549248644</v>
      </c>
      <c r="D35">
        <v>69913398000</v>
      </c>
      <c r="E35">
        <v>88910991456</v>
      </c>
      <c r="F35">
        <v>75943766789</v>
      </c>
      <c r="G35">
        <v>51326849950</v>
      </c>
      <c r="H35">
        <v>20964399250</v>
      </c>
      <c r="I35">
        <v>11246358120</v>
      </c>
      <c r="J35">
        <v>18590874325</v>
      </c>
      <c r="K35">
        <v>9782898955</v>
      </c>
    </row>
    <row r="36" ht="15.75" spans="1:11">
      <c r="A36" t="s">
        <v>28</v>
      </c>
      <c r="B36">
        <v>74495946984</v>
      </c>
      <c r="C36">
        <v>39462247562</v>
      </c>
      <c r="D36">
        <v>222645464180</v>
      </c>
      <c r="E36">
        <v>105793288272</v>
      </c>
      <c r="F36">
        <v>74997611212</v>
      </c>
      <c r="G36">
        <v>49829044148</v>
      </c>
      <c r="H36">
        <v>51783795126</v>
      </c>
      <c r="I36">
        <v>573405491088</v>
      </c>
      <c r="J36">
        <v>115460067240</v>
      </c>
      <c r="K36">
        <v>33983197176</v>
      </c>
    </row>
    <row r="37" ht="15.75" spans="1:11">
      <c r="A37" t="s">
        <v>29</v>
      </c>
      <c r="B37">
        <v>52552627983</v>
      </c>
      <c r="C37">
        <v>20843633130</v>
      </c>
      <c r="D37">
        <v>573908739857</v>
      </c>
      <c r="E37">
        <v>12853750416</v>
      </c>
      <c r="F37">
        <v>16876736974</v>
      </c>
      <c r="G37">
        <v>18409175680</v>
      </c>
      <c r="H37">
        <v>34049988241</v>
      </c>
      <c r="I37">
        <v>34252730946</v>
      </c>
      <c r="J37">
        <v>31731097372</v>
      </c>
      <c r="K37">
        <v>22220249845</v>
      </c>
    </row>
    <row r="38" ht="15.75" spans="1:11">
      <c r="A38" t="s">
        <v>30</v>
      </c>
      <c r="B38">
        <v>493720347144</v>
      </c>
      <c r="C38">
        <v>38661059622</v>
      </c>
      <c r="D38">
        <v>129603231144</v>
      </c>
      <c r="E38">
        <v>596767939120</v>
      </c>
      <c r="F38">
        <v>104852768098</v>
      </c>
      <c r="G38">
        <v>55957239802</v>
      </c>
      <c r="H38">
        <v>99558556924</v>
      </c>
      <c r="I38">
        <v>380818506376</v>
      </c>
      <c r="J38">
        <v>116958278380</v>
      </c>
      <c r="K38">
        <v>793084627544</v>
      </c>
    </row>
    <row r="39" ht="15.75" spans="1:11">
      <c r="A39" t="s">
        <v>31</v>
      </c>
      <c r="B39">
        <v>300064842312</v>
      </c>
      <c r="C39">
        <v>149842084955</v>
      </c>
      <c r="D39">
        <f>232775312924</f>
        <v>232775312924</v>
      </c>
      <c r="E39">
        <f>224557217400</f>
        <v>224557217400</v>
      </c>
      <c r="F39">
        <v>228436052016</v>
      </c>
      <c r="G39">
        <v>161329383746</v>
      </c>
      <c r="H39">
        <v>122445434848</v>
      </c>
      <c r="I39">
        <v>206233016774</v>
      </c>
      <c r="J39">
        <v>258483785110</v>
      </c>
      <c r="K39">
        <v>236398433190</v>
      </c>
    </row>
    <row r="40" ht="15.75" spans="1:11">
      <c r="A40" t="s">
        <v>32</v>
      </c>
      <c r="B40">
        <v>114640411740</v>
      </c>
      <c r="C40">
        <v>138551918134</v>
      </c>
      <c r="D40">
        <v>210477539608</v>
      </c>
      <c r="E40">
        <v>214322898744</v>
      </c>
      <c r="F40">
        <v>195236782810</v>
      </c>
      <c r="G40">
        <v>138338768358</v>
      </c>
      <c r="H40">
        <v>233610799140</v>
      </c>
      <c r="I40">
        <v>241784000920</v>
      </c>
      <c r="J40">
        <v>221901645330</v>
      </c>
      <c r="K40">
        <v>201262736534</v>
      </c>
    </row>
    <row r="41" ht="15.75" spans="1:11">
      <c r="A41" t="s">
        <v>33</v>
      </c>
      <c r="B41">
        <f>131706921056</f>
        <v>131706921056</v>
      </c>
      <c r="C41">
        <v>223276502424</v>
      </c>
      <c r="D41">
        <v>185941568696</v>
      </c>
      <c r="E41">
        <f>189233641030</f>
        <v>189233641030</v>
      </c>
      <c r="F41">
        <v>195607259926</v>
      </c>
      <c r="G41">
        <v>245079002152</v>
      </c>
      <c r="H41">
        <v>212968716482</v>
      </c>
      <c r="I41">
        <v>116088262230</v>
      </c>
      <c r="J41">
        <v>261939015584</v>
      </c>
      <c r="K41">
        <v>213794937250</v>
      </c>
    </row>
    <row r="42" ht="15.75" spans="1:11">
      <c r="A42" t="s">
        <v>34</v>
      </c>
      <c r="B42">
        <f>232547775830</f>
        <v>232547775830</v>
      </c>
      <c r="C42">
        <v>382397028818</v>
      </c>
      <c r="D42">
        <v>226245277710</v>
      </c>
      <c r="E42">
        <v>212334282372</v>
      </c>
      <c r="F42">
        <v>236624858664</v>
      </c>
      <c r="G42">
        <v>229078286674</v>
      </c>
      <c r="H42">
        <v>120189920714</v>
      </c>
      <c r="I42">
        <v>243323054868</v>
      </c>
      <c r="J42">
        <v>158482487302</v>
      </c>
      <c r="K42">
        <v>154800791430</v>
      </c>
    </row>
    <row r="44" customHeight="1" spans="2:11">
      <c r="B44" s="1" t="s">
        <v>18</v>
      </c>
      <c r="C44" s="1"/>
      <c r="D44" s="1"/>
      <c r="E44" s="1"/>
      <c r="F44" s="1"/>
      <c r="G44" s="1"/>
      <c r="H44" s="1"/>
      <c r="I44" s="1"/>
      <c r="J44" s="1"/>
      <c r="K44" s="1"/>
    </row>
    <row r="45" customHeight="1" spans="1:11">
      <c r="A45" t="s">
        <v>23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customHeight="1" spans="1:11">
      <c r="A46" t="s">
        <v>24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customHeight="1" spans="1:11">
      <c r="A47" t="s">
        <v>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customHeight="1" spans="1:11">
      <c r="A48" t="s">
        <v>26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customHeight="1" spans="1:11">
      <c r="A49" t="s">
        <v>27</v>
      </c>
      <c r="B49">
        <v>7</v>
      </c>
      <c r="C49">
        <v>5</v>
      </c>
      <c r="D49">
        <v>4</v>
      </c>
      <c r="E49">
        <v>4</v>
      </c>
      <c r="F49">
        <v>5</v>
      </c>
      <c r="G49">
        <v>6</v>
      </c>
      <c r="H49">
        <v>5</v>
      </c>
      <c r="I49">
        <v>7</v>
      </c>
      <c r="J49">
        <v>7</v>
      </c>
      <c r="K49">
        <v>8</v>
      </c>
    </row>
    <row r="50" customHeight="1" spans="1:11">
      <c r="A50" t="s">
        <v>28</v>
      </c>
      <c r="B50">
        <v>3</v>
      </c>
      <c r="C50">
        <v>4</v>
      </c>
      <c r="D50">
        <v>1</v>
      </c>
      <c r="E50">
        <v>3</v>
      </c>
      <c r="F50">
        <v>2</v>
      </c>
      <c r="G50">
        <v>4</v>
      </c>
      <c r="H50">
        <v>3</v>
      </c>
      <c r="I50">
        <v>0</v>
      </c>
      <c r="J50">
        <v>2</v>
      </c>
      <c r="K50">
        <v>4</v>
      </c>
    </row>
    <row r="51" customHeight="1" spans="1:11">
      <c r="A51" t="s">
        <v>29</v>
      </c>
      <c r="B51">
        <v>5</v>
      </c>
      <c r="C51">
        <v>5</v>
      </c>
      <c r="D51">
        <v>3</v>
      </c>
      <c r="E51">
        <v>6</v>
      </c>
      <c r="F51">
        <v>7</v>
      </c>
      <c r="G51">
        <v>6</v>
      </c>
      <c r="H51">
        <v>7</v>
      </c>
      <c r="I51">
        <v>5</v>
      </c>
      <c r="J51">
        <v>5</v>
      </c>
      <c r="K51">
        <v>5</v>
      </c>
    </row>
    <row r="52" customHeight="1" spans="1:11">
      <c r="A52" t="s">
        <v>30</v>
      </c>
      <c r="B52">
        <v>0</v>
      </c>
      <c r="C52">
        <v>4</v>
      </c>
      <c r="D52">
        <v>3</v>
      </c>
      <c r="E52">
        <v>0</v>
      </c>
      <c r="F52">
        <v>3</v>
      </c>
      <c r="G52">
        <v>4</v>
      </c>
      <c r="H52">
        <v>2</v>
      </c>
      <c r="I52">
        <v>0</v>
      </c>
      <c r="J52">
        <v>3</v>
      </c>
      <c r="K52">
        <v>0</v>
      </c>
    </row>
    <row r="53" customHeight="1" spans="1:11">
      <c r="A53" t="s">
        <v>31</v>
      </c>
      <c r="B53">
        <v>12</v>
      </c>
      <c r="C53">
        <v>13</v>
      </c>
      <c r="D53">
        <v>12</v>
      </c>
      <c r="E53">
        <v>12</v>
      </c>
      <c r="F53">
        <v>12</v>
      </c>
      <c r="G53">
        <v>13</v>
      </c>
      <c r="H53">
        <v>13</v>
      </c>
      <c r="I53">
        <v>12</v>
      </c>
      <c r="J53">
        <v>12</v>
      </c>
      <c r="K53">
        <v>12</v>
      </c>
    </row>
    <row r="54" customHeight="1" spans="1:11">
      <c r="A54" t="s">
        <v>32</v>
      </c>
      <c r="B54">
        <v>13</v>
      </c>
      <c r="C54">
        <v>13</v>
      </c>
      <c r="D54">
        <v>12</v>
      </c>
      <c r="E54">
        <v>12</v>
      </c>
      <c r="F54">
        <v>12</v>
      </c>
      <c r="G54">
        <v>13</v>
      </c>
      <c r="H54">
        <v>12</v>
      </c>
      <c r="I54">
        <v>12</v>
      </c>
      <c r="J54">
        <v>12</v>
      </c>
      <c r="K54">
        <v>12</v>
      </c>
    </row>
    <row r="55" customHeight="1" spans="1:11">
      <c r="A55" t="s">
        <v>33</v>
      </c>
      <c r="B55">
        <v>13</v>
      </c>
      <c r="C55">
        <v>12</v>
      </c>
      <c r="D55">
        <v>12</v>
      </c>
      <c r="E55">
        <v>12</v>
      </c>
      <c r="F55">
        <v>12</v>
      </c>
      <c r="G55">
        <v>12</v>
      </c>
      <c r="H55">
        <v>12</v>
      </c>
      <c r="I55">
        <v>13</v>
      </c>
      <c r="J55">
        <v>12</v>
      </c>
      <c r="K55">
        <v>12</v>
      </c>
    </row>
    <row r="56" customHeight="1" spans="1:11">
      <c r="A56" t="s">
        <v>34</v>
      </c>
      <c r="B56">
        <v>12</v>
      </c>
      <c r="C56">
        <v>11</v>
      </c>
      <c r="D56">
        <v>12</v>
      </c>
      <c r="E56">
        <v>12</v>
      </c>
      <c r="F56">
        <v>12</v>
      </c>
      <c r="G56">
        <v>12</v>
      </c>
      <c r="H56">
        <v>13</v>
      </c>
      <c r="I56">
        <v>12</v>
      </c>
      <c r="J56">
        <v>13</v>
      </c>
      <c r="K56">
        <v>13</v>
      </c>
    </row>
    <row r="58" customHeight="1" spans="2:11">
      <c r="B58" s="1" t="s">
        <v>35</v>
      </c>
      <c r="C58" s="1"/>
      <c r="D58" s="1"/>
      <c r="E58" s="1"/>
      <c r="F58" s="1"/>
      <c r="G58" s="1"/>
      <c r="H58" s="1"/>
      <c r="I58" s="1"/>
      <c r="J58" s="1"/>
      <c r="K58" s="1"/>
    </row>
    <row r="59" customHeight="1" spans="1:11">
      <c r="A59" t="s">
        <v>23</v>
      </c>
      <c r="B59">
        <f t="shared" ref="B59:B70" si="11">POWER(10,B17-B3)</f>
        <v>1</v>
      </c>
      <c r="C59">
        <f t="shared" ref="C59:C70" si="12">POWER(10,C17-C3)</f>
        <v>1</v>
      </c>
      <c r="D59">
        <f t="shared" ref="D59:D70" si="13">POWER(10,D17-D3)</f>
        <v>1</v>
      </c>
      <c r="E59">
        <f t="shared" ref="E59:E70" si="14">POWER(10,E17-E3)</f>
        <v>1</v>
      </c>
      <c r="F59">
        <f t="shared" ref="F59:F70" si="15">POWER(10,F17-F3)</f>
        <v>1</v>
      </c>
      <c r="G59">
        <f t="shared" ref="G59:G70" si="16">POWER(10,G17-G3)</f>
        <v>1</v>
      </c>
      <c r="H59">
        <f t="shared" ref="H59:H70" si="17">POWER(10,H17-H3)</f>
        <v>1</v>
      </c>
      <c r="I59">
        <f t="shared" ref="I59:I70" si="18">POWER(10,I17-I3)</f>
        <v>1</v>
      </c>
      <c r="J59">
        <f t="shared" ref="J59:J70" si="19">POWER(10,J17-J3)</f>
        <v>1</v>
      </c>
      <c r="K59">
        <f t="shared" ref="K59:K70" si="20">POWER(10,K17-K3)</f>
        <v>1</v>
      </c>
    </row>
    <row r="60" customHeight="1" spans="1:11">
      <c r="A60" t="s">
        <v>24</v>
      </c>
      <c r="B60">
        <f t="shared" si="11"/>
        <v>1</v>
      </c>
      <c r="C60">
        <f t="shared" si="12"/>
        <v>1</v>
      </c>
      <c r="D60">
        <f t="shared" si="13"/>
        <v>1</v>
      </c>
      <c r="E60">
        <f t="shared" si="14"/>
        <v>1</v>
      </c>
      <c r="F60">
        <f t="shared" si="15"/>
        <v>1</v>
      </c>
      <c r="G60">
        <f t="shared" si="16"/>
        <v>1</v>
      </c>
      <c r="H60">
        <f t="shared" si="17"/>
        <v>1</v>
      </c>
      <c r="I60">
        <f t="shared" si="18"/>
        <v>1</v>
      </c>
      <c r="J60">
        <f t="shared" si="19"/>
        <v>1</v>
      </c>
      <c r="K60">
        <f t="shared" si="20"/>
        <v>1</v>
      </c>
    </row>
    <row r="61" customHeight="1" spans="1:11">
      <c r="A61" t="s">
        <v>25</v>
      </c>
      <c r="B61">
        <f t="shared" si="11"/>
        <v>1</v>
      </c>
      <c r="C61">
        <f t="shared" si="12"/>
        <v>1</v>
      </c>
      <c r="D61">
        <f t="shared" si="13"/>
        <v>1</v>
      </c>
      <c r="E61">
        <f t="shared" si="14"/>
        <v>1</v>
      </c>
      <c r="F61">
        <f t="shared" si="15"/>
        <v>1</v>
      </c>
      <c r="G61">
        <f t="shared" si="16"/>
        <v>1</v>
      </c>
      <c r="H61">
        <f t="shared" si="17"/>
        <v>1</v>
      </c>
      <c r="I61">
        <f t="shared" si="18"/>
        <v>1</v>
      </c>
      <c r="J61">
        <f t="shared" si="19"/>
        <v>1</v>
      </c>
      <c r="K61">
        <f t="shared" si="20"/>
        <v>1</v>
      </c>
    </row>
    <row r="62" customHeight="1" spans="1:11">
      <c r="A62" t="s">
        <v>26</v>
      </c>
      <c r="B62">
        <f t="shared" si="11"/>
        <v>1</v>
      </c>
      <c r="C62">
        <f t="shared" si="12"/>
        <v>1</v>
      </c>
      <c r="D62">
        <f t="shared" si="13"/>
        <v>1</v>
      </c>
      <c r="E62">
        <f t="shared" si="14"/>
        <v>1</v>
      </c>
      <c r="F62">
        <f t="shared" si="15"/>
        <v>1</v>
      </c>
      <c r="G62">
        <f t="shared" si="16"/>
        <v>1</v>
      </c>
      <c r="H62">
        <f t="shared" si="17"/>
        <v>1</v>
      </c>
      <c r="I62">
        <f t="shared" si="18"/>
        <v>1</v>
      </c>
      <c r="J62">
        <f t="shared" si="19"/>
        <v>1</v>
      </c>
      <c r="K62">
        <f t="shared" si="20"/>
        <v>1</v>
      </c>
    </row>
    <row r="63" customHeight="1" spans="1:11">
      <c r="A63" t="s">
        <v>27</v>
      </c>
      <c r="B63">
        <f t="shared" si="11"/>
        <v>3.118295905177</v>
      </c>
      <c r="C63">
        <f t="shared" si="12"/>
        <v>1.03630299887212</v>
      </c>
      <c r="D63">
        <f t="shared" si="13"/>
        <v>0.411368479140089</v>
      </c>
      <c r="E63">
        <f t="shared" si="14"/>
        <v>1.0227173102684</v>
      </c>
      <c r="F63">
        <f t="shared" si="15"/>
        <v>1.1321614543793</v>
      </c>
      <c r="G63">
        <f t="shared" si="16"/>
        <v>0.991338225366651</v>
      </c>
      <c r="H63">
        <f t="shared" si="17"/>
        <v>1.0120789484571</v>
      </c>
      <c r="I63">
        <f t="shared" si="18"/>
        <v>1.02274444581735</v>
      </c>
      <c r="J63">
        <f t="shared" si="19"/>
        <v>1.03492228944552</v>
      </c>
      <c r="K63">
        <f t="shared" si="20"/>
        <v>1.08636624624334</v>
      </c>
    </row>
    <row r="64" customHeight="1" spans="1:11">
      <c r="A64" t="s">
        <v>28</v>
      </c>
      <c r="B64">
        <f t="shared" si="11"/>
        <v>1.00851408071819</v>
      </c>
      <c r="C64">
        <f t="shared" si="12"/>
        <v>0.944128559105668</v>
      </c>
      <c r="D64">
        <f t="shared" si="13"/>
        <v>0.727106847130309</v>
      </c>
      <c r="E64">
        <f t="shared" si="14"/>
        <v>1.01017975444561</v>
      </c>
      <c r="F64">
        <f t="shared" si="15"/>
        <v>0.963104733339232</v>
      </c>
      <c r="G64">
        <f t="shared" si="16"/>
        <v>1.01205220504146</v>
      </c>
      <c r="H64">
        <f t="shared" si="17"/>
        <v>1.03108540570071</v>
      </c>
      <c r="I64">
        <f t="shared" si="18"/>
        <v>0.998229701040828</v>
      </c>
      <c r="J64">
        <f t="shared" si="19"/>
        <v>0.539155148303752</v>
      </c>
      <c r="K64">
        <f t="shared" si="20"/>
        <v>1.01622583081134</v>
      </c>
    </row>
    <row r="65" customHeight="1" spans="1:11">
      <c r="A65" t="s">
        <v>29</v>
      </c>
      <c r="B65">
        <f t="shared" si="11"/>
        <v>0.934938235518955</v>
      </c>
      <c r="C65">
        <f t="shared" si="12"/>
        <v>0.934742142149164</v>
      </c>
      <c r="D65">
        <f t="shared" si="13"/>
        <v>1.00005914311116</v>
      </c>
      <c r="E65">
        <f t="shared" si="14"/>
        <v>0.83561273488372</v>
      </c>
      <c r="F65">
        <f t="shared" si="15"/>
        <v>1.05758044864581</v>
      </c>
      <c r="G65">
        <f t="shared" si="16"/>
        <v>1.09259237700311</v>
      </c>
      <c r="H65">
        <f t="shared" si="17"/>
        <v>2.98044438453933</v>
      </c>
      <c r="I65">
        <f t="shared" si="18"/>
        <v>0.968561633866197</v>
      </c>
      <c r="J65">
        <f t="shared" si="19"/>
        <v>1.03821965640286</v>
      </c>
      <c r="K65">
        <f t="shared" si="20"/>
        <v>1.0183505641401</v>
      </c>
    </row>
    <row r="66" customHeight="1" spans="1:11">
      <c r="A66" t="s">
        <v>30</v>
      </c>
      <c r="B66">
        <f t="shared" si="11"/>
        <v>0.999997624183052</v>
      </c>
      <c r="C66">
        <f t="shared" si="12"/>
        <v>0.971918813706368</v>
      </c>
      <c r="D66">
        <f t="shared" si="13"/>
        <v>0.999517525869772</v>
      </c>
      <c r="E66">
        <f t="shared" si="14"/>
        <v>0.999945862971742</v>
      </c>
      <c r="F66">
        <f t="shared" si="15"/>
        <v>0.755302844125038</v>
      </c>
      <c r="G66">
        <f t="shared" si="16"/>
        <v>0.998017373163856</v>
      </c>
      <c r="H66">
        <f t="shared" si="17"/>
        <v>0.989738629456504</v>
      </c>
      <c r="I66">
        <f t="shared" si="18"/>
        <v>0.999627726276026</v>
      </c>
      <c r="J66">
        <f t="shared" si="19"/>
        <v>1.0140720646014</v>
      </c>
      <c r="K66">
        <f t="shared" si="20"/>
        <v>0.999842300227511</v>
      </c>
    </row>
    <row r="67" customHeight="1" spans="1:11">
      <c r="A67" t="s">
        <v>31</v>
      </c>
      <c r="B67">
        <f t="shared" si="11"/>
        <v>1.63516502551641</v>
      </c>
      <c r="C67">
        <f t="shared" si="12"/>
        <v>1.48150154343644</v>
      </c>
      <c r="D67">
        <f t="shared" si="13"/>
        <v>1.20644451550748</v>
      </c>
      <c r="E67">
        <f t="shared" si="14"/>
        <v>1.20413256166598</v>
      </c>
      <c r="F67">
        <f t="shared" si="15"/>
        <v>1.07198132162479</v>
      </c>
      <c r="G67">
        <f t="shared" si="16"/>
        <v>1.62344006800682</v>
      </c>
      <c r="H67">
        <f t="shared" si="17"/>
        <v>1.28778591692612</v>
      </c>
      <c r="I67">
        <f t="shared" si="18"/>
        <v>1.14008525365272</v>
      </c>
      <c r="J67">
        <f t="shared" si="19"/>
        <v>1.2816253443098</v>
      </c>
      <c r="K67">
        <f t="shared" si="20"/>
        <v>1.22623410925514</v>
      </c>
    </row>
    <row r="68" customHeight="1" spans="1:11">
      <c r="A68" t="s">
        <v>32</v>
      </c>
      <c r="B68">
        <f t="shared" si="11"/>
        <v>1.31901066308866</v>
      </c>
      <c r="C68">
        <f t="shared" si="12"/>
        <v>1.5041010237494</v>
      </c>
      <c r="D68">
        <f t="shared" si="13"/>
        <v>1.22848932664139</v>
      </c>
      <c r="E68">
        <f t="shared" si="14"/>
        <v>1.0678899640917</v>
      </c>
      <c r="F68">
        <f t="shared" si="15"/>
        <v>1.12626531746026</v>
      </c>
      <c r="G68">
        <f t="shared" si="16"/>
        <v>1.45339474317702</v>
      </c>
      <c r="H68">
        <f t="shared" si="17"/>
        <v>1.23385932325119</v>
      </c>
      <c r="I68">
        <f t="shared" si="18"/>
        <v>1.00000000000003</v>
      </c>
      <c r="J68">
        <f t="shared" si="19"/>
        <v>1.08120931310923</v>
      </c>
      <c r="K68">
        <f t="shared" si="20"/>
        <v>1.03605415861231</v>
      </c>
    </row>
    <row r="69" customHeight="1" spans="1:11">
      <c r="A69" t="s">
        <v>33</v>
      </c>
      <c r="B69">
        <f t="shared" si="11"/>
        <v>1.35178439256643</v>
      </c>
      <c r="C69">
        <f t="shared" si="12"/>
        <v>1.02349788701085</v>
      </c>
      <c r="D69">
        <f t="shared" si="13"/>
        <v>1.03542337344034</v>
      </c>
      <c r="E69">
        <f t="shared" si="14"/>
        <v>1.07882866350344</v>
      </c>
      <c r="F69">
        <f t="shared" si="15"/>
        <v>1.05932346508031</v>
      </c>
      <c r="G69">
        <f t="shared" si="16"/>
        <v>1.26945111717023</v>
      </c>
      <c r="H69">
        <f t="shared" si="17"/>
        <v>1.13609597778691</v>
      </c>
      <c r="I69">
        <f t="shared" si="18"/>
        <v>1.17580897994341</v>
      </c>
      <c r="J69">
        <f t="shared" si="19"/>
        <v>1.40927001485425</v>
      </c>
      <c r="K69">
        <f t="shared" si="20"/>
        <v>1.15871107275785</v>
      </c>
    </row>
    <row r="70" customHeight="1" spans="1:11">
      <c r="A70" t="s">
        <v>34</v>
      </c>
      <c r="B70">
        <f t="shared" si="11"/>
        <v>1.30841079978307</v>
      </c>
      <c r="C70">
        <f t="shared" si="12"/>
        <v>0.987399457464279</v>
      </c>
      <c r="D70">
        <f t="shared" si="13"/>
        <v>1.30666137842576</v>
      </c>
      <c r="E70">
        <f t="shared" si="14"/>
        <v>1.06918700361344</v>
      </c>
      <c r="F70">
        <f t="shared" si="15"/>
        <v>1.36839875706714</v>
      </c>
      <c r="G70">
        <f t="shared" si="16"/>
        <v>1.09223400718899</v>
      </c>
      <c r="H70">
        <f t="shared" si="17"/>
        <v>1.18649102714545</v>
      </c>
      <c r="I70">
        <f t="shared" si="18"/>
        <v>1.34233639469044</v>
      </c>
      <c r="J70">
        <f t="shared" si="19"/>
        <v>1.65898596107882</v>
      </c>
      <c r="K70">
        <f t="shared" si="20"/>
        <v>1.66037743133934</v>
      </c>
    </row>
  </sheetData>
  <sheetProtection formatCells="0" insertHyperlinks="0" autoFilter="0"/>
  <mergeCells count="5">
    <mergeCell ref="B2:K2"/>
    <mergeCell ref="B16:K16"/>
    <mergeCell ref="B30:K30"/>
    <mergeCell ref="B44:K44"/>
    <mergeCell ref="B58:K58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3" master=""/>
</allowEditUser>
</file>

<file path=customXml/item5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  <interlineItem sheetStid="3" interlineOnOff="0" interlineColor="0"/>
  <interlineItem sheetStid="4" interlineOnOff="0" interlineColor="0"/>
</sheetInterline>
</file>

<file path=customXml/item6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supremacy</vt:lpstr>
      <vt:lpstr>QEC</vt:lpstr>
      <vt:lpstr>QAOA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2006-09-16T08:00:00Z</dcterms:created>
  <dcterms:modified xsi:type="dcterms:W3CDTF">2021-06-21T12:16:00Z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1033-0.0.0.0</vt:lpwstr>
  </property>
</Properties>
</file>