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diemarquez/Dropbox/_INCA_Postdoc/INCA_Freddie_Marquez/Manuscripts/Project 3 - Plasma ATN _cognition/submit/to journal/Comms Medicine/R3/submit/"/>
    </mc:Choice>
  </mc:AlternateContent>
  <xr:revisionPtr revIDLastSave="0" documentId="13_ncr:1_{7D55B348-02A4-FB4F-B820-DB9A626DFA26}" xr6:coauthVersionLast="47" xr6:coauthVersionMax="47" xr10:uidLastSave="{00000000-0000-0000-0000-000000000000}"/>
  <bookViews>
    <workbookView xWindow="3480" yWindow="2560" windowWidth="27640" windowHeight="16940" xr2:uid="{87C502FC-50A2-1646-BDEB-2A479DFC0C40}"/>
  </bookViews>
  <sheets>
    <sheet name="S7. NonLog; 3S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" l="1"/>
  <c r="F49" i="1"/>
  <c r="E49" i="1"/>
  <c r="D49" i="1"/>
  <c r="C49" i="1"/>
  <c r="B49" i="1"/>
  <c r="G48" i="1"/>
  <c r="F48" i="1"/>
  <c r="E48" i="1"/>
  <c r="D48" i="1"/>
  <c r="C48" i="1"/>
  <c r="B48" i="1"/>
  <c r="G47" i="1"/>
  <c r="F47" i="1"/>
  <c r="E47" i="1"/>
  <c r="D47" i="1"/>
  <c r="C47" i="1"/>
  <c r="B47" i="1"/>
  <c r="G46" i="1"/>
  <c r="F46" i="1"/>
  <c r="E46" i="1"/>
  <c r="D46" i="1"/>
  <c r="C46" i="1"/>
  <c r="B46" i="1"/>
  <c r="G45" i="1"/>
  <c r="F45" i="1"/>
  <c r="E45" i="1"/>
  <c r="D45" i="1"/>
  <c r="C45" i="1"/>
  <c r="B45" i="1"/>
  <c r="G44" i="1"/>
  <c r="F44" i="1"/>
  <c r="E44" i="1"/>
  <c r="D44" i="1"/>
  <c r="C44" i="1"/>
  <c r="B44" i="1"/>
  <c r="G43" i="1"/>
  <c r="F43" i="1"/>
  <c r="E43" i="1"/>
  <c r="D43" i="1"/>
  <c r="C43" i="1"/>
  <c r="B43" i="1"/>
  <c r="G42" i="1"/>
  <c r="F42" i="1"/>
  <c r="E42" i="1"/>
  <c r="D42" i="1"/>
  <c r="C42" i="1"/>
  <c r="B42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1" i="1"/>
  <c r="F31" i="1"/>
  <c r="E31" i="1"/>
  <c r="D31" i="1"/>
  <c r="C31" i="1"/>
  <c r="B31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D24" i="1"/>
  <c r="C24" i="1"/>
  <c r="B24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5" i="1"/>
  <c r="F15" i="1"/>
  <c r="E15" i="1"/>
  <c r="D15" i="1"/>
  <c r="C15" i="1"/>
  <c r="B15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8" i="1"/>
  <c r="F8" i="1"/>
  <c r="E8" i="1"/>
  <c r="D8" i="1"/>
  <c r="C8" i="1"/>
  <c r="B8" i="1"/>
  <c r="G7" i="1"/>
  <c r="F7" i="1"/>
  <c r="E7" i="1"/>
  <c r="D7" i="1"/>
  <c r="C7" i="1"/>
  <c r="B7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<sst xmlns="http://schemas.openxmlformats.org/spreadsheetml/2006/main" count="65" uniqueCount="25">
  <si>
    <t>(N=5730)</t>
  </si>
  <si>
    <t>M0</t>
  </si>
  <si>
    <t>M1</t>
  </si>
  <si>
    <t>M2</t>
  </si>
  <si>
    <t>M3</t>
  </si>
  <si>
    <t>M4</t>
  </si>
  <si>
    <t>M5</t>
  </si>
  <si>
    <t>Exposure 
(Standardized)</t>
  </si>
  <si>
    <t>b[CI95]</t>
  </si>
  <si>
    <t>Global Cognition</t>
  </si>
  <si>
    <t>Aβ42/40</t>
  </si>
  <si>
    <r>
      <t>p</t>
    </r>
    <r>
      <rPr>
        <sz val="11"/>
        <color rgb="FF000000"/>
        <rFont val="Arial"/>
        <family val="2"/>
      </rPr>
      <t>-value</t>
    </r>
  </si>
  <si>
    <t>pTau-181</t>
  </si>
  <si>
    <t>NfL</t>
  </si>
  <si>
    <t>GFAP</t>
  </si>
  <si>
    <t>B-SEVLT-Sum</t>
  </si>
  <si>
    <t>B-SEVLT-Recall</t>
  </si>
  <si>
    <t>Word Fluency</t>
  </si>
  <si>
    <t>Digit Symbol Substitution</t>
  </si>
  <si>
    <t xml:space="preserve">Note 1: Results are derived from survey-weighted linear regression models using data from SOL-INCA (unweighted n = 5,730). </t>
  </si>
  <si>
    <t>Note 2: Global cognition score is average of z-scored domain-specific cognitive test scores (M[SD]=-0.00[0.79]).</t>
  </si>
  <si>
    <t>Note 3: Plasma biomarkers were z-scored prior to modeling to allow interpretation of the regression coefficients per one SD change in the plasma biomarkers</t>
  </si>
  <si>
    <t>Note 4: M0 is an unadjusted model; M1 is adjusted for age; M2 is additionally adjusted for sex, education, Hispanic/Latino background, and field center; M3 is additionally adjusted for BMI, diabetes, hypertension, and dyslipidemia; M4 is additionally adjusted for CKD; and M5 is additionally adjusted for APOE ε4 genotype.</t>
  </si>
  <si>
    <t xml:space="preserve">Note 5: Values near zero may appear as ±0.00.  </t>
  </si>
  <si>
    <r>
      <t xml:space="preserve">Abbreviations: Aβ = amyloid-beta, </t>
    </r>
    <r>
      <rPr>
        <sz val="11"/>
        <color rgb="FF000000"/>
        <rFont val="Arial"/>
        <family val="2"/>
      </rPr>
      <t>b = regression coefficient</t>
    </r>
    <r>
      <rPr>
        <sz val="11"/>
        <color theme="1"/>
        <rFont val="Arial"/>
        <family val="2"/>
      </rPr>
      <t>, B-SEVLT = Brief-Spanish English Verbal Learning Test, CI = confidence interval, GFAP = glial fibrillary acidic protein, NfL= neurofilament light, pTau = phosphorylated tau, SD = standard deviations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</si>
</sst>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1"/>
      <color theme="1" tint="0.499984740745262"/>
      <name val="Arial"/>
      <family val="2"/>
    </font>
    <font>
      <b/>
      <sz val="12"/>
      <color theme="1"/>
      <name val="Arial"/>
      <family val="2"/>
    </font>
    <font>
      <sz val="12"/>
      <color theme="1" tint="0.499984740745262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/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C3DE-D2FB-3C4A-BF23-D686398806BC}">
  <dimension ref="A2:P57"/>
  <sheetViews>
    <sheetView tabSelected="1" zoomScale="85" zoomScaleNormal="85" workbookViewId="0">
      <selection sqref="A1:XFD1"/>
    </sheetView>
  </sheetViews>
  <sheetFormatPr baseColWidth="10" defaultColWidth="9.1640625" defaultRowHeight="14" x14ac:dyDescent="0.15"/>
  <cols>
    <col min="1" max="1" width="14.6640625" style="2" customWidth="1"/>
    <col min="2" max="7" width="20.33203125" style="2" bestFit="1" customWidth="1"/>
    <col min="8" max="8" width="9.1640625" style="2"/>
    <col min="9" max="9" width="30.5" style="2" bestFit="1" customWidth="1"/>
    <col min="10" max="12" width="20.33203125" style="2" bestFit="1" customWidth="1"/>
    <col min="13" max="13" width="4" style="2" customWidth="1"/>
    <col min="14" max="15" width="20.33203125" style="2" bestFit="1" customWidth="1"/>
    <col min="16" max="16384" width="9.1640625" style="2"/>
  </cols>
  <sheetData>
    <row r="2" spans="1:16" ht="16" x14ac:dyDescent="0.2">
      <c r="A2" s="3" t="s">
        <v>0</v>
      </c>
      <c r="B2" s="4"/>
      <c r="C2" s="4"/>
      <c r="D2" s="4"/>
      <c r="E2" s="4"/>
      <c r="F2" s="4"/>
      <c r="G2" s="4"/>
      <c r="I2" s="5"/>
    </row>
    <row r="3" spans="1:16" ht="16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16" ht="30" x14ac:dyDescent="0.15">
      <c r="A4" s="8" t="s">
        <v>7</v>
      </c>
      <c r="B4" s="9" t="s">
        <v>8</v>
      </c>
      <c r="C4" s="9" t="s">
        <v>8</v>
      </c>
      <c r="D4" s="9" t="s">
        <v>8</v>
      </c>
      <c r="E4" s="9" t="s">
        <v>8</v>
      </c>
      <c r="F4" s="9" t="s">
        <v>8</v>
      </c>
      <c r="G4" s="9" t="s">
        <v>8</v>
      </c>
      <c r="I4" s="10"/>
      <c r="J4" s="10"/>
      <c r="K4" s="10"/>
      <c r="L4" s="10"/>
      <c r="M4" s="10"/>
      <c r="N4" s="10"/>
      <c r="O4" s="10"/>
      <c r="P4" s="10"/>
    </row>
    <row r="5" spans="1:16" x14ac:dyDescent="0.15">
      <c r="A5" s="1"/>
      <c r="B5" s="20" t="s">
        <v>9</v>
      </c>
      <c r="C5" s="20"/>
      <c r="D5" s="20"/>
      <c r="E5" s="20"/>
      <c r="F5" s="20"/>
      <c r="G5" s="20"/>
      <c r="I5" s="10"/>
      <c r="J5" s="10"/>
      <c r="K5" s="10"/>
      <c r="L5" s="10"/>
      <c r="M5" s="10"/>
      <c r="N5" s="10"/>
      <c r="O5" s="10"/>
      <c r="P5" s="10"/>
    </row>
    <row r="6" spans="1:16" x14ac:dyDescent="0.15">
      <c r="A6" s="11" t="s">
        <v>10</v>
      </c>
      <c r="B6" s="12" t="str">
        <f>"0.06 [0.03;0.09]"</f>
        <v>0.06 [0.03;0.09]</v>
      </c>
      <c r="C6" s="12" t="str">
        <f>"0.02 [-0.01;0.05]"</f>
        <v>0.02 [-0.01;0.05]</v>
      </c>
      <c r="D6" s="12" t="str">
        <f>"0.03 [-0.00;0.05]"</f>
        <v>0.03 [-0.00;0.05]</v>
      </c>
      <c r="E6" s="12" t="str">
        <f>"0.02 [-0.00;0.05]"</f>
        <v>0.02 [-0.00;0.05]</v>
      </c>
      <c r="F6" s="12" t="str">
        <f>"0.02 [-0.01;0.04]"</f>
        <v>0.02 [-0.01;0.04]</v>
      </c>
      <c r="G6" s="12" t="str">
        <f>"0.02 [-0.01;0.04]"</f>
        <v>0.02 [-0.01;0.04]</v>
      </c>
    </row>
    <row r="7" spans="1:16" x14ac:dyDescent="0.15">
      <c r="A7" s="13" t="s">
        <v>11</v>
      </c>
      <c r="B7" s="14">
        <f>0.000145</f>
        <v>1.45E-4</v>
      </c>
      <c r="C7" s="12">
        <f>0.262</f>
        <v>0.26200000000000001</v>
      </c>
      <c r="D7" s="15">
        <f>0.0548</f>
        <v>5.4800000000000001E-2</v>
      </c>
      <c r="E7" s="12">
        <f>0.111</f>
        <v>0.111</v>
      </c>
      <c r="F7" s="12">
        <f>0.187</f>
        <v>0.187</v>
      </c>
      <c r="G7" s="12">
        <f>0.177</f>
        <v>0.17699999999999999</v>
      </c>
      <c r="I7" s="10"/>
      <c r="J7" s="10"/>
      <c r="K7" s="10"/>
      <c r="L7" s="10"/>
      <c r="M7" s="10"/>
      <c r="N7" s="10"/>
      <c r="O7" s="10"/>
      <c r="P7" s="10"/>
    </row>
    <row r="8" spans="1:16" x14ac:dyDescent="0.15">
      <c r="A8" s="11" t="s">
        <v>12</v>
      </c>
      <c r="B8" s="12" t="str">
        <f>"-0.16 [-0.19;-0.12]"</f>
        <v>-0.16 [-0.19;-0.12]</v>
      </c>
      <c r="C8" s="12" t="str">
        <f>"-0.05 [-0.09;-0.02]"</f>
        <v>-0.05 [-0.09;-0.02]</v>
      </c>
      <c r="D8" s="12" t="str">
        <f>"-0.05 [-0.07;-0.02]"</f>
        <v>-0.05 [-0.07;-0.02]</v>
      </c>
      <c r="E8" s="12" t="str">
        <f>"-0.04 [-0.07;-0.02]"</f>
        <v>-0.04 [-0.07;-0.02]</v>
      </c>
      <c r="F8" s="12" t="str">
        <f>"-0.04 [-0.07;-0.01]"</f>
        <v>-0.04 [-0.07;-0.01]</v>
      </c>
      <c r="G8" s="12" t="str">
        <f>"-0.04 [-0.07;-0.01]"</f>
        <v>-0.04 [-0.07;-0.01]</v>
      </c>
      <c r="I8" s="10"/>
      <c r="J8" s="10"/>
      <c r="K8" s="10"/>
      <c r="L8" s="10"/>
      <c r="M8" s="10"/>
      <c r="N8" s="10"/>
      <c r="O8" s="10"/>
      <c r="P8" s="10"/>
    </row>
    <row r="9" spans="1:16" x14ac:dyDescent="0.15">
      <c r="A9" s="13" t="s">
        <v>11</v>
      </c>
      <c r="B9" s="12">
        <f>2.46E-19</f>
        <v>2.4599999999999998E-19</v>
      </c>
      <c r="C9" s="15">
        <f>0.000582</f>
        <v>5.8200000000000005E-4</v>
      </c>
      <c r="D9" s="15">
        <f>0.00133</f>
        <v>1.33E-3</v>
      </c>
      <c r="E9" s="15">
        <f>0.00185</f>
        <v>1.8500000000000001E-3</v>
      </c>
      <c r="F9" s="15">
        <f>0.00788</f>
        <v>7.8799999999999999E-3</v>
      </c>
      <c r="G9" s="15">
        <f>0.00738</f>
        <v>7.3800000000000003E-3</v>
      </c>
    </row>
    <row r="10" spans="1:16" x14ac:dyDescent="0.15">
      <c r="A10" s="11" t="s">
        <v>13</v>
      </c>
      <c r="B10" s="12" t="str">
        <f>"-0.18 [-0.21;-0.15]"</f>
        <v>-0.18 [-0.21;-0.15]</v>
      </c>
      <c r="C10" s="12" t="str">
        <f>"-0.06 [-0.09;-0.03]"</f>
        <v>-0.06 [-0.09;-0.03]</v>
      </c>
      <c r="D10" s="12" t="str">
        <f>"-0.05 [-0.08;-0.03]"</f>
        <v>-0.05 [-0.08;-0.03]</v>
      </c>
      <c r="E10" s="12" t="str">
        <f>"-0.05 [-0.08;-0.02]"</f>
        <v>-0.05 [-0.08;-0.02]</v>
      </c>
      <c r="F10" s="12" t="str">
        <f>"-0.04 [-0.07;-0.01]"</f>
        <v>-0.04 [-0.07;-0.01]</v>
      </c>
      <c r="G10" s="12" t="str">
        <f>"-0.04 [-0.07;-0.01]"</f>
        <v>-0.04 [-0.07;-0.01]</v>
      </c>
      <c r="I10" s="10"/>
      <c r="J10" s="10"/>
      <c r="K10" s="10"/>
      <c r="L10" s="10"/>
      <c r="M10" s="10"/>
      <c r="N10" s="10"/>
      <c r="O10" s="10"/>
      <c r="P10" s="10"/>
    </row>
    <row r="11" spans="1:16" x14ac:dyDescent="0.15">
      <c r="A11" s="13" t="s">
        <v>11</v>
      </c>
      <c r="B11" s="12">
        <f>8.54E-27</f>
        <v>8.5399999999999999E-27</v>
      </c>
      <c r="C11" s="14">
        <f>0.000349</f>
        <v>3.4900000000000003E-4</v>
      </c>
      <c r="D11" s="14">
        <f>0.0000914</f>
        <v>9.1399999999999999E-5</v>
      </c>
      <c r="E11" s="14">
        <f>0.000382</f>
        <v>3.8200000000000002E-4</v>
      </c>
      <c r="F11" s="15">
        <f>0.00646</f>
        <v>6.4599999999999996E-3</v>
      </c>
      <c r="G11" s="15">
        <f>0.00642</f>
        <v>6.4200000000000004E-3</v>
      </c>
      <c r="I11" s="10"/>
      <c r="J11" s="10"/>
      <c r="K11" s="10"/>
      <c r="L11" s="10"/>
      <c r="M11" s="10"/>
      <c r="N11" s="10"/>
      <c r="O11" s="10"/>
      <c r="P11" s="10"/>
    </row>
    <row r="12" spans="1:16" x14ac:dyDescent="0.15">
      <c r="A12" s="11" t="s">
        <v>14</v>
      </c>
      <c r="B12" s="12" t="str">
        <f>"-0.17 [-0.20;-0.13]"</f>
        <v>-0.17 [-0.20;-0.13]</v>
      </c>
      <c r="C12" s="12" t="str">
        <f>"-0.01 [-0.05;0.03]"</f>
        <v>-0.01 [-0.05;0.03]</v>
      </c>
      <c r="D12" s="12" t="str">
        <f>"-0.03 [-0.07;0.00]"</f>
        <v>-0.03 [-0.07;0.00]</v>
      </c>
      <c r="E12" s="12" t="str">
        <f>"-0.04 [-0.07;-0.00]"</f>
        <v>-0.04 [-0.07;-0.00]</v>
      </c>
      <c r="F12" s="12" t="str">
        <f>"-0.03 [-0.07;0.00]"</f>
        <v>-0.03 [-0.07;0.00]</v>
      </c>
      <c r="G12" s="12" t="str">
        <f>"-0.03 [-0.07;0.00]"</f>
        <v>-0.03 [-0.07;0.00]</v>
      </c>
    </row>
    <row r="13" spans="1:16" x14ac:dyDescent="0.15">
      <c r="A13" s="13" t="s">
        <v>11</v>
      </c>
      <c r="B13" s="12">
        <f>1.78E-18</f>
        <v>1.7800000000000002E-18</v>
      </c>
      <c r="C13" s="12">
        <f>0.629</f>
        <v>0.629</v>
      </c>
      <c r="D13" s="15">
        <f>0.0579</f>
        <v>5.79E-2</v>
      </c>
      <c r="E13" s="15">
        <f>0.0274</f>
        <v>2.7400000000000001E-2</v>
      </c>
      <c r="F13" s="15">
        <f>0.0768</f>
        <v>7.6799999999999993E-2</v>
      </c>
      <c r="G13" s="15">
        <f>0.0719</f>
        <v>7.1900000000000006E-2</v>
      </c>
      <c r="I13" s="10"/>
      <c r="J13" s="10"/>
      <c r="K13" s="10"/>
      <c r="L13" s="10"/>
      <c r="M13" s="10"/>
      <c r="N13" s="10"/>
      <c r="O13" s="10"/>
      <c r="P13" s="10"/>
    </row>
    <row r="14" spans="1:16" ht="16" x14ac:dyDescent="0.2">
      <c r="A14" s="16"/>
      <c r="B14" s="20" t="s">
        <v>15</v>
      </c>
      <c r="C14" s="20"/>
      <c r="D14" s="20"/>
      <c r="E14" s="20"/>
      <c r="F14" s="20"/>
      <c r="G14" s="20"/>
      <c r="I14" s="10"/>
      <c r="J14" s="10"/>
      <c r="K14" s="10"/>
      <c r="L14" s="10"/>
      <c r="M14" s="10"/>
      <c r="N14" s="10"/>
      <c r="O14" s="10"/>
      <c r="P14" s="10"/>
    </row>
    <row r="15" spans="1:16" x14ac:dyDescent="0.15">
      <c r="A15" s="11" t="s">
        <v>10</v>
      </c>
      <c r="B15" s="12" t="str">
        <f>"0.06 [0.02;0.10]"</f>
        <v>0.06 [0.02;0.10]</v>
      </c>
      <c r="C15" s="12" t="str">
        <f>"0.02 [-0.02;0.06]"</f>
        <v>0.02 [-0.02;0.06]</v>
      </c>
      <c r="D15" s="12" t="str">
        <f>"0.03 [-0.01;0.07]"</f>
        <v>0.03 [-0.01;0.07]</v>
      </c>
      <c r="E15" s="12" t="str">
        <f>"0.03 [-0.01;0.06]"</f>
        <v>0.03 [-0.01;0.06]</v>
      </c>
      <c r="F15" s="12" t="str">
        <f>"0.02 [-0.01;0.06]"</f>
        <v>0.02 [-0.01;0.06]</v>
      </c>
      <c r="G15" s="12" t="str">
        <f>"0.02 [-0.01;0.06]"</f>
        <v>0.02 [-0.01;0.06]</v>
      </c>
    </row>
    <row r="16" spans="1:16" x14ac:dyDescent="0.15">
      <c r="A16" s="13" t="s">
        <v>11</v>
      </c>
      <c r="B16" s="15">
        <f>0.00165</f>
        <v>1.65E-3</v>
      </c>
      <c r="C16" s="12">
        <f>0.326</f>
        <v>0.32600000000000001</v>
      </c>
      <c r="D16" s="15">
        <f>0.0927</f>
        <v>9.2700000000000005E-2</v>
      </c>
      <c r="E16" s="12">
        <f>0.125</f>
        <v>0.125</v>
      </c>
      <c r="F16" s="12">
        <f>0.213</f>
        <v>0.21299999999999999</v>
      </c>
      <c r="G16" s="12">
        <f>0.233</f>
        <v>0.23300000000000001</v>
      </c>
      <c r="I16" s="10"/>
      <c r="J16" s="10"/>
      <c r="K16" s="10"/>
      <c r="L16" s="10"/>
      <c r="M16" s="10"/>
      <c r="N16" s="10"/>
      <c r="O16" s="10"/>
      <c r="P16" s="10"/>
    </row>
    <row r="17" spans="1:16" x14ac:dyDescent="0.15">
      <c r="A17" s="11" t="s">
        <v>12</v>
      </c>
      <c r="B17" s="12" t="str">
        <f>"-0.20 [-0.24;-0.16]"</f>
        <v>-0.20 [-0.24;-0.16]</v>
      </c>
      <c r="C17" s="12" t="str">
        <f>"-0.09 [-0.13;-0.05]"</f>
        <v>-0.09 [-0.13;-0.05]</v>
      </c>
      <c r="D17" s="12" t="str">
        <f>"-0.07 [-0.11;-0.03]"</f>
        <v>-0.07 [-0.11;-0.03]</v>
      </c>
      <c r="E17" s="12" t="str">
        <f>"-0.07 [-0.11;-0.03]"</f>
        <v>-0.07 [-0.11;-0.03]</v>
      </c>
      <c r="F17" s="12" t="str">
        <f>"-0.06 [-0.10;-0.02]"</f>
        <v>-0.06 [-0.10;-0.02]</v>
      </c>
      <c r="G17" s="12" t="str">
        <f>"-0.06 [-0.10;-0.02]"</f>
        <v>-0.06 [-0.10;-0.02]</v>
      </c>
      <c r="I17" s="10"/>
      <c r="J17" s="10"/>
      <c r="K17" s="10"/>
      <c r="L17" s="10"/>
      <c r="M17" s="10"/>
      <c r="N17" s="10"/>
      <c r="O17" s="10"/>
      <c r="P17" s="10"/>
    </row>
    <row r="18" spans="1:16" x14ac:dyDescent="0.15">
      <c r="A18" s="13" t="s">
        <v>11</v>
      </c>
      <c r="B18" s="12">
        <f>1.08E-19</f>
        <v>1.08E-19</v>
      </c>
      <c r="C18" s="14">
        <f>0.00000458</f>
        <v>4.5800000000000002E-6</v>
      </c>
      <c r="D18" s="14">
        <f>0.000485</f>
        <v>4.8500000000000003E-4</v>
      </c>
      <c r="E18" s="15">
        <f>0.000544</f>
        <v>5.44E-4</v>
      </c>
      <c r="F18" s="15">
        <f>0.00235</f>
        <v>2.3500000000000001E-3</v>
      </c>
      <c r="G18" s="15">
        <f>0.00244</f>
        <v>2.4399999999999999E-3</v>
      </c>
    </row>
    <row r="19" spans="1:16" x14ac:dyDescent="0.15">
      <c r="A19" s="11" t="s">
        <v>13</v>
      </c>
      <c r="B19" s="12" t="str">
        <f>"-0.21 [-0.25;-0.17]"</f>
        <v>-0.21 [-0.25;-0.17]</v>
      </c>
      <c r="C19" s="12" t="str">
        <f>"-0.08 [-0.12;-0.04]"</f>
        <v>-0.08 [-0.12;-0.04]</v>
      </c>
      <c r="D19" s="12" t="str">
        <f>"-0.07 [-0.11;-0.03]"</f>
        <v>-0.07 [-0.11;-0.03]</v>
      </c>
      <c r="E19" s="12" t="str">
        <f>"-0.07 [-0.11;-0.02]"</f>
        <v>-0.07 [-0.11;-0.02]</v>
      </c>
      <c r="F19" s="12" t="str">
        <f>"-0.05 [-0.10;-0.01]"</f>
        <v>-0.05 [-0.10;-0.01]</v>
      </c>
      <c r="G19" s="12" t="str">
        <f>"-0.05 [-0.10;-0.01]"</f>
        <v>-0.05 [-0.10;-0.01]</v>
      </c>
      <c r="I19" s="10"/>
      <c r="J19" s="10"/>
      <c r="K19" s="10"/>
      <c r="L19" s="10"/>
      <c r="M19" s="10"/>
      <c r="N19" s="10"/>
      <c r="O19" s="10"/>
      <c r="P19" s="10"/>
    </row>
    <row r="20" spans="1:16" x14ac:dyDescent="0.15">
      <c r="A20" s="13" t="s">
        <v>11</v>
      </c>
      <c r="B20" s="12">
        <f>4.3E-22</f>
        <v>4.3000000000000004E-22</v>
      </c>
      <c r="C20" s="14">
        <f>0.000116</f>
        <v>1.16E-4</v>
      </c>
      <c r="D20" s="15">
        <f>0.000753</f>
        <v>7.5299999999999998E-4</v>
      </c>
      <c r="E20" s="15">
        <f>0.00168</f>
        <v>1.6800000000000001E-3</v>
      </c>
      <c r="F20" s="15">
        <f>0.0148</f>
        <v>1.4800000000000001E-2</v>
      </c>
      <c r="G20" s="12">
        <f>0.015</f>
        <v>1.4999999999999999E-2</v>
      </c>
      <c r="I20" s="10"/>
      <c r="J20" s="10"/>
      <c r="K20" s="10"/>
      <c r="L20" s="10"/>
      <c r="M20" s="10"/>
      <c r="N20" s="10"/>
      <c r="O20" s="10"/>
      <c r="P20" s="10"/>
    </row>
    <row r="21" spans="1:16" x14ac:dyDescent="0.15">
      <c r="A21" s="11" t="s">
        <v>14</v>
      </c>
      <c r="B21" s="12" t="str">
        <f>"-0.20 [-0.25;-0.15]"</f>
        <v>-0.20 [-0.25;-0.15]</v>
      </c>
      <c r="C21" s="12" t="str">
        <f>"-0.03 [-0.08;0.02]"</f>
        <v>-0.03 [-0.08;0.02]</v>
      </c>
      <c r="D21" s="12" t="str">
        <f>"-0.07 [-0.12;-0.02]"</f>
        <v>-0.07 [-0.12;-0.02]</v>
      </c>
      <c r="E21" s="12" t="str">
        <f>"-0.07 [-0.12;-0.02]"</f>
        <v>-0.07 [-0.12;-0.02]</v>
      </c>
      <c r="F21" s="12" t="str">
        <f>"-0.06 [-0.11;-0.02]"</f>
        <v>-0.06 [-0.11;-0.02]</v>
      </c>
      <c r="G21" s="12" t="str">
        <f>"-0.06 [-0.11;-0.01]"</f>
        <v>-0.06 [-0.11;-0.01]</v>
      </c>
    </row>
    <row r="22" spans="1:16" x14ac:dyDescent="0.15">
      <c r="A22" s="13" t="s">
        <v>11</v>
      </c>
      <c r="B22" s="12">
        <f>0.00000000000000359</f>
        <v>3.5900000000000004E-15</v>
      </c>
      <c r="C22" s="12">
        <f>0.175</f>
        <v>0.17499999999999999</v>
      </c>
      <c r="D22" s="15">
        <f>0.00477</f>
        <v>4.7699999999999999E-3</v>
      </c>
      <c r="E22" s="15">
        <f>0.00295</f>
        <v>2.9499999999999999E-3</v>
      </c>
      <c r="F22" s="15">
        <f>0.0097</f>
        <v>9.7000000000000003E-3</v>
      </c>
      <c r="G22" s="12">
        <f>0.011</f>
        <v>1.0999999999999999E-2</v>
      </c>
      <c r="I22" s="10"/>
      <c r="J22" s="10"/>
      <c r="K22" s="10"/>
      <c r="L22" s="10"/>
      <c r="M22" s="10"/>
      <c r="N22" s="10"/>
      <c r="O22" s="10"/>
      <c r="P22" s="10"/>
    </row>
    <row r="23" spans="1:16" ht="16" x14ac:dyDescent="0.2">
      <c r="A23" s="16"/>
      <c r="B23" s="20" t="s">
        <v>16</v>
      </c>
      <c r="C23" s="20"/>
      <c r="D23" s="20"/>
      <c r="E23" s="20"/>
      <c r="F23" s="20"/>
      <c r="G23" s="20"/>
      <c r="I23" s="10"/>
      <c r="J23" s="10"/>
      <c r="K23" s="10"/>
      <c r="L23" s="10"/>
      <c r="M23" s="10"/>
      <c r="N23" s="10"/>
      <c r="O23" s="10"/>
      <c r="P23" s="10"/>
    </row>
    <row r="24" spans="1:16" x14ac:dyDescent="0.15">
      <c r="A24" s="11" t="s">
        <v>10</v>
      </c>
      <c r="B24" s="12" t="str">
        <f>"0.05 [0.00;0.09]"</f>
        <v>0.05 [0.00;0.09]</v>
      </c>
      <c r="C24" s="12" t="str">
        <f>"0.00 [-0.04;0.04]"</f>
        <v>0.00 [-0.04;0.04]</v>
      </c>
      <c r="D24" s="12" t="str">
        <f>"0.01 [-0.03;0.05]"</f>
        <v>0.01 [-0.03;0.05]</v>
      </c>
      <c r="E24" s="12" t="str">
        <f>"0.01 [-0.03;0.05]"</f>
        <v>0.01 [-0.03;0.05]</v>
      </c>
      <c r="F24" s="12" t="str">
        <f>"0.00 [-0.04;0.04]"</f>
        <v>0.00 [-0.04;0.04]</v>
      </c>
      <c r="G24" s="12" t="str">
        <f>"0.00 [-0.04;0.04]"</f>
        <v>0.00 [-0.04;0.04]</v>
      </c>
    </row>
    <row r="25" spans="1:16" x14ac:dyDescent="0.15">
      <c r="A25" s="13" t="s">
        <v>11</v>
      </c>
      <c r="B25" s="15">
        <f>0.0309</f>
        <v>3.09E-2</v>
      </c>
      <c r="C25" s="12">
        <f>0.887</f>
        <v>0.88700000000000001</v>
      </c>
      <c r="D25" s="12">
        <f>0.674</f>
        <v>0.67400000000000004</v>
      </c>
      <c r="E25" s="12">
        <f>0.754</f>
        <v>0.754</v>
      </c>
      <c r="F25" s="12">
        <f>0.961</f>
        <v>0.96099999999999997</v>
      </c>
      <c r="G25" s="12">
        <f>0.997</f>
        <v>0.997</v>
      </c>
      <c r="I25" s="10"/>
      <c r="J25" s="10"/>
      <c r="K25" s="10"/>
      <c r="L25" s="10"/>
      <c r="M25" s="10"/>
      <c r="N25" s="10"/>
      <c r="O25" s="10"/>
      <c r="P25" s="10"/>
    </row>
    <row r="26" spans="1:16" x14ac:dyDescent="0.15">
      <c r="A26" s="11" t="s">
        <v>12</v>
      </c>
      <c r="B26" s="12" t="str">
        <f>"-0.19 [-0.23;-0.14]"</f>
        <v>-0.19 [-0.23;-0.14]</v>
      </c>
      <c r="C26" s="12" t="str">
        <f>"-0.08 [-0.12;-0.04]"</f>
        <v>-0.08 [-0.12;-0.04]</v>
      </c>
      <c r="D26" s="12" t="str">
        <f>"-0.06 [-0.10;-0.02]"</f>
        <v>-0.06 [-0.10;-0.02]</v>
      </c>
      <c r="E26" s="12" t="str">
        <f>"-0.06 [-0.10;-0.02]"</f>
        <v>-0.06 [-0.10;-0.02]</v>
      </c>
      <c r="F26" s="12" t="str">
        <f>"-0.05 [-0.09;-0.01]"</f>
        <v>-0.05 [-0.09;-0.01]</v>
      </c>
      <c r="G26" s="12" t="str">
        <f>"-0.05 [-0.09;-0.01]"</f>
        <v>-0.05 [-0.09;-0.01]</v>
      </c>
      <c r="I26" s="10"/>
      <c r="J26" s="10"/>
      <c r="K26" s="10"/>
      <c r="L26" s="10"/>
      <c r="M26" s="10"/>
      <c r="N26" s="10"/>
      <c r="O26" s="10"/>
      <c r="P26" s="10"/>
    </row>
    <row r="27" spans="1:16" x14ac:dyDescent="0.15">
      <c r="A27" s="13" t="s">
        <v>11</v>
      </c>
      <c r="B27" s="12">
        <f>4.75E-18</f>
        <v>4.7500000000000001E-18</v>
      </c>
      <c r="C27" s="14">
        <f>0.0000544</f>
        <v>5.4400000000000001E-5</v>
      </c>
      <c r="D27" s="15">
        <f>0.00362</f>
        <v>3.62E-3</v>
      </c>
      <c r="E27" s="15">
        <f>0.00334</f>
        <v>3.3400000000000001E-3</v>
      </c>
      <c r="F27" s="15">
        <f>0.0131</f>
        <v>1.3100000000000001E-2</v>
      </c>
      <c r="G27" s="12">
        <f>0.015</f>
        <v>1.4999999999999999E-2</v>
      </c>
    </row>
    <row r="28" spans="1:16" x14ac:dyDescent="0.15">
      <c r="A28" s="11" t="s">
        <v>13</v>
      </c>
      <c r="B28" s="12" t="str">
        <f>"-0.19 [-0.24;-0.15]"</f>
        <v>-0.19 [-0.24;-0.15]</v>
      </c>
      <c r="C28" s="12" t="str">
        <f>"-0.06 [-0.11;-0.02]"</f>
        <v>-0.06 [-0.11;-0.02]</v>
      </c>
      <c r="D28" s="12" t="str">
        <f>"-0.05 [-0.09;-0.01]"</f>
        <v>-0.05 [-0.09;-0.01]</v>
      </c>
      <c r="E28" s="12" t="str">
        <f>"-0.04 [-0.09;-0.00]"</f>
        <v>-0.04 [-0.09;-0.00]</v>
      </c>
      <c r="F28" s="12" t="str">
        <f>"-0.03 [-0.08;0.01]"</f>
        <v>-0.03 [-0.08;0.01]</v>
      </c>
      <c r="G28" s="12" t="str">
        <f>"-0.03 [-0.07;0.01]"</f>
        <v>-0.03 [-0.07;0.01]</v>
      </c>
      <c r="I28" s="10"/>
      <c r="J28" s="10"/>
      <c r="K28" s="10"/>
      <c r="L28" s="10"/>
      <c r="M28" s="10"/>
      <c r="N28" s="10"/>
      <c r="O28" s="10"/>
      <c r="P28" s="10"/>
    </row>
    <row r="29" spans="1:16" x14ac:dyDescent="0.15">
      <c r="A29" s="13" t="s">
        <v>11</v>
      </c>
      <c r="B29" s="12">
        <f>2.45E-18</f>
        <v>2.4500000000000001E-18</v>
      </c>
      <c r="C29" s="15">
        <f>0.00324</f>
        <v>3.2399999999999998E-3</v>
      </c>
      <c r="D29" s="15">
        <f>0.0125</f>
        <v>1.2500000000000001E-2</v>
      </c>
      <c r="E29" s="15">
        <f>0.0428</f>
        <v>4.2799999999999998E-2</v>
      </c>
      <c r="F29" s="15">
        <f>0.188</f>
        <v>0.188</v>
      </c>
      <c r="G29" s="15">
        <f>0.19</f>
        <v>0.19</v>
      </c>
      <c r="I29" s="10"/>
      <c r="J29" s="10"/>
      <c r="K29" s="10"/>
      <c r="L29" s="10"/>
      <c r="M29" s="10"/>
      <c r="N29" s="10"/>
      <c r="O29" s="10"/>
      <c r="P29" s="10"/>
    </row>
    <row r="30" spans="1:16" x14ac:dyDescent="0.15">
      <c r="A30" s="11" t="s">
        <v>14</v>
      </c>
      <c r="B30" s="12" t="str">
        <f>"-0.19 [-0.24;-0.15]"</f>
        <v>-0.19 [-0.24;-0.15]</v>
      </c>
      <c r="C30" s="12" t="str">
        <f>"-0.03 [-0.08;0.01]"</f>
        <v>-0.03 [-0.08;0.01]</v>
      </c>
      <c r="D30" s="12" t="str">
        <f>"-0.06 [-0.10;-0.01]"</f>
        <v>-0.06 [-0.10;-0.01]</v>
      </c>
      <c r="E30" s="12" t="str">
        <f>"-0.05 [-0.10;-0.01]"</f>
        <v>-0.05 [-0.10;-0.01]</v>
      </c>
      <c r="F30" s="12" t="str">
        <f>"-0.05 [-0.09;0.00]"</f>
        <v>-0.05 [-0.09;0.00]</v>
      </c>
      <c r="G30" s="12" t="str">
        <f>"-0.05 [-0.09;0.00]"</f>
        <v>-0.05 [-0.09;0.00]</v>
      </c>
    </row>
    <row r="31" spans="1:16" x14ac:dyDescent="0.15">
      <c r="A31" s="13" t="s">
        <v>11</v>
      </c>
      <c r="B31" s="12">
        <f>0.00000000000000704</f>
        <v>7.04E-15</v>
      </c>
      <c r="C31" s="12">
        <f>0.173</f>
        <v>0.17299999999999999</v>
      </c>
      <c r="D31" s="15">
        <f>0.0211</f>
        <v>2.1100000000000001E-2</v>
      </c>
      <c r="E31" s="15">
        <f>0.0209</f>
        <v>2.0899999999999998E-2</v>
      </c>
      <c r="F31" s="15">
        <f>0.055</f>
        <v>5.5E-2</v>
      </c>
      <c r="G31" s="15">
        <f>0.0639</f>
        <v>6.3899999999999998E-2</v>
      </c>
    </row>
    <row r="32" spans="1:16" ht="16" x14ac:dyDescent="0.2">
      <c r="A32" s="16"/>
      <c r="B32" s="20" t="s">
        <v>17</v>
      </c>
      <c r="C32" s="20"/>
      <c r="D32" s="20"/>
      <c r="E32" s="20"/>
      <c r="F32" s="20"/>
      <c r="G32" s="20"/>
    </row>
    <row r="33" spans="1:7" x14ac:dyDescent="0.15">
      <c r="A33" s="11" t="s">
        <v>10</v>
      </c>
      <c r="B33" s="12" t="str">
        <f>"0.06 [0.02;0.10]"</f>
        <v>0.06 [0.02;0.10]</v>
      </c>
      <c r="C33" s="12" t="str">
        <f>"0.04 [-0.00;0.08]"</f>
        <v>0.04 [-0.00;0.08]</v>
      </c>
      <c r="D33" s="12" t="str">
        <f>"0.04 [0.01;0.08]"</f>
        <v>0.04 [0.01;0.08]</v>
      </c>
      <c r="E33" s="12" t="str">
        <f>"0.04 [0.00;0.08]"</f>
        <v>0.04 [0.00;0.08]</v>
      </c>
      <c r="F33" s="12" t="str">
        <f>"0.04 [-0.00;0.07]"</f>
        <v>0.04 [-0.00;0.07]</v>
      </c>
      <c r="G33" s="12" t="str">
        <f>"0.04 [0.00;0.07]"</f>
        <v>0.04 [0.00;0.07]</v>
      </c>
    </row>
    <row r="34" spans="1:7" x14ac:dyDescent="0.15">
      <c r="A34" s="13" t="s">
        <v>11</v>
      </c>
      <c r="B34" s="15">
        <f>0.00686</f>
        <v>6.8599999999999998E-3</v>
      </c>
      <c r="C34" s="15">
        <f>0.072</f>
        <v>7.1999999999999995E-2</v>
      </c>
      <c r="D34" s="15">
        <f>0.0192</f>
        <v>1.9199999999999998E-2</v>
      </c>
      <c r="E34" s="15">
        <f>0.0498</f>
        <v>4.9799999999999997E-2</v>
      </c>
      <c r="F34" s="15">
        <f>0.062</f>
        <v>6.2E-2</v>
      </c>
      <c r="G34" s="15">
        <f>0.041</f>
        <v>4.1000000000000002E-2</v>
      </c>
    </row>
    <row r="35" spans="1:7" x14ac:dyDescent="0.15">
      <c r="A35" s="11" t="s">
        <v>12</v>
      </c>
      <c r="B35" s="12" t="str">
        <f>"-0.07 [-0.11;-0.02]"</f>
        <v>-0.07 [-0.11;-0.02]</v>
      </c>
      <c r="C35" s="12" t="str">
        <f>"-0.02 [-0.06;0.03]"</f>
        <v>-0.02 [-0.06;0.03]</v>
      </c>
      <c r="D35" s="12" t="str">
        <f>"-0.02 [-0.06;0.02]"</f>
        <v>-0.02 [-0.06;0.02]</v>
      </c>
      <c r="E35" s="12" t="str">
        <f>"-0.02 [-0.06;0.02]"</f>
        <v>-0.02 [-0.06;0.02]</v>
      </c>
      <c r="F35" s="12" t="str">
        <f>"-0.01 [-0.06;0.03]"</f>
        <v>-0.01 [-0.06;0.03]</v>
      </c>
      <c r="G35" s="12" t="str">
        <f>"-0.02 [-0.06;0.03]"</f>
        <v>-0.02 [-0.06;0.03]</v>
      </c>
    </row>
    <row r="36" spans="1:7" x14ac:dyDescent="0.15">
      <c r="A36" s="13" t="s">
        <v>11</v>
      </c>
      <c r="B36" s="15">
        <f>0.00277</f>
        <v>2.7699999999999999E-3</v>
      </c>
      <c r="C36" s="15">
        <f>0.454</f>
        <v>0.45400000000000001</v>
      </c>
      <c r="D36" s="15">
        <f>0.32</f>
        <v>0.32</v>
      </c>
      <c r="E36" s="15">
        <f>0.386</f>
        <v>0.38600000000000001</v>
      </c>
      <c r="F36" s="15">
        <f>0.53</f>
        <v>0.53</v>
      </c>
      <c r="G36" s="15">
        <f>0.452</f>
        <v>0.45200000000000001</v>
      </c>
    </row>
    <row r="37" spans="1:7" x14ac:dyDescent="0.15">
      <c r="A37" s="11" t="s">
        <v>13</v>
      </c>
      <c r="B37" s="12" t="str">
        <f>"-0.08 [-0.12;-0.04]"</f>
        <v>-0.08 [-0.12;-0.04]</v>
      </c>
      <c r="C37" s="12" t="str">
        <f>"-0.01 [-0.06;0.03]"</f>
        <v>-0.01 [-0.06;0.03]</v>
      </c>
      <c r="D37" s="12" t="str">
        <f>"-0.02 [-0.06;0.02]"</f>
        <v>-0.02 [-0.06;0.02]</v>
      </c>
      <c r="E37" s="12" t="str">
        <f>"-0.02 [-0.06;0.02]"</f>
        <v>-0.02 [-0.06;0.02]</v>
      </c>
      <c r="F37" s="12" t="str">
        <f>"-0.01 [-0.05;0.03]"</f>
        <v>-0.01 [-0.05;0.03]</v>
      </c>
      <c r="G37" s="12" t="str">
        <f>"-0.01 [-0.05;0.03]"</f>
        <v>-0.01 [-0.05;0.03]</v>
      </c>
    </row>
    <row r="38" spans="1:7" x14ac:dyDescent="0.15">
      <c r="A38" s="13" t="s">
        <v>11</v>
      </c>
      <c r="B38" s="14">
        <f>0.000267</f>
        <v>2.6699999999999998E-4</v>
      </c>
      <c r="C38" s="15">
        <f>0.528</f>
        <v>0.52800000000000002</v>
      </c>
      <c r="D38" s="15">
        <f>0.413</f>
        <v>0.41299999999999998</v>
      </c>
      <c r="E38" s="15">
        <f>0.429</f>
        <v>0.42899999999999999</v>
      </c>
      <c r="F38" s="15">
        <f>0.685</f>
        <v>0.68500000000000005</v>
      </c>
      <c r="G38" s="15">
        <f>0.67</f>
        <v>0.67</v>
      </c>
    </row>
    <row r="39" spans="1:7" x14ac:dyDescent="0.15">
      <c r="A39" s="11" t="s">
        <v>14</v>
      </c>
      <c r="B39" s="12" t="str">
        <f>"-0.06 [-0.11;-0.02]"</f>
        <v>-0.06 [-0.11;-0.02]</v>
      </c>
      <c r="C39" s="12" t="str">
        <f>"0.02 [-0.03;0.07]"</f>
        <v>0.02 [-0.03;0.07]</v>
      </c>
      <c r="D39" s="12" t="str">
        <f>"0.01 [-0.04;0.05]"</f>
        <v>0.01 [-0.04;0.05]</v>
      </c>
      <c r="E39" s="12" t="str">
        <f>"-0.01 [-0.05;0.04]"</f>
        <v>-0.01 [-0.05;0.04]</v>
      </c>
      <c r="F39" s="12" t="str">
        <f>"-0.00 [-0.04;0.04]"</f>
        <v>-0.00 [-0.04;0.04]</v>
      </c>
      <c r="G39" s="12" t="str">
        <f>"-0.00 [-0.05;0.04]"</f>
        <v>-0.00 [-0.05;0.04]</v>
      </c>
    </row>
    <row r="40" spans="1:7" x14ac:dyDescent="0.15">
      <c r="A40" s="13" t="s">
        <v>11</v>
      </c>
      <c r="B40" s="15">
        <f>0.0042</f>
        <v>4.1999999999999997E-3</v>
      </c>
      <c r="C40" s="15">
        <f>0.402</f>
        <v>0.40200000000000002</v>
      </c>
      <c r="D40" s="15">
        <f>0.767</f>
        <v>0.76700000000000002</v>
      </c>
      <c r="E40" s="15">
        <f>0.799</f>
        <v>0.79900000000000004</v>
      </c>
      <c r="F40" s="15">
        <f>0.994</f>
        <v>0.99399999999999999</v>
      </c>
      <c r="G40" s="15">
        <f>0.855</f>
        <v>0.85499999999999998</v>
      </c>
    </row>
    <row r="41" spans="1:7" ht="16" x14ac:dyDescent="0.2">
      <c r="A41" s="16"/>
      <c r="B41" s="20" t="s">
        <v>18</v>
      </c>
      <c r="C41" s="20"/>
      <c r="D41" s="20"/>
      <c r="E41" s="20"/>
      <c r="F41" s="20"/>
      <c r="G41" s="20"/>
    </row>
    <row r="42" spans="1:7" x14ac:dyDescent="0.15">
      <c r="A42" s="11" t="s">
        <v>10</v>
      </c>
      <c r="B42" s="12" t="str">
        <f>"0.06 [0.03;0.10]"</f>
        <v>0.06 [0.03;0.10]</v>
      </c>
      <c r="C42" s="12" t="str">
        <f>"0.01 [-0.03;0.04]"</f>
        <v>0.01 [-0.03;0.04]</v>
      </c>
      <c r="D42" s="12" t="str">
        <f>"0.02 [-0.01;0.05]"</f>
        <v>0.02 [-0.01;0.05]</v>
      </c>
      <c r="E42" s="12" t="str">
        <f>"0.01 [-0.02;0.04]"</f>
        <v>0.01 [-0.02;0.04]</v>
      </c>
      <c r="F42" s="12" t="str">
        <f>"0.01 [-0.02;0.04]"</f>
        <v>0.01 [-0.02;0.04]</v>
      </c>
      <c r="G42" s="12" t="str">
        <f>"0.01 [-0.02;0.04]"</f>
        <v>0.01 [-0.02;0.04]</v>
      </c>
    </row>
    <row r="43" spans="1:7" x14ac:dyDescent="0.15">
      <c r="A43" s="13" t="s">
        <v>11</v>
      </c>
      <c r="B43" s="14">
        <f>0.000357</f>
        <v>3.57E-4</v>
      </c>
      <c r="C43" s="15">
        <f>0.659</f>
        <v>0.65900000000000003</v>
      </c>
      <c r="D43" s="15">
        <f>0.213</f>
        <v>0.21299999999999999</v>
      </c>
      <c r="E43" s="15">
        <f>0.354</f>
        <v>0.35399999999999998</v>
      </c>
      <c r="F43" s="15">
        <f>0.449</f>
        <v>0.44900000000000001</v>
      </c>
      <c r="G43" s="15">
        <f>0.42</f>
        <v>0.42</v>
      </c>
    </row>
    <row r="44" spans="1:7" x14ac:dyDescent="0.15">
      <c r="A44" s="11" t="s">
        <v>12</v>
      </c>
      <c r="B44" s="12" t="str">
        <f>"-0.18 [-0.22;-0.13]"</f>
        <v>-0.18 [-0.22;-0.13]</v>
      </c>
      <c r="C44" s="12" t="str">
        <f>"-0.03 [-0.07;0.01]"</f>
        <v>-0.03 [-0.07;0.01]</v>
      </c>
      <c r="D44" s="12" t="str">
        <f>"-0.04 [-0.08;-0.01]"</f>
        <v>-0.04 [-0.08;-0.01]</v>
      </c>
      <c r="E44" s="12" t="str">
        <f>"-0.04 [-0.07;-0.01]"</f>
        <v>-0.04 [-0.07;-0.01]</v>
      </c>
      <c r="F44" s="12" t="str">
        <f>"-0.03 [-0.07;-0.00]"</f>
        <v>-0.03 [-0.07;-0.00]</v>
      </c>
      <c r="G44" s="12" t="str">
        <f>"-0.03 [-0.07;-0.00]"</f>
        <v>-0.03 [-0.07;-0.00]</v>
      </c>
    </row>
    <row r="45" spans="1:7" x14ac:dyDescent="0.15">
      <c r="A45" s="13" t="s">
        <v>11</v>
      </c>
      <c r="B45" s="12">
        <f>0.0000000000000023</f>
        <v>2.2999999999999999E-15</v>
      </c>
      <c r="C45" s="15">
        <f>0.114</f>
        <v>0.114</v>
      </c>
      <c r="D45" s="15">
        <f>0.0114</f>
        <v>1.14E-2</v>
      </c>
      <c r="E45" s="15">
        <f>0.0204</f>
        <v>2.0400000000000001E-2</v>
      </c>
      <c r="F45" s="15">
        <f>0.0462</f>
        <v>4.6199999999999998E-2</v>
      </c>
      <c r="G45" s="15">
        <f>0.0415</f>
        <v>4.1500000000000002E-2</v>
      </c>
    </row>
    <row r="46" spans="1:7" x14ac:dyDescent="0.15">
      <c r="A46" s="11" t="s">
        <v>13</v>
      </c>
      <c r="B46" s="12" t="str">
        <f>"-0.24 [-0.28;-0.20]"</f>
        <v>-0.24 [-0.28;-0.20]</v>
      </c>
      <c r="C46" s="12" t="str">
        <f>"-0.07 [-0.11;-0.03]"</f>
        <v>-0.07 [-0.11;-0.03]</v>
      </c>
      <c r="D46" s="12" t="str">
        <f>"-0.09 [-0.12;-0.06]"</f>
        <v>-0.09 [-0.12;-0.06]</v>
      </c>
      <c r="E46" s="12" t="str">
        <f>"-0.08 [-0.11;-0.05]"</f>
        <v>-0.08 [-0.11;-0.05]</v>
      </c>
      <c r="F46" s="12" t="str">
        <f>"-0.07 [-0.11;-0.04]"</f>
        <v>-0.07 [-0.11;-0.04]</v>
      </c>
      <c r="G46" s="12" t="str">
        <f>"-0.07 [-0.11;-0.04]"</f>
        <v>-0.07 [-0.11;-0.04]</v>
      </c>
    </row>
    <row r="47" spans="1:7" x14ac:dyDescent="0.15">
      <c r="A47" s="13" t="s">
        <v>11</v>
      </c>
      <c r="B47" s="14">
        <f>2.11E-32</f>
        <v>2.11E-32</v>
      </c>
      <c r="C47" s="14">
        <f>0.000233</f>
        <v>2.33E-4</v>
      </c>
      <c r="D47" s="14">
        <f>0.0000000315</f>
        <v>3.1499999999999998E-8</v>
      </c>
      <c r="E47" s="14">
        <f>0.000000307</f>
        <v>3.0699999999999998E-7</v>
      </c>
      <c r="F47" s="14">
        <f>0.00000331</f>
        <v>3.3100000000000001E-6</v>
      </c>
      <c r="G47" s="14">
        <f>0.00000303</f>
        <v>3.0299999999999998E-6</v>
      </c>
    </row>
    <row r="48" spans="1:7" x14ac:dyDescent="0.15">
      <c r="A48" s="11" t="s">
        <v>14</v>
      </c>
      <c r="B48" s="12" t="str">
        <f>"-0.21 [-0.25;-0.17]"</f>
        <v>-0.21 [-0.25;-0.17]</v>
      </c>
      <c r="C48" s="12" t="str">
        <f>"0.01 [-0.03;0.06]"</f>
        <v>0.01 [-0.03;0.06]</v>
      </c>
      <c r="D48" s="12" t="str">
        <f>"-0.01 [-0.05;0.02]"</f>
        <v>-0.01 [-0.05;0.02]</v>
      </c>
      <c r="E48" s="12" t="str">
        <f>"-0.02 [-0.06;0.02]"</f>
        <v>-0.02 [-0.06;0.02]</v>
      </c>
      <c r="F48" s="12" t="str">
        <f>"-0.01 [-0.05;0.03]"</f>
        <v>-0.01 [-0.05;0.03]</v>
      </c>
      <c r="G48" s="12" t="str">
        <f>"-0.01 [-0.05;0.02]"</f>
        <v>-0.01 [-0.05;0.02]</v>
      </c>
    </row>
    <row r="49" spans="1:7" x14ac:dyDescent="0.15">
      <c r="A49" s="17" t="s">
        <v>11</v>
      </c>
      <c r="B49" s="18">
        <f>3.58E-20</f>
        <v>3.5800000000000003E-20</v>
      </c>
      <c r="C49" s="18">
        <f>0.569</f>
        <v>0.56899999999999995</v>
      </c>
      <c r="D49" s="18">
        <f>0.465</f>
        <v>0.46500000000000002</v>
      </c>
      <c r="E49" s="18">
        <f>0.321</f>
        <v>0.32100000000000001</v>
      </c>
      <c r="F49" s="18">
        <f>0.552</f>
        <v>0.55200000000000005</v>
      </c>
      <c r="G49" s="18">
        <f>0.514</f>
        <v>0.51400000000000001</v>
      </c>
    </row>
    <row r="52" spans="1:7" x14ac:dyDescent="0.15">
      <c r="A52" s="19" t="s">
        <v>19</v>
      </c>
    </row>
    <row r="53" spans="1:7" x14ac:dyDescent="0.15">
      <c r="A53" s="19" t="s">
        <v>20</v>
      </c>
    </row>
    <row r="54" spans="1:7" x14ac:dyDescent="0.15">
      <c r="A54" s="19" t="s">
        <v>21</v>
      </c>
    </row>
    <row r="55" spans="1:7" x14ac:dyDescent="0.15">
      <c r="A55" s="19" t="s">
        <v>22</v>
      </c>
    </row>
    <row r="56" spans="1:7" x14ac:dyDescent="0.15">
      <c r="A56" s="19" t="s">
        <v>23</v>
      </c>
    </row>
    <row r="57" spans="1:7" x14ac:dyDescent="0.15">
      <c r="A57" s="19" t="s">
        <v>24</v>
      </c>
    </row>
  </sheetData>
  <mergeCells count="5">
    <mergeCell ref="B5:G5"/>
    <mergeCell ref="B14:G14"/>
    <mergeCell ref="B23:G23"/>
    <mergeCell ref="B32:G32"/>
    <mergeCell ref="B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S7. NonLog; 3SD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</dc:creator>
  <cp:lastModifiedBy>Freddie</cp:lastModifiedBy>
  <dcterms:created xsi:type="dcterms:W3CDTF">2025-10-16T21:30:44Z</dcterms:created>
  <dcterms:modified xsi:type="dcterms:W3CDTF">2025-10-16T22:17:05Z</dcterms:modified>
</cp:coreProperties>
</file>