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eddiemarquez/Dropbox/_INCA_Postdoc/INCA_Freddie_Marquez/Manuscripts/Project 3 - Plasma ATN _cognition/submit/to journal/Comms Medicine/R3/submit/"/>
    </mc:Choice>
  </mc:AlternateContent>
  <xr:revisionPtr revIDLastSave="0" documentId="13_ncr:1_{41ED7A2A-2348-6E46-A1BF-C4CF1A6F0386}" xr6:coauthVersionLast="47" xr6:coauthVersionMax="47" xr10:uidLastSave="{00000000-0000-0000-0000-000000000000}"/>
  <bookViews>
    <workbookView xWindow="3480" yWindow="2560" windowWidth="27640" windowHeight="16940" xr2:uid="{F19B2098-A363-5544-8747-0E6425208C0A}"/>
  </bookViews>
  <sheets>
    <sheet name="S2. Main Associ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C5" i="1"/>
  <c r="D5" i="1"/>
  <c r="E5" i="1"/>
  <c r="F5" i="1"/>
  <c r="G5" i="1"/>
  <c r="B6" i="1"/>
  <c r="C6" i="1"/>
  <c r="D6" i="1"/>
  <c r="E6" i="1"/>
  <c r="F6" i="1"/>
  <c r="G6" i="1"/>
  <c r="B7" i="1"/>
  <c r="C7" i="1"/>
  <c r="D7" i="1"/>
  <c r="E7" i="1"/>
  <c r="F7" i="1"/>
  <c r="G7" i="1"/>
  <c r="B8" i="1"/>
  <c r="C8" i="1"/>
  <c r="D8" i="1"/>
  <c r="E8" i="1"/>
  <c r="F8" i="1"/>
  <c r="G8" i="1"/>
  <c r="B9" i="1"/>
  <c r="C9" i="1"/>
  <c r="D9" i="1"/>
  <c r="E9" i="1"/>
  <c r="F9" i="1"/>
  <c r="G9" i="1"/>
  <c r="B10" i="1"/>
  <c r="C10" i="1"/>
  <c r="D10" i="1"/>
  <c r="E10" i="1"/>
  <c r="F10" i="1"/>
  <c r="G10" i="1"/>
  <c r="B11" i="1"/>
  <c r="C11" i="1"/>
  <c r="D11" i="1"/>
  <c r="E11" i="1"/>
  <c r="F11" i="1"/>
  <c r="G11" i="1"/>
  <c r="B12" i="1"/>
  <c r="C12" i="1"/>
  <c r="D12" i="1"/>
  <c r="E12" i="1"/>
  <c r="F12" i="1"/>
  <c r="G12" i="1"/>
  <c r="B14" i="1"/>
  <c r="C14" i="1"/>
  <c r="D14" i="1"/>
  <c r="E14" i="1"/>
  <c r="F14" i="1"/>
  <c r="G14" i="1"/>
  <c r="B15" i="1"/>
  <c r="C15" i="1"/>
  <c r="D15" i="1"/>
  <c r="E15" i="1"/>
  <c r="F15" i="1"/>
  <c r="G15" i="1"/>
  <c r="B16" i="1"/>
  <c r="C16" i="1"/>
  <c r="D16" i="1"/>
  <c r="E16" i="1"/>
  <c r="F16" i="1"/>
  <c r="G16" i="1"/>
  <c r="B17" i="1"/>
  <c r="C17" i="1"/>
  <c r="D17" i="1"/>
  <c r="E17" i="1"/>
  <c r="F17" i="1"/>
  <c r="G17" i="1"/>
  <c r="B18" i="1"/>
  <c r="C18" i="1"/>
  <c r="D18" i="1"/>
  <c r="E18" i="1"/>
  <c r="F18" i="1"/>
  <c r="G18" i="1"/>
  <c r="B19" i="1"/>
  <c r="C19" i="1"/>
  <c r="D19" i="1"/>
  <c r="E19" i="1"/>
  <c r="F19" i="1"/>
  <c r="G19" i="1"/>
  <c r="B20" i="1"/>
  <c r="C20" i="1"/>
  <c r="D20" i="1"/>
  <c r="E20" i="1"/>
  <c r="F20" i="1"/>
  <c r="G20" i="1"/>
  <c r="B21" i="1"/>
  <c r="C21" i="1"/>
  <c r="D21" i="1"/>
  <c r="E21" i="1"/>
  <c r="F21" i="1"/>
  <c r="G21" i="1"/>
  <c r="B23" i="1"/>
  <c r="C23" i="1"/>
  <c r="D23" i="1"/>
  <c r="E23" i="1"/>
  <c r="F23" i="1"/>
  <c r="G23" i="1"/>
  <c r="B24" i="1"/>
  <c r="C24" i="1"/>
  <c r="D24" i="1"/>
  <c r="E24" i="1"/>
  <c r="F24" i="1"/>
  <c r="G24" i="1"/>
  <c r="B25" i="1"/>
  <c r="C25" i="1"/>
  <c r="D25" i="1"/>
  <c r="E25" i="1"/>
  <c r="F25" i="1"/>
  <c r="G25" i="1"/>
  <c r="B26" i="1"/>
  <c r="C26" i="1"/>
  <c r="D26" i="1"/>
  <c r="E26" i="1"/>
  <c r="F26" i="1"/>
  <c r="G26" i="1"/>
  <c r="B27" i="1"/>
  <c r="C27" i="1"/>
  <c r="D27" i="1"/>
  <c r="E27" i="1"/>
  <c r="F27" i="1"/>
  <c r="G27" i="1"/>
  <c r="B28" i="1"/>
  <c r="C28" i="1"/>
  <c r="D28" i="1"/>
  <c r="E28" i="1"/>
  <c r="F28" i="1"/>
  <c r="G28" i="1"/>
  <c r="B29" i="1"/>
  <c r="C29" i="1"/>
  <c r="D29" i="1"/>
  <c r="E29" i="1"/>
  <c r="F29" i="1"/>
  <c r="G29" i="1"/>
  <c r="B30" i="1"/>
  <c r="C30" i="1"/>
  <c r="D30" i="1"/>
  <c r="E30" i="1"/>
  <c r="F30" i="1"/>
  <c r="G30" i="1"/>
  <c r="B32" i="1"/>
  <c r="C32" i="1"/>
  <c r="D32" i="1"/>
  <c r="E32" i="1"/>
  <c r="F32" i="1"/>
  <c r="G32" i="1"/>
  <c r="B33" i="1"/>
  <c r="C33" i="1"/>
  <c r="D33" i="1"/>
  <c r="E33" i="1"/>
  <c r="F33" i="1"/>
  <c r="G33" i="1"/>
  <c r="B34" i="1"/>
  <c r="C34" i="1"/>
  <c r="D34" i="1"/>
  <c r="E34" i="1"/>
  <c r="F34" i="1"/>
  <c r="G34" i="1"/>
  <c r="B35" i="1"/>
  <c r="C35" i="1"/>
  <c r="D35" i="1"/>
  <c r="E35" i="1"/>
  <c r="F35" i="1"/>
  <c r="G35" i="1"/>
  <c r="B36" i="1"/>
  <c r="C36" i="1"/>
  <c r="D36" i="1"/>
  <c r="E36" i="1"/>
  <c r="F36" i="1"/>
  <c r="G36" i="1"/>
  <c r="B37" i="1"/>
  <c r="C37" i="1"/>
  <c r="D37" i="1"/>
  <c r="E37" i="1"/>
  <c r="F37" i="1"/>
  <c r="G37" i="1"/>
  <c r="B38" i="1"/>
  <c r="C38" i="1"/>
  <c r="D38" i="1"/>
  <c r="E38" i="1"/>
  <c r="F38" i="1"/>
  <c r="G38" i="1"/>
  <c r="B39" i="1"/>
  <c r="C39" i="1"/>
  <c r="D39" i="1"/>
  <c r="E39" i="1"/>
  <c r="F39" i="1"/>
  <c r="G39" i="1"/>
  <c r="B41" i="1"/>
  <c r="C41" i="1"/>
  <c r="D41" i="1"/>
  <c r="E41" i="1"/>
  <c r="F41" i="1"/>
  <c r="G41" i="1"/>
  <c r="B42" i="1"/>
  <c r="C42" i="1"/>
  <c r="D42" i="1"/>
  <c r="E42" i="1"/>
  <c r="F42" i="1"/>
  <c r="G42" i="1"/>
  <c r="B43" i="1"/>
  <c r="C43" i="1"/>
  <c r="D43" i="1"/>
  <c r="E43" i="1"/>
  <c r="F43" i="1"/>
  <c r="G43" i="1"/>
  <c r="B44" i="1"/>
  <c r="C44" i="1"/>
  <c r="D44" i="1"/>
  <c r="E44" i="1"/>
  <c r="F44" i="1"/>
  <c r="G44" i="1"/>
  <c r="B45" i="1"/>
  <c r="C45" i="1"/>
  <c r="D45" i="1"/>
  <c r="E45" i="1"/>
  <c r="F45" i="1"/>
  <c r="G45" i="1"/>
  <c r="B46" i="1"/>
  <c r="C46" i="1"/>
  <c r="D46" i="1"/>
  <c r="E46" i="1"/>
  <c r="F46" i="1"/>
  <c r="G46" i="1"/>
  <c r="B47" i="1"/>
  <c r="C47" i="1"/>
  <c r="D47" i="1"/>
  <c r="E47" i="1"/>
  <c r="F47" i="1"/>
  <c r="G47" i="1"/>
  <c r="B48" i="1"/>
  <c r="C48" i="1"/>
  <c r="D48" i="1"/>
  <c r="E48" i="1"/>
  <c r="F48" i="1"/>
  <c r="G48" i="1"/>
</calcChain>
</file>

<file path=xl/sharedStrings.xml><?xml version="1.0" encoding="utf-8"?>
<sst xmlns="http://schemas.openxmlformats.org/spreadsheetml/2006/main" count="62" uniqueCount="22">
  <si>
    <r>
      <t xml:space="preserve">Abbreviations: Aβ = amyloid-beta, </t>
    </r>
    <r>
      <rPr>
        <sz val="11"/>
        <color rgb="FF000000"/>
        <rFont val="Arial"/>
        <family val="2"/>
      </rPr>
      <t>b = regression coefficient</t>
    </r>
    <r>
      <rPr>
        <sz val="11"/>
        <color theme="1"/>
        <rFont val="Arial"/>
        <family val="2"/>
      </rPr>
      <t>, B-SEVLT = Brief-Spanish English Verbal Learning Test, CI = confidence interval, GFAP = glial fibrillary acidic protein, NfL= neurofilament light, pTau = phosphorylated tau</t>
    </r>
  </si>
  <si>
    <t xml:space="preserve">Note 4: Values near zero may appear as ±0.00.  </t>
  </si>
  <si>
    <t>Note 3: M0 is an unadjusted model; M1 is adjusted for age; M2 is additionally adjusted for sex, education, Hispanic/Latino background, and field center; M3 is additionally adjusted for BMI, diabetes, hypertension, and dyslipidemia; M4 is additionally adjusted for CKD; and M5 is additionally adjusted for APOE ε4 genotype.</t>
  </si>
  <si>
    <t>Note 2: Global cognition score is average of z-scored domain-specific cognitive test scores (M[SD]=-0.00[0.79]).</t>
  </si>
  <si>
    <t xml:space="preserve">Note 1: Results are derived from survey-weighted linear regression models using data from SOL-INCA (unweighted n = 5,730). </t>
  </si>
  <si>
    <t>p-value</t>
  </si>
  <si>
    <t>ln(GFAP)</t>
  </si>
  <si>
    <t>ln(NfL)</t>
  </si>
  <si>
    <t>ln(pTau-181)</t>
  </si>
  <si>
    <t>ln(Aβ42/40)</t>
  </si>
  <si>
    <t>Digit Symbol Substitution</t>
  </si>
  <si>
    <t>Word Fluency</t>
  </si>
  <si>
    <t>B-SEVLT-Recall</t>
  </si>
  <si>
    <t>B-SEVLT-Sum</t>
  </si>
  <si>
    <t>Global Cognition</t>
  </si>
  <si>
    <t>b[CI95]</t>
  </si>
  <si>
    <t>M5</t>
  </si>
  <si>
    <t>M4</t>
  </si>
  <si>
    <t>M3</t>
  </si>
  <si>
    <t>M2</t>
  </si>
  <si>
    <t>M1</t>
  </si>
  <si>
    <t>M0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</si>
</sst>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i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164" fontId="1" fillId="0" borderId="1" xfId="0" applyNumberFormat="1" applyFont="1" applyBorder="1" applyAlignment="1">
      <alignment horizontal="center"/>
    </xf>
    <xf numFmtId="11" fontId="1" fillId="0" borderId="1" xfId="0" applyNumberFormat="1" applyFont="1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1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0532F-17EF-1449-BD47-61C14F3995FC}">
  <dimension ref="A2:H55"/>
  <sheetViews>
    <sheetView tabSelected="1" workbookViewId="0">
      <selection sqref="A1:XFD1"/>
    </sheetView>
  </sheetViews>
  <sheetFormatPr baseColWidth="10" defaultRowHeight="15" x14ac:dyDescent="0.2"/>
  <cols>
    <col min="1" max="1" width="14.83203125" style="1" customWidth="1"/>
    <col min="2" max="7" width="17.6640625" style="1" bestFit="1" customWidth="1"/>
    <col min="8" max="8" width="10.83203125" style="1"/>
  </cols>
  <sheetData>
    <row r="2" spans="1:7" x14ac:dyDescent="0.2">
      <c r="B2" s="9" t="s">
        <v>21</v>
      </c>
      <c r="C2" s="9" t="s">
        <v>20</v>
      </c>
      <c r="D2" s="9" t="s">
        <v>19</v>
      </c>
      <c r="E2" s="9" t="s">
        <v>18</v>
      </c>
      <c r="F2" s="9" t="s">
        <v>17</v>
      </c>
      <c r="G2" s="9" t="s">
        <v>16</v>
      </c>
    </row>
    <row r="3" spans="1:7" x14ac:dyDescent="0.2">
      <c r="B3" s="11" t="s">
        <v>15</v>
      </c>
      <c r="C3" s="11" t="s">
        <v>15</v>
      </c>
      <c r="D3" s="11" t="s">
        <v>15</v>
      </c>
      <c r="E3" s="11" t="s">
        <v>15</v>
      </c>
      <c r="F3" s="11" t="s">
        <v>15</v>
      </c>
      <c r="G3" s="11" t="s">
        <v>15</v>
      </c>
    </row>
    <row r="4" spans="1:7" x14ac:dyDescent="0.2">
      <c r="B4" s="12" t="s">
        <v>14</v>
      </c>
      <c r="C4" s="12"/>
      <c r="D4" s="12"/>
      <c r="E4" s="12"/>
      <c r="F4" s="12"/>
      <c r="G4" s="12"/>
    </row>
    <row r="5" spans="1:7" x14ac:dyDescent="0.2">
      <c r="A5" s="2" t="s">
        <v>9</v>
      </c>
      <c r="B5" s="6" t="str">
        <f>"0.27 [0.14;0.41]"</f>
        <v>0.27 [0.14;0.41]</v>
      </c>
      <c r="C5" s="6" t="str">
        <f>"0.10 [-0.04;0.23]"</f>
        <v>0.10 [-0.04;0.23]</v>
      </c>
      <c r="D5" s="6" t="str">
        <f>"0.13 [0.01;0.24]"</f>
        <v>0.13 [0.01;0.24]</v>
      </c>
      <c r="E5" s="6" t="str">
        <f>"0.11 [-0.01;0.23]"</f>
        <v>0.11 [-0.01;0.23]</v>
      </c>
      <c r="F5" s="6" t="str">
        <f>"0.09 [-0.03;0.21]"</f>
        <v>0.09 [-0.03;0.21]</v>
      </c>
      <c r="G5" s="6" t="str">
        <f>"0.09 [-0.03;0.21]"</f>
        <v>0.09 [-0.03;0.21]</v>
      </c>
    </row>
    <row r="6" spans="1:7" x14ac:dyDescent="0.2">
      <c r="A6" s="5" t="s">
        <v>5</v>
      </c>
      <c r="B6" s="7">
        <f>0.000116</f>
        <v>1.16E-4</v>
      </c>
      <c r="C6" s="8">
        <f>0.159</f>
        <v>0.159</v>
      </c>
      <c r="D6" s="8">
        <f>0.038</f>
        <v>3.7999999999999999E-2</v>
      </c>
      <c r="E6" s="8">
        <f>0.0829</f>
        <v>8.2900000000000001E-2</v>
      </c>
      <c r="F6" s="8">
        <f>0.147</f>
        <v>0.14699999999999999</v>
      </c>
      <c r="G6" s="8">
        <f>0.138</f>
        <v>0.13800000000000001</v>
      </c>
    </row>
    <row r="7" spans="1:7" x14ac:dyDescent="0.2">
      <c r="A7" s="2" t="s">
        <v>8</v>
      </c>
      <c r="B7" s="6" t="str">
        <f>"-0.29 [-0.36;-0.23]"</f>
        <v>-0.29 [-0.36;-0.23]</v>
      </c>
      <c r="C7" s="6" t="str">
        <f>"-0.09 [-0.15;-0.03]"</f>
        <v>-0.09 [-0.15;-0.03]</v>
      </c>
      <c r="D7" s="6" t="str">
        <f>"-0.08 [-0.13;-0.03]"</f>
        <v>-0.08 [-0.13;-0.03]</v>
      </c>
      <c r="E7" s="6" t="str">
        <f>"-0.08 [-0.13;-0.02]"</f>
        <v>-0.08 [-0.13;-0.02]</v>
      </c>
      <c r="F7" s="6" t="str">
        <f>"-0.06 [-0.12;-0.01]"</f>
        <v>-0.06 [-0.12;-0.01]</v>
      </c>
      <c r="G7" s="6" t="str">
        <f>"-0.06 [-0.12;-0.01]"</f>
        <v>-0.06 [-0.12;-0.01]</v>
      </c>
    </row>
    <row r="8" spans="1:7" x14ac:dyDescent="0.2">
      <c r="A8" s="5" t="s">
        <v>5</v>
      </c>
      <c r="B8" s="7">
        <f>0.0000000000000000658</f>
        <v>6.5800000000000004E-17</v>
      </c>
      <c r="C8" s="8">
        <f>0.00352</f>
        <v>3.5200000000000001E-3</v>
      </c>
      <c r="D8" s="8">
        <f>0.00251</f>
        <v>2.5100000000000001E-3</v>
      </c>
      <c r="E8" s="8">
        <f>0.00562</f>
        <v>5.62E-3</v>
      </c>
      <c r="F8" s="8">
        <f>0.0235</f>
        <v>2.35E-2</v>
      </c>
      <c r="G8" s="8">
        <f>0.0224</f>
        <v>2.24E-2</v>
      </c>
    </row>
    <row r="9" spans="1:7" x14ac:dyDescent="0.2">
      <c r="A9" s="2" t="s">
        <v>7</v>
      </c>
      <c r="B9" s="6" t="str">
        <f>"-0.34 [-0.41;-0.28]"</f>
        <v>-0.34 [-0.41;-0.28]</v>
      </c>
      <c r="C9" s="6" t="str">
        <f>"-0.10 [-0.16;-0.04]"</f>
        <v>-0.10 [-0.16;-0.04]</v>
      </c>
      <c r="D9" s="6" t="str">
        <f>"-0.10 [-0.15;-0.05]"</f>
        <v>-0.10 [-0.15;-0.05]</v>
      </c>
      <c r="E9" s="6" t="str">
        <f>"-0.09 [-0.14;-0.04]"</f>
        <v>-0.09 [-0.14;-0.04]</v>
      </c>
      <c r="F9" s="6" t="str">
        <f>"-0.07 [-0.12;-0.02]"</f>
        <v>-0.07 [-0.12;-0.02]</v>
      </c>
      <c r="G9" s="6" t="str">
        <f>"-0.07 [-0.12;-0.02]"</f>
        <v>-0.07 [-0.12;-0.02]</v>
      </c>
    </row>
    <row r="10" spans="1:7" x14ac:dyDescent="0.2">
      <c r="A10" s="5" t="s">
        <v>5</v>
      </c>
      <c r="B10" s="7">
        <f>5.07E-24</f>
        <v>5.07E-24</v>
      </c>
      <c r="C10" s="8">
        <f>0.00111</f>
        <v>1.1100000000000001E-3</v>
      </c>
      <c r="D10" s="7">
        <f>0.000075</f>
        <v>7.4999999999999993E-5</v>
      </c>
      <c r="E10" s="7">
        <f>0.000333</f>
        <v>3.3300000000000002E-4</v>
      </c>
      <c r="F10" s="8">
        <f>0.00487</f>
        <v>4.8700000000000002E-3</v>
      </c>
      <c r="G10" s="8">
        <f>0.00483</f>
        <v>4.8300000000000001E-3</v>
      </c>
    </row>
    <row r="11" spans="1:7" x14ac:dyDescent="0.2">
      <c r="A11" s="2" t="s">
        <v>6</v>
      </c>
      <c r="B11" s="6" t="str">
        <f>"-0.31 [-0.38;-0.24]"</f>
        <v>-0.31 [-0.38;-0.24]</v>
      </c>
      <c r="C11" s="6" t="str">
        <f>"0.02 [-0.05;0.09]"</f>
        <v>0.02 [-0.05;0.09]</v>
      </c>
      <c r="D11" s="6" t="str">
        <f>"-0.04 [-0.10;0.03]"</f>
        <v>-0.04 [-0.10;0.03]</v>
      </c>
      <c r="E11" s="6" t="str">
        <f>"-0.05 [-0.11;0.02]"</f>
        <v>-0.05 [-0.11;0.02]</v>
      </c>
      <c r="F11" s="6" t="str">
        <f>"-0.03 [-0.10;0.04]"</f>
        <v>-0.03 [-0.10;0.04]</v>
      </c>
      <c r="G11" s="6" t="str">
        <f>"-0.03 [-0.10;0.04]"</f>
        <v>-0.03 [-0.10;0.04]</v>
      </c>
    </row>
    <row r="12" spans="1:7" x14ac:dyDescent="0.2">
      <c r="A12" s="5" t="s">
        <v>5</v>
      </c>
      <c r="B12" s="7">
        <f>0.000000000000000105</f>
        <v>1.0500000000000001E-16</v>
      </c>
      <c r="C12" s="8">
        <f>0.511</f>
        <v>0.51100000000000001</v>
      </c>
      <c r="D12" s="8">
        <f>0.291</f>
        <v>0.29099999999999998</v>
      </c>
      <c r="E12" s="8">
        <f>0.176</f>
        <v>0.17599999999999999</v>
      </c>
      <c r="F12" s="8">
        <f>0.371</f>
        <v>0.371</v>
      </c>
      <c r="G12" s="8">
        <f>0.362</f>
        <v>0.36199999999999999</v>
      </c>
    </row>
    <row r="13" spans="1:7" x14ac:dyDescent="0.2">
      <c r="A13" s="10"/>
      <c r="B13" s="12" t="s">
        <v>13</v>
      </c>
      <c r="C13" s="12"/>
      <c r="D13" s="12"/>
      <c r="E13" s="12"/>
      <c r="F13" s="12"/>
      <c r="G13" s="12"/>
    </row>
    <row r="14" spans="1:7" x14ac:dyDescent="0.2">
      <c r="A14" s="2" t="s">
        <v>9</v>
      </c>
      <c r="B14" s="6" t="str">
        <f>"0.31 [0.13;0.49]"</f>
        <v>0.31 [0.13;0.49]</v>
      </c>
      <c r="C14" s="6" t="str">
        <f>"0.12 [-0.05;0.30]"</f>
        <v>0.12 [-0.05;0.30]</v>
      </c>
      <c r="D14" s="6" t="str">
        <f>"0.16 [0.00;0.32]"</f>
        <v>0.16 [0.00;0.32]</v>
      </c>
      <c r="E14" s="6" t="str">
        <f>"0.15 [-0.01;0.31]"</f>
        <v>0.15 [-0.01;0.31]</v>
      </c>
      <c r="F14" s="6" t="str">
        <f>"0.13 [-0.04;0.29]"</f>
        <v>0.13 [-0.04;0.29]</v>
      </c>
      <c r="G14" s="6" t="str">
        <f>"0.12 [-0.04;0.28]"</f>
        <v>0.12 [-0.04;0.28]</v>
      </c>
    </row>
    <row r="15" spans="1:7" x14ac:dyDescent="0.2">
      <c r="A15" s="5" t="s">
        <v>5</v>
      </c>
      <c r="B15" s="8">
        <f>0.000742</f>
        <v>7.4200000000000004E-4</v>
      </c>
      <c r="C15" s="8">
        <f>0.175</f>
        <v>0.17499999999999999</v>
      </c>
      <c r="D15" s="8">
        <f>0.0447</f>
        <v>4.4699999999999997E-2</v>
      </c>
      <c r="E15" s="8">
        <f>0.0671</f>
        <v>6.7100000000000007E-2</v>
      </c>
      <c r="F15" s="8">
        <f>0.129</f>
        <v>0.129</v>
      </c>
      <c r="G15" s="8">
        <f>0.142</f>
        <v>0.14199999999999999</v>
      </c>
    </row>
    <row r="16" spans="1:7" x14ac:dyDescent="0.2">
      <c r="A16" s="2" t="s">
        <v>8</v>
      </c>
      <c r="B16" s="6" t="str">
        <f>"-0.36 [-0.44;-0.28]"</f>
        <v>-0.36 [-0.44;-0.28]</v>
      </c>
      <c r="C16" s="6" t="str">
        <f>"-0.14 [-0.22;-0.07]"</f>
        <v>-0.14 [-0.22;-0.07]</v>
      </c>
      <c r="D16" s="6" t="str">
        <f>"-0.10 [-0.17;-0.03]"</f>
        <v>-0.10 [-0.17;-0.03]</v>
      </c>
      <c r="E16" s="6" t="str">
        <f>"-0.10 [-0.17;-0.03]"</f>
        <v>-0.10 [-0.17;-0.03]</v>
      </c>
      <c r="F16" s="6" t="str">
        <f>"-0.09 [-0.16;-0.01]"</f>
        <v>-0.09 [-0.16;-0.01]</v>
      </c>
      <c r="G16" s="6" t="str">
        <f>"-0.09 [-0.16;-0.01]"</f>
        <v>-0.09 [-0.16;-0.01]</v>
      </c>
    </row>
    <row r="17" spans="1:7" x14ac:dyDescent="0.2">
      <c r="A17" s="5" t="s">
        <v>5</v>
      </c>
      <c r="B17" s="7">
        <f>3.27E-18</f>
        <v>3.2699999999999999E-18</v>
      </c>
      <c r="C17" s="7">
        <f>0.0000695</f>
        <v>6.9499999999999995E-5</v>
      </c>
      <c r="D17" s="8">
        <f>0.0039</f>
        <v>3.8999999999999998E-3</v>
      </c>
      <c r="E17" s="8">
        <f>0.00567</f>
        <v>5.6699999999999997E-3</v>
      </c>
      <c r="F17" s="8">
        <f>0.0201</f>
        <v>2.01E-2</v>
      </c>
      <c r="G17" s="8">
        <f>0.0213</f>
        <v>2.1299999999999999E-2</v>
      </c>
    </row>
    <row r="18" spans="1:7" x14ac:dyDescent="0.2">
      <c r="A18" s="2" t="s">
        <v>7</v>
      </c>
      <c r="B18" s="6" t="str">
        <f>"-0.40 [-0.47;-0.32]"</f>
        <v>-0.40 [-0.47;-0.32]</v>
      </c>
      <c r="C18" s="6" t="str">
        <f>"-0.14 [-0.22;-0.07]"</f>
        <v>-0.14 [-0.22;-0.07]</v>
      </c>
      <c r="D18" s="6" t="str">
        <f>"-0.11 [-0.18;-0.04]"</f>
        <v>-0.11 [-0.18;-0.04]</v>
      </c>
      <c r="E18" s="6" t="str">
        <f>"-0.10 [-0.17;-0.03]"</f>
        <v>-0.10 [-0.17;-0.03]</v>
      </c>
      <c r="F18" s="6" t="str">
        <f>"-0.08 [-0.15;-0.01]"</f>
        <v>-0.08 [-0.15;-0.01]</v>
      </c>
      <c r="G18" s="6" t="str">
        <f>"-0.08 [-0.15;-0.01]"</f>
        <v>-0.08 [-0.15;-0.01]</v>
      </c>
    </row>
    <row r="19" spans="1:7" x14ac:dyDescent="0.2">
      <c r="A19" s="5" t="s">
        <v>5</v>
      </c>
      <c r="B19" s="7">
        <f>3.1E-21</f>
        <v>3.0999999999999998E-21</v>
      </c>
      <c r="C19" s="7">
        <f>0.000273</f>
        <v>2.7300000000000002E-4</v>
      </c>
      <c r="D19" s="8">
        <f>0.0015</f>
        <v>1.5E-3</v>
      </c>
      <c r="E19" s="8">
        <f>0.00463</f>
        <v>4.6299999999999996E-3</v>
      </c>
      <c r="F19" s="8">
        <f>0.0276</f>
        <v>2.76E-2</v>
      </c>
      <c r="G19" s="8">
        <f>0.0291</f>
        <v>2.9100000000000001E-2</v>
      </c>
    </row>
    <row r="20" spans="1:7" x14ac:dyDescent="0.2">
      <c r="A20" s="2" t="s">
        <v>6</v>
      </c>
      <c r="B20" s="6" t="str">
        <f>"-0.37 [-0.47;-0.27]"</f>
        <v>-0.37 [-0.47;-0.27]</v>
      </c>
      <c r="C20" s="6" t="str">
        <f>"-0.02 [-0.11;0.08]"</f>
        <v>-0.02 [-0.11;0.08]</v>
      </c>
      <c r="D20" s="6" t="str">
        <f>"-0.10 [-0.19;-0.01]"</f>
        <v>-0.10 [-0.19;-0.01]</v>
      </c>
      <c r="E20" s="6" t="str">
        <f>"-0.10 [-0.20;-0.01]"</f>
        <v>-0.10 [-0.20;-0.01]</v>
      </c>
      <c r="F20" s="6" t="str">
        <f>"-0.09 [-0.18;0.01]"</f>
        <v>-0.09 [-0.18;0.01]</v>
      </c>
      <c r="G20" s="6" t="str">
        <f>"-0.09 [-0.18;0.01]"</f>
        <v>-0.09 [-0.18;0.01]</v>
      </c>
    </row>
    <row r="21" spans="1:7" x14ac:dyDescent="0.2">
      <c r="A21" s="5" t="s">
        <v>5</v>
      </c>
      <c r="B21" s="7">
        <f>0.000000000000323</f>
        <v>3.2299999999999999E-13</v>
      </c>
      <c r="C21" s="8">
        <f>0.732</f>
        <v>0.73199999999999998</v>
      </c>
      <c r="D21" s="8">
        <f>0.0352</f>
        <v>3.5200000000000002E-2</v>
      </c>
      <c r="E21" s="8">
        <f>0.0266</f>
        <v>2.6599999999999999E-2</v>
      </c>
      <c r="F21" s="8">
        <f>0.0647</f>
        <v>6.4699999999999994E-2</v>
      </c>
      <c r="G21" s="8">
        <f>0.0743</f>
        <v>7.4300000000000005E-2</v>
      </c>
    </row>
    <row r="22" spans="1:7" x14ac:dyDescent="0.2">
      <c r="A22" s="10"/>
      <c r="B22" s="12" t="s">
        <v>12</v>
      </c>
      <c r="C22" s="12"/>
      <c r="D22" s="12"/>
      <c r="E22" s="12"/>
      <c r="F22" s="12"/>
      <c r="G22" s="12"/>
    </row>
    <row r="23" spans="1:7" x14ac:dyDescent="0.2">
      <c r="A23" s="2" t="s">
        <v>9</v>
      </c>
      <c r="B23" s="6" t="str">
        <f>"0.22 [0.03;0.40]"</f>
        <v>0.22 [0.03;0.40]</v>
      </c>
      <c r="C23" s="6" t="str">
        <f>"0.03 [-0.15;0.21]"</f>
        <v>0.03 [-0.15;0.21]</v>
      </c>
      <c r="D23" s="6" t="str">
        <f>"0.04 [-0.13;0.21]"</f>
        <v>0.04 [-0.13;0.21]</v>
      </c>
      <c r="E23" s="6" t="str">
        <f>"0.03 [-0.15;0.21]"</f>
        <v>0.03 [-0.15;0.21]</v>
      </c>
      <c r="F23" s="6" t="str">
        <f>"0.01 [-0.17;0.18]"</f>
        <v>0.01 [-0.17;0.18]</v>
      </c>
      <c r="G23" s="6" t="str">
        <f>"0.00 [-0.18;0.18]"</f>
        <v>0.00 [-0.18;0.18]</v>
      </c>
    </row>
    <row r="24" spans="1:7" x14ac:dyDescent="0.2">
      <c r="A24" s="5" t="s">
        <v>5</v>
      </c>
      <c r="B24" s="8">
        <f>0.0243</f>
        <v>2.4299999999999999E-2</v>
      </c>
      <c r="C24" s="8">
        <f>0.768</f>
        <v>0.76800000000000002</v>
      </c>
      <c r="D24" s="8">
        <f>0.62</f>
        <v>0.62</v>
      </c>
      <c r="E24" s="8">
        <f>0.722</f>
        <v>0.72199999999999998</v>
      </c>
      <c r="F24" s="8">
        <f>0.949</f>
        <v>0.94899999999999995</v>
      </c>
      <c r="G24" s="8">
        <f>0.986</f>
        <v>0.98599999999999999</v>
      </c>
    </row>
    <row r="25" spans="1:7" x14ac:dyDescent="0.2">
      <c r="A25" s="2" t="s">
        <v>8</v>
      </c>
      <c r="B25" s="6" t="str">
        <f>"-0.36 [-0.45;-0.28]"</f>
        <v>-0.36 [-0.45;-0.28]</v>
      </c>
      <c r="C25" s="6" t="str">
        <f>"-0.16 [-0.24;-0.08]"</f>
        <v>-0.16 [-0.24;-0.08]</v>
      </c>
      <c r="D25" s="6" t="str">
        <f>"-0.11 [-0.19;-0.03]"</f>
        <v>-0.11 [-0.19;-0.03]</v>
      </c>
      <c r="E25" s="6" t="str">
        <f>"-0.11 [-0.19;-0.03]"</f>
        <v>-0.11 [-0.19;-0.03]</v>
      </c>
      <c r="F25" s="6" t="str">
        <f>"-0.09 [-0.17;-0.02]"</f>
        <v>-0.09 [-0.17;-0.02]</v>
      </c>
      <c r="G25" s="6" t="str">
        <f>"-0.09 [-0.17;-0.01]"</f>
        <v>-0.09 [-0.17;-0.01]</v>
      </c>
    </row>
    <row r="26" spans="1:7" x14ac:dyDescent="0.2">
      <c r="A26" s="5" t="s">
        <v>5</v>
      </c>
      <c r="B26" s="7">
        <f>0.000000000000000037</f>
        <v>3.6999999999999997E-17</v>
      </c>
      <c r="C26" s="7">
        <f>0.000143</f>
        <v>1.4300000000000001E-4</v>
      </c>
      <c r="D26" s="8">
        <f>0.00459</f>
        <v>4.5900000000000003E-3</v>
      </c>
      <c r="E26" s="8">
        <f>0.00551</f>
        <v>5.5100000000000001E-3</v>
      </c>
      <c r="F26" s="8">
        <f>0.0187</f>
        <v>1.8700000000000001E-2</v>
      </c>
      <c r="G26" s="8">
        <f>0.0212</f>
        <v>2.12E-2</v>
      </c>
    </row>
    <row r="27" spans="1:7" x14ac:dyDescent="0.2">
      <c r="A27" s="2" t="s">
        <v>7</v>
      </c>
      <c r="B27" s="6" t="str">
        <f>"-0.36 [-0.44;-0.28]"</f>
        <v>-0.36 [-0.44;-0.28]</v>
      </c>
      <c r="C27" s="6" t="str">
        <f>"-0.11 [-0.18;-0.03]"</f>
        <v>-0.11 [-0.18;-0.03]</v>
      </c>
      <c r="D27" s="6" t="str">
        <f>"-0.08 [-0.15;-0.01]"</f>
        <v>-0.08 [-0.15;-0.01]</v>
      </c>
      <c r="E27" s="6" t="str">
        <f>"-0.06 [-0.14;0.01]"</f>
        <v>-0.06 [-0.14;0.01]</v>
      </c>
      <c r="F27" s="6" t="str">
        <f>"-0.04 [-0.12;0.03]"</f>
        <v>-0.04 [-0.12;0.03]</v>
      </c>
      <c r="G27" s="6" t="str">
        <f>"-0.04 [-0.11;0.04]"</f>
        <v>-0.04 [-0.11;0.04]</v>
      </c>
    </row>
    <row r="28" spans="1:7" x14ac:dyDescent="0.2">
      <c r="A28" s="5" t="s">
        <v>5</v>
      </c>
      <c r="B28" s="7">
        <f>1.93E-18</f>
        <v>1.9300000000000001E-18</v>
      </c>
      <c r="C28" s="8">
        <f>0.00699</f>
        <v>6.9899999999999997E-3</v>
      </c>
      <c r="D28" s="8">
        <f>0.02</f>
        <v>0.02</v>
      </c>
      <c r="E28" s="8">
        <f>0.0824</f>
        <v>8.2400000000000001E-2</v>
      </c>
      <c r="F28" s="8">
        <f>0.29</f>
        <v>0.28999999999999998</v>
      </c>
      <c r="G28" s="8">
        <f>0.299</f>
        <v>0.29899999999999999</v>
      </c>
    </row>
    <row r="29" spans="1:7" x14ac:dyDescent="0.2">
      <c r="A29" s="2" t="s">
        <v>6</v>
      </c>
      <c r="B29" s="6" t="str">
        <f>"-0.36 [-0.45;-0.27]"</f>
        <v>-0.36 [-0.45;-0.27]</v>
      </c>
      <c r="C29" s="6" t="str">
        <f>"-0.02 [-0.11;0.07]"</f>
        <v>-0.02 [-0.11;0.07]</v>
      </c>
      <c r="D29" s="6" t="str">
        <f>"-0.08 [-0.17;0.01]"</f>
        <v>-0.08 [-0.17;0.01]</v>
      </c>
      <c r="E29" s="6" t="str">
        <f>"-0.07 [-0.16;0.01]"</f>
        <v>-0.07 [-0.16;0.01]</v>
      </c>
      <c r="F29" s="6" t="str">
        <f>"-0.06 [-0.15;0.03]"</f>
        <v>-0.06 [-0.15;0.03]</v>
      </c>
      <c r="G29" s="6" t="str">
        <f>"-0.05 [-0.14;0.04]"</f>
        <v>-0.05 [-0.14;0.04]</v>
      </c>
    </row>
    <row r="30" spans="1:7" x14ac:dyDescent="0.2">
      <c r="A30" s="5" t="s">
        <v>5</v>
      </c>
      <c r="B30" s="7">
        <f>0.000000000000175</f>
        <v>1.7500000000000001E-13</v>
      </c>
      <c r="C30" s="8">
        <f>0.646</f>
        <v>0.64600000000000002</v>
      </c>
      <c r="D30" s="8">
        <f>0.085</f>
        <v>8.5000000000000006E-2</v>
      </c>
      <c r="E30" s="8">
        <f>0.0949</f>
        <v>9.4899999999999998E-2</v>
      </c>
      <c r="F30" s="8">
        <f>0.209</f>
        <v>0.20899999999999999</v>
      </c>
      <c r="G30" s="8">
        <f>0.241</f>
        <v>0.24099999999999999</v>
      </c>
    </row>
    <row r="31" spans="1:7" x14ac:dyDescent="0.2">
      <c r="A31" s="10"/>
      <c r="B31" s="12" t="s">
        <v>11</v>
      </c>
      <c r="C31" s="12"/>
      <c r="D31" s="12"/>
      <c r="E31" s="12"/>
      <c r="F31" s="12"/>
      <c r="G31" s="12"/>
    </row>
    <row r="32" spans="1:7" x14ac:dyDescent="0.2">
      <c r="A32" s="2" t="s">
        <v>9</v>
      </c>
      <c r="B32" s="6" t="str">
        <f>"0.27 [0.07;0.46]"</f>
        <v>0.27 [0.07;0.46]</v>
      </c>
      <c r="C32" s="6" t="str">
        <f>"0.18 [-0.01;0.37]"</f>
        <v>0.18 [-0.01;0.37]</v>
      </c>
      <c r="D32" s="6" t="str">
        <f>"0.20 [0.03;0.37]"</f>
        <v>0.20 [0.03;0.37]</v>
      </c>
      <c r="E32" s="6" t="str">
        <f>"0.17 [0.00;0.35]"</f>
        <v>0.17 [0.00;0.35]</v>
      </c>
      <c r="F32" s="6" t="str">
        <f>"0.16 [-0.01;0.33]"</f>
        <v>0.16 [-0.01;0.33]</v>
      </c>
      <c r="G32" s="6" t="str">
        <f>"0.18 [0.01;0.34]"</f>
        <v>0.18 [0.01;0.34]</v>
      </c>
    </row>
    <row r="33" spans="1:7" x14ac:dyDescent="0.2">
      <c r="A33" s="5" t="s">
        <v>5</v>
      </c>
      <c r="B33" s="8">
        <f>0.00651</f>
        <v>6.5100000000000002E-3</v>
      </c>
      <c r="C33" s="8">
        <f>0.0599</f>
        <v>5.9900000000000002E-2</v>
      </c>
      <c r="D33" s="8">
        <f>0.0204</f>
        <v>2.0400000000000001E-2</v>
      </c>
      <c r="E33" s="8">
        <f>0.0499</f>
        <v>4.99E-2</v>
      </c>
      <c r="F33" s="8">
        <f>0.0619</f>
        <v>6.1899999999999997E-2</v>
      </c>
      <c r="G33" s="8">
        <f>0.0407</f>
        <v>4.07E-2</v>
      </c>
    </row>
    <row r="34" spans="1:7" x14ac:dyDescent="0.2">
      <c r="A34" s="2" t="s">
        <v>8</v>
      </c>
      <c r="B34" s="6" t="str">
        <f>"-0.12 [-0.21;-0.04]"</f>
        <v>-0.12 [-0.21;-0.04]</v>
      </c>
      <c r="C34" s="6" t="str">
        <f>"-0.02 [-0.10;0.07]"</f>
        <v>-0.02 [-0.10;0.07]</v>
      </c>
      <c r="D34" s="6" t="str">
        <f>"-0.04 [-0.12;0.04]"</f>
        <v>-0.04 [-0.12;0.04]</v>
      </c>
      <c r="E34" s="6" t="str">
        <f>"-0.03 [-0.11;0.05]"</f>
        <v>-0.03 [-0.11;0.05]</v>
      </c>
      <c r="F34" s="6" t="str">
        <f>"-0.02 [-0.10;0.06]"</f>
        <v>-0.02 [-0.10;0.06]</v>
      </c>
      <c r="G34" s="6" t="str">
        <f>"-0.02 [-0.11;0.06]"</f>
        <v>-0.02 [-0.11;0.06]</v>
      </c>
    </row>
    <row r="35" spans="1:7" x14ac:dyDescent="0.2">
      <c r="A35" s="5" t="s">
        <v>5</v>
      </c>
      <c r="B35" s="8">
        <f>0.00587</f>
        <v>5.8700000000000002E-3</v>
      </c>
      <c r="C35" s="8">
        <f>0.668</f>
        <v>0.66800000000000004</v>
      </c>
      <c r="D35" s="8">
        <f>0.331</f>
        <v>0.33100000000000002</v>
      </c>
      <c r="E35" s="8">
        <f>0.443</f>
        <v>0.443</v>
      </c>
      <c r="F35" s="8">
        <f>0.625</f>
        <v>0.625</v>
      </c>
      <c r="G35" s="8">
        <f>0.545</f>
        <v>0.54500000000000004</v>
      </c>
    </row>
    <row r="36" spans="1:7" x14ac:dyDescent="0.2">
      <c r="A36" s="2" t="s">
        <v>7</v>
      </c>
      <c r="B36" s="6" t="str">
        <f>"-0.18 [-0.25;-0.11]"</f>
        <v>-0.18 [-0.25;-0.11]</v>
      </c>
      <c r="C36" s="6" t="str">
        <f>"-0.06 [-0.13;0.01]"</f>
        <v>-0.06 [-0.13;0.01]</v>
      </c>
      <c r="D36" s="6" t="str">
        <f>"-0.07 [-0.14;-0.01]"</f>
        <v>-0.07 [-0.14;-0.01]</v>
      </c>
      <c r="E36" s="6" t="str">
        <f>"-0.07 [-0.14;-0.01]"</f>
        <v>-0.07 [-0.14;-0.01]</v>
      </c>
      <c r="F36" s="6" t="str">
        <f>"-0.06 [-0.13;0.01]"</f>
        <v>-0.06 [-0.13;0.01]</v>
      </c>
      <c r="G36" s="6" t="str">
        <f>"-0.07 [-0.13;0.00]"</f>
        <v>-0.07 [-0.13;0.00]</v>
      </c>
    </row>
    <row r="37" spans="1:7" x14ac:dyDescent="0.2">
      <c r="A37" s="5" t="s">
        <v>5</v>
      </c>
      <c r="B37" s="7">
        <f>0.000000783</f>
        <v>7.8299999999999996E-7</v>
      </c>
      <c r="C37" s="8">
        <f>0.107</f>
        <v>0.107</v>
      </c>
      <c r="D37" s="8">
        <f>0.0316</f>
        <v>3.1600000000000003E-2</v>
      </c>
      <c r="E37" s="8">
        <f>0.0288</f>
        <v>2.8799999999999999E-2</v>
      </c>
      <c r="F37" s="8">
        <f>0.0754</f>
        <v>7.5399999999999995E-2</v>
      </c>
      <c r="G37" s="8">
        <f>0.0655</f>
        <v>6.5500000000000003E-2</v>
      </c>
    </row>
    <row r="38" spans="1:7" x14ac:dyDescent="0.2">
      <c r="A38" s="2" t="s">
        <v>6</v>
      </c>
      <c r="B38" s="6" t="str">
        <f>"-0.11 [-0.19;-0.02]"</f>
        <v>-0.11 [-0.19;-0.02]</v>
      </c>
      <c r="C38" s="6" t="str">
        <f>"0.08 [-0.01;0.17]"</f>
        <v>0.08 [-0.01;0.17]</v>
      </c>
      <c r="D38" s="6" t="str">
        <f>"0.05 [-0.04;0.13]"</f>
        <v>0.05 [-0.04;0.13]</v>
      </c>
      <c r="E38" s="6" t="str">
        <f>"0.02 [-0.07;0.11]"</f>
        <v>0.02 [-0.07;0.11]</v>
      </c>
      <c r="F38" s="6" t="str">
        <f>"0.03 [-0.06;0.12]"</f>
        <v>0.03 [-0.06;0.12]</v>
      </c>
      <c r="G38" s="6" t="str">
        <f>"0.02 [-0.06;0.11]"</f>
        <v>0.02 [-0.06;0.11]</v>
      </c>
    </row>
    <row r="39" spans="1:7" x14ac:dyDescent="0.2">
      <c r="A39" s="5" t="s">
        <v>5</v>
      </c>
      <c r="B39" s="8">
        <f>0.0159</f>
        <v>1.5900000000000001E-2</v>
      </c>
      <c r="C39" s="8">
        <f>0.0833</f>
        <v>8.3299999999999999E-2</v>
      </c>
      <c r="D39" s="8">
        <f>0.312</f>
        <v>0.312</v>
      </c>
      <c r="E39" s="8">
        <f>0.658</f>
        <v>0.65800000000000003</v>
      </c>
      <c r="F39" s="8">
        <f>0.487</f>
        <v>0.48699999999999999</v>
      </c>
      <c r="G39" s="8">
        <f>0.584</f>
        <v>0.58399999999999996</v>
      </c>
    </row>
    <row r="40" spans="1:7" x14ac:dyDescent="0.2">
      <c r="A40" s="10"/>
      <c r="B40" s="12" t="s">
        <v>10</v>
      </c>
      <c r="C40" s="12"/>
      <c r="D40" s="12"/>
      <c r="E40" s="12"/>
      <c r="F40" s="12"/>
      <c r="G40" s="12"/>
    </row>
    <row r="41" spans="1:7" x14ac:dyDescent="0.2">
      <c r="A41" s="2" t="s">
        <v>9</v>
      </c>
      <c r="B41" s="6" t="str">
        <f>"0.31 [0.14;0.48]"</f>
        <v>0.31 [0.14;0.48]</v>
      </c>
      <c r="C41" s="6" t="str">
        <f>"0.06 [-0.10;0.23]"</f>
        <v>0.06 [-0.10;0.23]</v>
      </c>
      <c r="D41" s="6" t="str">
        <f>"0.10 [-0.04;0.24]"</f>
        <v>0.10 [-0.04;0.24]</v>
      </c>
      <c r="E41" s="6" t="str">
        <f>"0.08 [-0.06;0.22]"</f>
        <v>0.08 [-0.06;0.22]</v>
      </c>
      <c r="F41" s="6" t="str">
        <f>"0.07 [-0.08;0.21]"</f>
        <v>0.07 [-0.08;0.21]</v>
      </c>
      <c r="G41" s="6" t="str">
        <f>"0.07 [-0.07;0.21]"</f>
        <v>0.07 [-0.07;0.21]</v>
      </c>
    </row>
    <row r="42" spans="1:7" x14ac:dyDescent="0.2">
      <c r="A42" s="5" t="s">
        <v>5</v>
      </c>
      <c r="B42" s="7">
        <f>0.000322</f>
        <v>3.2200000000000002E-4</v>
      </c>
      <c r="C42" s="8">
        <f>0.439</f>
        <v>0.439</v>
      </c>
      <c r="D42" s="8">
        <f>0.167</f>
        <v>0.16700000000000001</v>
      </c>
      <c r="E42" s="8">
        <f>0.284</f>
        <v>0.28399999999999997</v>
      </c>
      <c r="F42" s="8">
        <f>0.369</f>
        <v>0.36899999999999999</v>
      </c>
      <c r="G42" s="8">
        <f>0.344</f>
        <v>0.34399999999999997</v>
      </c>
    </row>
    <row r="43" spans="1:7" x14ac:dyDescent="0.2">
      <c r="A43" s="2" t="s">
        <v>8</v>
      </c>
      <c r="B43" s="6" t="str">
        <f>"-0.33 [-0.42;-0.24]"</f>
        <v>-0.33 [-0.42;-0.24]</v>
      </c>
      <c r="C43" s="6" t="str">
        <f>"-0.04 [-0.13;0.04]"</f>
        <v>-0.04 [-0.13;0.04]</v>
      </c>
      <c r="D43" s="6" t="str">
        <f>"-0.08 [-0.15;-0.02]"</f>
        <v>-0.08 [-0.15;-0.02]</v>
      </c>
      <c r="E43" s="6" t="str">
        <f>"-0.07 [-0.14;-0.00]"</f>
        <v>-0.07 [-0.14;-0.00]</v>
      </c>
      <c r="F43" s="6" t="str">
        <f>"-0.06 [-0.12;0.01]"</f>
        <v>-0.06 [-0.12;0.01]</v>
      </c>
      <c r="G43" s="6" t="str">
        <f>"-0.06 [-0.13;0.01]"</f>
        <v>-0.06 [-0.13;0.01]</v>
      </c>
    </row>
    <row r="44" spans="1:7" x14ac:dyDescent="0.2">
      <c r="A44" s="5" t="s">
        <v>5</v>
      </c>
      <c r="B44" s="7">
        <f>0.00000000000954</f>
        <v>9.5400000000000001E-12</v>
      </c>
      <c r="C44" s="8">
        <f>0.311</f>
        <v>0.311</v>
      </c>
      <c r="D44" s="8">
        <f>0.0167</f>
        <v>1.67E-2</v>
      </c>
      <c r="E44" s="8">
        <f>0.0414</f>
        <v>4.1399999999999999E-2</v>
      </c>
      <c r="F44" s="8">
        <f>0.0984</f>
        <v>9.8400000000000001E-2</v>
      </c>
      <c r="G44" s="8">
        <f>0.0912</f>
        <v>9.1200000000000003E-2</v>
      </c>
    </row>
    <row r="45" spans="1:7" x14ac:dyDescent="0.2">
      <c r="A45" s="2" t="s">
        <v>7</v>
      </c>
      <c r="B45" s="6" t="str">
        <f>"-0.44 [-0.52;-0.36]"</f>
        <v>-0.44 [-0.52;-0.36]</v>
      </c>
      <c r="C45" s="6" t="str">
        <f>"-0.10 [-0.18;-0.02]"</f>
        <v>-0.10 [-0.18;-0.02]</v>
      </c>
      <c r="D45" s="6" t="str">
        <f>"-0.14 [-0.20;-0.08]"</f>
        <v>-0.14 [-0.20;-0.08]</v>
      </c>
      <c r="E45" s="6" t="str">
        <f>"-0.12 [-0.18;-0.07]"</f>
        <v>-0.12 [-0.18;-0.07]</v>
      </c>
      <c r="F45" s="6" t="str">
        <f>"-0.11 [-0.17;-0.05]"</f>
        <v>-0.11 [-0.17;-0.05]</v>
      </c>
      <c r="G45" s="6" t="str">
        <f>"-0.11 [-0.17;-0.05]"</f>
        <v>-0.11 [-0.17;-0.05]</v>
      </c>
    </row>
    <row r="46" spans="1:7" x14ac:dyDescent="0.2">
      <c r="A46" s="5" t="s">
        <v>5</v>
      </c>
      <c r="B46" s="7">
        <f>7.52E-25</f>
        <v>7.5199999999999998E-25</v>
      </c>
      <c r="C46" s="8">
        <f>0.0128</f>
        <v>1.2800000000000001E-2</v>
      </c>
      <c r="D46" s="7">
        <f>0.0000068</f>
        <v>6.8000000000000001E-6</v>
      </c>
      <c r="E46" s="7">
        <f>0.0000395</f>
        <v>3.9499999999999998E-5</v>
      </c>
      <c r="F46" s="7">
        <f>0.000217</f>
        <v>2.1699999999999999E-4</v>
      </c>
      <c r="G46" s="7">
        <f>0.000204</f>
        <v>2.04E-4</v>
      </c>
    </row>
    <row r="47" spans="1:7" x14ac:dyDescent="0.2">
      <c r="A47" s="2" t="s">
        <v>6</v>
      </c>
      <c r="B47" s="6" t="str">
        <f>"-0.40 [-0.49;-0.32]"</f>
        <v>-0.40 [-0.49;-0.32]</v>
      </c>
      <c r="C47" s="6" t="str">
        <f>"0.06 [-0.02;0.14]"</f>
        <v>0.06 [-0.02;0.14]</v>
      </c>
      <c r="D47" s="6" t="str">
        <f>"-0.01 [-0.08;0.07]"</f>
        <v>-0.01 [-0.08;0.07]</v>
      </c>
      <c r="E47" s="6" t="str">
        <f>"-0.02 [-0.09;0.06]"</f>
        <v>-0.02 [-0.09;0.06]</v>
      </c>
      <c r="F47" s="6" t="str">
        <f>"0.00 [-0.07;0.07]"</f>
        <v>0.00 [-0.07;0.07]</v>
      </c>
      <c r="G47" s="6" t="str">
        <f>"-0.00 [-0.07;0.07]"</f>
        <v>-0.00 [-0.07;0.07]</v>
      </c>
    </row>
    <row r="48" spans="1:7" x14ac:dyDescent="0.2">
      <c r="A48" s="5" t="s">
        <v>5</v>
      </c>
      <c r="B48" s="4">
        <f>1.88E-19</f>
        <v>1.8800000000000001E-19</v>
      </c>
      <c r="C48" s="3">
        <f>0.172</f>
        <v>0.17199999999999999</v>
      </c>
      <c r="D48" s="3">
        <f>0.877</f>
        <v>0.877</v>
      </c>
      <c r="E48" s="3">
        <f>0.682</f>
        <v>0.68200000000000005</v>
      </c>
      <c r="F48" s="3">
        <f>0.981</f>
        <v>0.98099999999999998</v>
      </c>
      <c r="G48" s="3">
        <f>0.975</f>
        <v>0.97499999999999998</v>
      </c>
    </row>
    <row r="51" spans="1:1" x14ac:dyDescent="0.2">
      <c r="A51" s="2" t="s">
        <v>4</v>
      </c>
    </row>
    <row r="52" spans="1:1" x14ac:dyDescent="0.2">
      <c r="A52" s="2" t="s">
        <v>3</v>
      </c>
    </row>
    <row r="53" spans="1:1" x14ac:dyDescent="0.2">
      <c r="A53" s="2" t="s">
        <v>2</v>
      </c>
    </row>
    <row r="54" spans="1:1" x14ac:dyDescent="0.2">
      <c r="A54" s="2" t="s">
        <v>1</v>
      </c>
    </row>
    <row r="55" spans="1:1" x14ac:dyDescent="0.2">
      <c r="A55" s="2" t="s">
        <v>0</v>
      </c>
    </row>
  </sheetData>
  <mergeCells count="5">
    <mergeCell ref="B4:G4"/>
    <mergeCell ref="B13:G13"/>
    <mergeCell ref="B22:G22"/>
    <mergeCell ref="B31:G31"/>
    <mergeCell ref="B40:G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S2. Main Associations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</dc:creator>
  <cp:lastModifiedBy>Freddie</cp:lastModifiedBy>
  <dcterms:created xsi:type="dcterms:W3CDTF">2025-10-16T21:27:13Z</dcterms:created>
  <dcterms:modified xsi:type="dcterms:W3CDTF">2025-10-16T22:16:26Z</dcterms:modified>
</cp:coreProperties>
</file>