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4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zunorimiyamoto/Documents/2023.1.20デスクトップ/desktop 12.05/マイフォルダ/backup 2019.4/論文/Manus m-benzyne/final/submit/revise/Final/steele/revised2/steele/最終/nr-editorial-policy-checklist/5.16 additional/"/>
    </mc:Choice>
  </mc:AlternateContent>
  <xr:revisionPtr revIDLastSave="0" documentId="13_ncr:1_{D7CFCACF-F1D7-8D41-A69F-CAAE473E4C89}" xr6:coauthVersionLast="47" xr6:coauthVersionMax="47" xr10:uidLastSave="{00000000-0000-0000-0000-000000000000}"/>
  <bookViews>
    <workbookView xWindow="560" yWindow="760" windowWidth="28300" windowHeight="14880" xr2:uid="{9668E1EA-ABE3-EA44-BE38-527B3D650ECD}"/>
  </bookViews>
  <sheets>
    <sheet name="Summary of Fig 4b" sheetId="1" r:id="rId1"/>
    <sheet name="raw data for Fig 4b(cond. A)" sheetId="2" r:id="rId2"/>
    <sheet name="raw data for Fig 4b(cond. A)-2" sheetId="3" r:id="rId3"/>
    <sheet name="raw data for Fig 4b (cond. B)" sheetId="4" r:id="rId4"/>
  </sheets>
  <externalReferences>
    <externalReference r:id="rId5"/>
    <externalReference r:id="rId6"/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2" i="3" l="1"/>
  <c r="L43" i="3" s="1"/>
  <c r="L40" i="3"/>
  <c r="L41" i="3" s="1"/>
  <c r="L38" i="3"/>
  <c r="L39" i="3" s="1"/>
  <c r="L36" i="3"/>
  <c r="L37" i="3" s="1"/>
  <c r="L34" i="3"/>
  <c r="L35" i="3" s="1"/>
  <c r="L32" i="3"/>
  <c r="L33" i="3" s="1"/>
  <c r="E32" i="3"/>
  <c r="C32" i="3"/>
  <c r="E31" i="3"/>
  <c r="M31" i="3" s="1"/>
  <c r="R31" i="3" s="1"/>
  <c r="C31" i="3"/>
  <c r="L31" i="3" s="1"/>
  <c r="Q31" i="3" s="1"/>
  <c r="L30" i="3"/>
  <c r="Q30" i="3" s="1"/>
  <c r="J30" i="3"/>
  <c r="E30" i="3"/>
  <c r="M30" i="3" s="1"/>
  <c r="R30" i="3" s="1"/>
  <c r="C30" i="3"/>
  <c r="N29" i="3"/>
  <c r="J29" i="3"/>
  <c r="O29" i="3" s="1"/>
  <c r="U29" i="3" s="1"/>
  <c r="H29" i="3"/>
  <c r="E29" i="3"/>
  <c r="M29" i="3" s="1"/>
  <c r="R29" i="3" s="1"/>
  <c r="C29" i="3"/>
  <c r="L29" i="3" s="1"/>
  <c r="Q29" i="3" s="1"/>
  <c r="J28" i="3"/>
  <c r="O28" i="3" s="1"/>
  <c r="U28" i="3" s="1"/>
  <c r="H28" i="3"/>
  <c r="N28" i="3" s="1"/>
  <c r="E28" i="3"/>
  <c r="M28" i="3" s="1"/>
  <c r="R28" i="3" s="1"/>
  <c r="C28" i="3"/>
  <c r="L28" i="3" s="1"/>
  <c r="Q28" i="3" s="1"/>
  <c r="O27" i="3"/>
  <c r="U27" i="3" s="1"/>
  <c r="J27" i="3"/>
  <c r="H27" i="3"/>
  <c r="N27" i="3" s="1"/>
  <c r="E27" i="3"/>
  <c r="M27" i="3" s="1"/>
  <c r="R27" i="3" s="1"/>
  <c r="C27" i="3"/>
  <c r="L27" i="3" s="1"/>
  <c r="Q27" i="3" s="1"/>
  <c r="J26" i="3"/>
  <c r="O26" i="3" s="1"/>
  <c r="U26" i="3" s="1"/>
  <c r="H26" i="3"/>
  <c r="N26" i="3" s="1"/>
  <c r="E26" i="3"/>
  <c r="M26" i="3" s="1"/>
  <c r="R26" i="3" s="1"/>
  <c r="C26" i="3"/>
  <c r="L26" i="3" s="1"/>
  <c r="Q26" i="3" s="1"/>
  <c r="L25" i="3"/>
  <c r="Q25" i="3" s="1"/>
  <c r="J25" i="3"/>
  <c r="O25" i="3" s="1"/>
  <c r="U25" i="3" s="1"/>
  <c r="H25" i="3"/>
  <c r="N25" i="3" s="1"/>
  <c r="E25" i="3"/>
  <c r="M25" i="3" s="1"/>
  <c r="R25" i="3" s="1"/>
  <c r="C25" i="3"/>
  <c r="J24" i="3"/>
  <c r="O24" i="3" s="1"/>
  <c r="U24" i="3" s="1"/>
  <c r="H24" i="3"/>
  <c r="N24" i="3" s="1"/>
  <c r="E24" i="3"/>
  <c r="M24" i="3" s="1"/>
  <c r="R24" i="3" s="1"/>
  <c r="C24" i="3"/>
  <c r="L24" i="3" s="1"/>
  <c r="Q24" i="3" s="1"/>
  <c r="J23" i="3"/>
  <c r="O23" i="3" s="1"/>
  <c r="U23" i="3" s="1"/>
  <c r="H23" i="3"/>
  <c r="N23" i="3" s="1"/>
  <c r="E23" i="3"/>
  <c r="M23" i="3" s="1"/>
  <c r="R23" i="3" s="1"/>
  <c r="C23" i="3"/>
  <c r="L23" i="3" s="1"/>
  <c r="Q23" i="3" s="1"/>
  <c r="Q9" i="3"/>
  <c r="O9" i="3"/>
  <c r="U9" i="3" s="1"/>
  <c r="N9" i="3"/>
  <c r="V9" i="3" s="1"/>
  <c r="M9" i="3"/>
  <c r="R9" i="3" s="1"/>
  <c r="L9" i="3"/>
  <c r="O8" i="3"/>
  <c r="U8" i="3" s="1"/>
  <c r="N8" i="3"/>
  <c r="V8" i="3" s="1"/>
  <c r="M8" i="3"/>
  <c r="R8" i="3" s="1"/>
  <c r="L8" i="3"/>
  <c r="Q8" i="3" s="1"/>
  <c r="AE7" i="3"/>
  <c r="AB7" i="3"/>
  <c r="AD7" i="3" s="1"/>
  <c r="X7" i="3"/>
  <c r="O7" i="3"/>
  <c r="U7" i="3" s="1"/>
  <c r="N7" i="3"/>
  <c r="T7" i="3" s="1"/>
  <c r="M7" i="3"/>
  <c r="R7" i="3" s="1"/>
  <c r="L7" i="3"/>
  <c r="Q7" i="3" s="1"/>
  <c r="AE6" i="3"/>
  <c r="AB6" i="3"/>
  <c r="AD6" i="3" s="1"/>
  <c r="X6" i="3"/>
  <c r="V6" i="3"/>
  <c r="T6" i="3"/>
  <c r="R6" i="3"/>
  <c r="Q6" i="3"/>
  <c r="O6" i="3"/>
  <c r="U6" i="3" s="1"/>
  <c r="N6" i="3"/>
  <c r="M6" i="3"/>
  <c r="L6" i="3"/>
  <c r="AE5" i="3"/>
  <c r="AB5" i="3"/>
  <c r="AD5" i="3" s="1"/>
  <c r="X5" i="3"/>
  <c r="Q5" i="3"/>
  <c r="O5" i="3"/>
  <c r="U5" i="3" s="1"/>
  <c r="N5" i="3"/>
  <c r="V5" i="3" s="1"/>
  <c r="M5" i="3"/>
  <c r="R5" i="3" s="1"/>
  <c r="L5" i="3"/>
  <c r="AE4" i="3"/>
  <c r="AB4" i="3"/>
  <c r="AD4" i="3" s="1"/>
  <c r="X4" i="3"/>
  <c r="V4" i="3"/>
  <c r="U4" i="3"/>
  <c r="O4" i="3"/>
  <c r="N4" i="3"/>
  <c r="T4" i="3" s="1"/>
  <c r="M4" i="3"/>
  <c r="R4" i="3" s="1"/>
  <c r="L4" i="3"/>
  <c r="Q4" i="3" s="1"/>
  <c r="O3" i="3"/>
  <c r="N3" i="3"/>
  <c r="M3" i="3"/>
  <c r="L3" i="3"/>
  <c r="E30" i="2"/>
  <c r="C30" i="2"/>
  <c r="I29" i="2"/>
  <c r="M29" i="2" s="1"/>
  <c r="H29" i="2"/>
  <c r="L29" i="2" s="1"/>
  <c r="E29" i="2"/>
  <c r="C29" i="2"/>
  <c r="H28" i="2"/>
  <c r="L28" i="2" s="1"/>
  <c r="E28" i="2"/>
  <c r="I28" i="2" s="1"/>
  <c r="M28" i="2" s="1"/>
  <c r="C28" i="2"/>
  <c r="Q27" i="2"/>
  <c r="E27" i="2"/>
  <c r="I27" i="2" s="1"/>
  <c r="M27" i="2" s="1"/>
  <c r="C27" i="2"/>
  <c r="H27" i="2" s="1"/>
  <c r="L27" i="2" s="1"/>
  <c r="Q26" i="2"/>
  <c r="I26" i="2"/>
  <c r="M26" i="2" s="1"/>
  <c r="E26" i="2"/>
  <c r="C26" i="2"/>
  <c r="H26" i="2" s="1"/>
  <c r="L26" i="2" s="1"/>
  <c r="P25" i="2"/>
  <c r="I25" i="2"/>
  <c r="M25" i="2" s="1"/>
  <c r="H25" i="2"/>
  <c r="L25" i="2" s="1"/>
  <c r="E25" i="2"/>
  <c r="C25" i="2"/>
  <c r="E24" i="2"/>
  <c r="I24" i="2" s="1"/>
  <c r="M24" i="2" s="1"/>
  <c r="C24" i="2"/>
  <c r="H24" i="2" s="1"/>
  <c r="L24" i="2" s="1"/>
  <c r="Q23" i="2"/>
  <c r="Q28" i="2" s="1"/>
  <c r="P23" i="2"/>
  <c r="P28" i="2" s="1"/>
  <c r="G8" i="2"/>
  <c r="K8" i="2" s="1"/>
  <c r="F8" i="2"/>
  <c r="J8" i="2" s="1"/>
  <c r="C8" i="2"/>
  <c r="B8" i="2"/>
  <c r="C7" i="2"/>
  <c r="G7" i="2" s="1"/>
  <c r="K7" i="2" s="1"/>
  <c r="B7" i="2"/>
  <c r="F7" i="2" s="1"/>
  <c r="J7" i="2" s="1"/>
  <c r="G6" i="2"/>
  <c r="K6" i="2" s="1"/>
  <c r="F6" i="2"/>
  <c r="J6" i="2" s="1"/>
  <c r="C6" i="2"/>
  <c r="B6" i="2"/>
  <c r="C5" i="2"/>
  <c r="G5" i="2" s="1"/>
  <c r="K5" i="2" s="1"/>
  <c r="B5" i="2"/>
  <c r="F5" i="2" s="1"/>
  <c r="J5" i="2" s="1"/>
  <c r="G4" i="2"/>
  <c r="K4" i="2" s="1"/>
  <c r="F4" i="2"/>
  <c r="J4" i="2" s="1"/>
  <c r="C4" i="2"/>
  <c r="B4" i="2"/>
  <c r="G3" i="2"/>
  <c r="F3" i="2"/>
  <c r="P29" i="2" l="1"/>
  <c r="Q25" i="2"/>
  <c r="Q29" i="2"/>
  <c r="M7" i="2"/>
  <c r="P27" i="2"/>
  <c r="P26" i="2"/>
  <c r="L8" i="2"/>
  <c r="V7" i="3"/>
  <c r="T8" i="3"/>
  <c r="T5" i="3"/>
  <c r="T9" i="3"/>
  <c r="J3" i="2"/>
  <c r="L3" i="2" s="1"/>
  <c r="M8" i="2"/>
  <c r="K3" i="2"/>
  <c r="M3" i="2" s="1"/>
  <c r="L4" i="2"/>
  <c r="L5" i="2"/>
  <c r="L6" i="2"/>
  <c r="L7" i="2"/>
  <c r="M4" i="2"/>
  <c r="M5" i="2"/>
  <c r="M6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<sst xmlns="http://schemas.openxmlformats.org/spreadsheetml/2006/main" count="92" uniqueCount="28">
  <si>
    <t>10^4 kobs (s-1)</t>
    <phoneticPr fontId="1"/>
  </si>
  <si>
    <t>TBAF KK388 (Et4NCl 2eq)</t>
    <phoneticPr fontId="1"/>
  </si>
  <si>
    <t>mol</t>
    <phoneticPr fontId="1"/>
  </si>
  <si>
    <t>log</t>
    <phoneticPr fontId="1"/>
  </si>
  <si>
    <t>1.2eq</t>
    <phoneticPr fontId="1"/>
  </si>
  <si>
    <t>3.6eq</t>
    <phoneticPr fontId="1"/>
  </si>
  <si>
    <t>k (/min)</t>
    <phoneticPr fontId="1"/>
  </si>
  <si>
    <t>on</t>
    <phoneticPr fontId="1"/>
  </si>
  <si>
    <t>TBAF KK443 (Et4NCl 2eq)</t>
    <phoneticPr fontId="1"/>
  </si>
  <si>
    <t>2.4eq</t>
    <phoneticPr fontId="1"/>
  </si>
  <si>
    <t>0.6eq</t>
    <phoneticPr fontId="1"/>
  </si>
  <si>
    <t>6.0eq</t>
    <phoneticPr fontId="1"/>
  </si>
  <si>
    <t>PhCl</t>
    <phoneticPr fontId="1"/>
  </si>
  <si>
    <t>%</t>
    <phoneticPr fontId="1"/>
  </si>
  <si>
    <t>Mes–I</t>
    <phoneticPr fontId="1"/>
  </si>
  <si>
    <t>Mes–H</t>
    <phoneticPr fontId="1"/>
  </si>
  <si>
    <t>Ar–I</t>
    <phoneticPr fontId="1"/>
  </si>
  <si>
    <t>PhTMS</t>
    <phoneticPr fontId="1"/>
  </si>
  <si>
    <t>TBAF[M]</t>
    <phoneticPr fontId="1"/>
  </si>
  <si>
    <t>Et4NCl[M]</t>
    <phoneticPr fontId="1"/>
  </si>
  <si>
    <t>EtN4Cl KK388 (TBAF 1.2eq)</t>
  </si>
  <si>
    <t>mol</t>
  </si>
  <si>
    <t>log(/mol)</t>
  </si>
  <si>
    <t>1eq</t>
  </si>
  <si>
    <t>2eq</t>
  </si>
  <si>
    <t>5eq</t>
  </si>
  <si>
    <t>=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</si>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</sst>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11" fontId="0" fillId="0" borderId="0" xfId="0" applyNumberFormat="1">
      <alignment vertical="center"/>
    </xf>
    <xf numFmtId="11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microsoft.com/office/2022/10/relationships/richValueRel" Target="richData/richValueRel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eetMetadata" Target="metadata.xml"/><Relationship Id="rId5" Type="http://schemas.openxmlformats.org/officeDocument/2006/relationships/externalLink" Target="externalLinks/externalLink1.xml"/><Relationship Id="rId15" Type="http://schemas.microsoft.com/office/2017/06/relationships/rdRichValueTypes" Target="richData/rdRichValueTypes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xVal>
            <c:numRef>
              <c:f>'Summary of Fig 4b'!$A$2:$A$5</c:f>
              <c:numCache>
                <c:formatCode>General</c:formatCode>
                <c:ptCount val="4"/>
                <c:pt idx="0">
                  <c:v>1.4999999999999999E-2</c:v>
                </c:pt>
                <c:pt idx="1">
                  <c:v>0.03</c:v>
                </c:pt>
                <c:pt idx="2">
                  <c:v>0.06</c:v>
                </c:pt>
                <c:pt idx="3">
                  <c:v>0.15</c:v>
                </c:pt>
              </c:numCache>
            </c:numRef>
          </c:xVal>
          <c:yVal>
            <c:numRef>
              <c:f>'Summary of Fig 4b'!$B$2:$B$5</c:f>
              <c:numCache>
                <c:formatCode>General</c:formatCode>
                <c:ptCount val="4"/>
                <c:pt idx="0">
                  <c:v>0.62</c:v>
                </c:pt>
                <c:pt idx="1">
                  <c:v>1.6</c:v>
                </c:pt>
                <c:pt idx="2">
                  <c:v>1.7</c:v>
                </c:pt>
                <c:pt idx="3">
                  <c:v>1.6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C62-A644-AB58-FE41E3A06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8855536"/>
        <c:axId val="1679803312"/>
      </c:scatterChart>
      <c:valAx>
        <c:axId val="1678855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679803312"/>
        <c:crosses val="autoZero"/>
        <c:crossBetween val="midCat"/>
      </c:valAx>
      <c:valAx>
        <c:axId val="16798033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6788555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Helvetica" pitchFamily="2" charset="0"/>
                <a:ea typeface="+mn-ea"/>
                <a:cs typeface="+mn-cs"/>
              </a:defRPr>
            </a:pPr>
            <a:r>
              <a:rPr lang="en-US" altLang="ja-JP">
                <a:solidFill>
                  <a:schemeClr val="tx1"/>
                </a:solidFill>
                <a:latin typeface="Helvetica" pitchFamily="2" charset="0"/>
              </a:rPr>
              <a:t>1.2eq</a:t>
            </a:r>
            <a:endParaRPr lang="ja-JP" altLang="en-US">
              <a:solidFill>
                <a:schemeClr val="tx1"/>
              </a:solidFill>
              <a:latin typeface="Helvetica" pitchFamily="2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Helvetica" pitchFamily="2" charset="0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6.0470909886264218E-2"/>
                  <c:y val="-2.6979440069991251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Helvetica" pitchFamily="2" charset="0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'[2]TBAFを変化 (2)'!$P$4:$P$9</c:f>
              <c:numCache>
                <c:formatCode>General</c:formatCode>
                <c:ptCount val="6"/>
                <c:pt idx="0">
                  <c:v>13</c:v>
                </c:pt>
                <c:pt idx="1">
                  <c:v>35</c:v>
                </c:pt>
                <c:pt idx="2">
                  <c:v>65</c:v>
                </c:pt>
                <c:pt idx="3">
                  <c:v>95</c:v>
                </c:pt>
                <c:pt idx="4">
                  <c:v>125</c:v>
                </c:pt>
                <c:pt idx="5">
                  <c:v>185</c:v>
                </c:pt>
              </c:numCache>
            </c:numRef>
          </c:xVal>
          <c:yVal>
            <c:numRef>
              <c:f>'[2]TBAFを変化 (2)'!$Q$4:$Q$9</c:f>
              <c:numCache>
                <c:formatCode>General</c:formatCode>
                <c:ptCount val="6"/>
                <c:pt idx="0">
                  <c:v>-1.2316832563571302E-2</c:v>
                </c:pt>
                <c:pt idx="1">
                  <c:v>-0.14137133064440621</c:v>
                </c:pt>
                <c:pt idx="2">
                  <c:v>-0.45587606624170751</c:v>
                </c:pt>
                <c:pt idx="3">
                  <c:v>-0.81821285939643495</c:v>
                </c:pt>
                <c:pt idx="4">
                  <c:v>-1.0897380210474272</c:v>
                </c:pt>
                <c:pt idx="5">
                  <c:v>-1.596308851759662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DBF-7F4A-90B9-0789BA29A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094096"/>
        <c:axId val="1002002176"/>
      </c:scatterChart>
      <c:valAx>
        <c:axId val="931094096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Helvetica" pitchFamily="2" charset="0"/>
                <a:ea typeface="+mn-ea"/>
                <a:cs typeface="+mn-cs"/>
              </a:defRPr>
            </a:pPr>
            <a:endParaRPr lang="ja-JP"/>
          </a:p>
        </c:txPr>
        <c:crossAx val="1002002176"/>
        <c:crossesAt val="-2"/>
        <c:crossBetween val="midCat"/>
      </c:valAx>
      <c:valAx>
        <c:axId val="1002002176"/>
        <c:scaling>
          <c:orientation val="minMax"/>
          <c:max val="0"/>
          <c:min val="-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Helvetica" pitchFamily="2" charset="0"/>
                <a:ea typeface="+mn-ea"/>
                <a:cs typeface="+mn-cs"/>
              </a:defRPr>
            </a:pPr>
            <a:endParaRPr lang="ja-JP"/>
          </a:p>
        </c:txPr>
        <c:crossAx val="931094096"/>
        <c:crossesAt val="0"/>
        <c:crossBetween val="midCat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Helvetica" pitchFamily="2" charset="0"/>
                <a:ea typeface="+mn-ea"/>
                <a:cs typeface="+mn-cs"/>
              </a:defRPr>
            </a:pPr>
            <a:r>
              <a:rPr lang="en-US" altLang="ja-JP">
                <a:solidFill>
                  <a:schemeClr val="tx1"/>
                </a:solidFill>
                <a:latin typeface="Helvetica" pitchFamily="2" charset="0"/>
              </a:rPr>
              <a:t>2.4eq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Helvetica" pitchFamily="2" charset="0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6.0470909886264218E-2"/>
                  <c:y val="-2.6979440069991251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Helvetica" pitchFamily="2" charset="0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'[2]TBAFを変化 (2)'!$P$4:$P$9</c:f>
              <c:numCache>
                <c:formatCode>General</c:formatCode>
                <c:ptCount val="6"/>
                <c:pt idx="0">
                  <c:v>13</c:v>
                </c:pt>
                <c:pt idx="1">
                  <c:v>35</c:v>
                </c:pt>
                <c:pt idx="2">
                  <c:v>65</c:v>
                </c:pt>
                <c:pt idx="3">
                  <c:v>95</c:v>
                </c:pt>
                <c:pt idx="4">
                  <c:v>125</c:v>
                </c:pt>
                <c:pt idx="5">
                  <c:v>185</c:v>
                </c:pt>
              </c:numCache>
            </c:numRef>
          </c:xVal>
          <c:yVal>
            <c:numRef>
              <c:f>'[2]TBAFを変化 (2)'!$R$4:$R$9</c:f>
              <c:numCache>
                <c:formatCode>General</c:formatCode>
                <c:ptCount val="6"/>
                <c:pt idx="0">
                  <c:v>-5.3582983024026323E-2</c:v>
                </c:pt>
                <c:pt idx="1">
                  <c:v>-0.17516433807915729</c:v>
                </c:pt>
                <c:pt idx="2">
                  <c:v>-0.55782700966339194</c:v>
                </c:pt>
                <c:pt idx="3">
                  <c:v>-0.93281788078260441</c:v>
                </c:pt>
                <c:pt idx="4">
                  <c:v>-1.2207572541492233</c:v>
                </c:pt>
                <c:pt idx="5">
                  <c:v>-1.7010035884315104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CFE-3B4C-B214-A0A7BAE64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094096"/>
        <c:axId val="1002002176"/>
      </c:scatterChart>
      <c:valAx>
        <c:axId val="931094096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Helvetica" pitchFamily="2" charset="0"/>
                <a:ea typeface="+mn-ea"/>
                <a:cs typeface="+mn-cs"/>
              </a:defRPr>
            </a:pPr>
            <a:endParaRPr lang="ja-JP"/>
          </a:p>
        </c:txPr>
        <c:crossAx val="1002002176"/>
        <c:crossesAt val="-2"/>
        <c:crossBetween val="midCat"/>
      </c:valAx>
      <c:valAx>
        <c:axId val="1002002176"/>
        <c:scaling>
          <c:orientation val="minMax"/>
          <c:max val="0"/>
          <c:min val="-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Helvetica" pitchFamily="2" charset="0"/>
                <a:ea typeface="+mn-ea"/>
                <a:cs typeface="+mn-cs"/>
              </a:defRPr>
            </a:pPr>
            <a:endParaRPr lang="ja-JP"/>
          </a:p>
        </c:txPr>
        <c:crossAx val="931094096"/>
        <c:crossesAt val="0"/>
        <c:crossBetween val="midCat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Helvetica" pitchFamily="2" charset="0"/>
                <a:ea typeface="+mn-ea"/>
                <a:cs typeface="+mn-cs"/>
              </a:defRPr>
            </a:pPr>
            <a:r>
              <a:rPr lang="en-US" altLang="ja-JP">
                <a:solidFill>
                  <a:schemeClr val="tx1"/>
                </a:solidFill>
                <a:latin typeface="Helvetica" pitchFamily="2" charset="0"/>
              </a:rPr>
              <a:t>6.0eq</a:t>
            </a:r>
            <a:endParaRPr lang="ja-JP" altLang="en-US">
              <a:solidFill>
                <a:schemeClr val="tx1"/>
              </a:solidFill>
              <a:latin typeface="Helvetica" pitchFamily="2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Helvetica" pitchFamily="2" charset="0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6.0470909886264218E-2"/>
                  <c:y val="-2.6979440069991251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Helvetica" pitchFamily="2" charset="0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'[2]TBAFを変化 (2)'!$S$4:$S$9</c:f>
              <c:numCache>
                <c:formatCode>General</c:formatCode>
                <c:ptCount val="6"/>
                <c:pt idx="0">
                  <c:v>12</c:v>
                </c:pt>
                <c:pt idx="1">
                  <c:v>35</c:v>
                </c:pt>
                <c:pt idx="2">
                  <c:v>65</c:v>
                </c:pt>
                <c:pt idx="3">
                  <c:v>95</c:v>
                </c:pt>
                <c:pt idx="4">
                  <c:v>125</c:v>
                </c:pt>
                <c:pt idx="5">
                  <c:v>185</c:v>
                </c:pt>
              </c:numCache>
            </c:numRef>
          </c:xVal>
          <c:yVal>
            <c:numRef>
              <c:f>'[2]TBAFを変化 (2)'!$U$4:$U$9</c:f>
              <c:numCache>
                <c:formatCode>General</c:formatCode>
                <c:ptCount val="6"/>
                <c:pt idx="0">
                  <c:v>-2.6975159539406046E-2</c:v>
                </c:pt>
                <c:pt idx="1">
                  <c:v>-0.17456152897054225</c:v>
                </c:pt>
                <c:pt idx="2">
                  <c:v>-0.5099255453761844</c:v>
                </c:pt>
                <c:pt idx="3">
                  <c:v>-0.78660038279365541</c:v>
                </c:pt>
                <c:pt idx="4">
                  <c:v>-1.0657981371339218</c:v>
                </c:pt>
                <c:pt idx="5">
                  <c:v>-1.6010654009704577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61A-0344-8731-570826399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094096"/>
        <c:axId val="1002002176"/>
      </c:scatterChart>
      <c:valAx>
        <c:axId val="931094096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Helvetica" pitchFamily="2" charset="0"/>
                <a:ea typeface="+mn-ea"/>
                <a:cs typeface="+mn-cs"/>
              </a:defRPr>
            </a:pPr>
            <a:endParaRPr lang="ja-JP"/>
          </a:p>
        </c:txPr>
        <c:crossAx val="1002002176"/>
        <c:crossesAt val="-2"/>
        <c:crossBetween val="midCat"/>
      </c:valAx>
      <c:valAx>
        <c:axId val="1002002176"/>
        <c:scaling>
          <c:orientation val="minMax"/>
          <c:max val="0"/>
          <c:min val="-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Helvetica" pitchFamily="2" charset="0"/>
                <a:ea typeface="+mn-ea"/>
                <a:cs typeface="+mn-cs"/>
              </a:defRPr>
            </a:pPr>
            <a:endParaRPr lang="ja-JP"/>
          </a:p>
        </c:txPr>
        <c:crossAx val="931094096"/>
        <c:crossesAt val="0"/>
        <c:crossBetween val="midCat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Helvetica" pitchFamily="2" charset="0"/>
                <a:ea typeface="+mn-ea"/>
                <a:cs typeface="+mn-cs"/>
              </a:defRPr>
            </a:pPr>
            <a:r>
              <a:rPr lang="en-US" altLang="ja-JP">
                <a:solidFill>
                  <a:schemeClr val="tx1"/>
                </a:solidFill>
                <a:latin typeface="Helvetica" pitchFamily="2" charset="0"/>
              </a:rPr>
              <a:t>0.6eq</a:t>
            </a:r>
            <a:endParaRPr lang="ja-JP" altLang="en-US">
              <a:solidFill>
                <a:schemeClr val="tx1"/>
              </a:solidFill>
              <a:latin typeface="Helvetica" pitchFamily="2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Helvetica" pitchFamily="2" charset="0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6.0470909886264218E-2"/>
                  <c:y val="-2.6979440069991251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Helvetica" pitchFamily="2" charset="0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'[2]TBAFを変化 (2)'!$S$4:$S$9</c:f>
              <c:numCache>
                <c:formatCode>General</c:formatCode>
                <c:ptCount val="6"/>
                <c:pt idx="0">
                  <c:v>12</c:v>
                </c:pt>
                <c:pt idx="1">
                  <c:v>35</c:v>
                </c:pt>
                <c:pt idx="2">
                  <c:v>65</c:v>
                </c:pt>
                <c:pt idx="3">
                  <c:v>95</c:v>
                </c:pt>
                <c:pt idx="4">
                  <c:v>125</c:v>
                </c:pt>
                <c:pt idx="5">
                  <c:v>185</c:v>
                </c:pt>
              </c:numCache>
            </c:numRef>
          </c:xVal>
          <c:yVal>
            <c:numRef>
              <c:f>'[2]TBAFを変化 (2)'!$T$4:$T$9</c:f>
              <c:numCache>
                <c:formatCode>General</c:formatCode>
                <c:ptCount val="6"/>
                <c:pt idx="0">
                  <c:v>0</c:v>
                </c:pt>
                <c:pt idx="1">
                  <c:v>-7.0948112947965145E-2</c:v>
                </c:pt>
                <c:pt idx="2">
                  <c:v>-0.15126415427983436</c:v>
                </c:pt>
                <c:pt idx="3">
                  <c:v>-0.22086725761238393</c:v>
                </c:pt>
                <c:pt idx="4">
                  <c:v>-0.37003233221272813</c:v>
                </c:pt>
                <c:pt idx="5">
                  <c:v>-0.64368853189029174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233-0149-823F-7E11DCDC9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094096"/>
        <c:axId val="1002002176"/>
      </c:scatterChart>
      <c:valAx>
        <c:axId val="931094096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Helvetica" pitchFamily="2" charset="0"/>
                <a:ea typeface="+mn-ea"/>
                <a:cs typeface="+mn-cs"/>
              </a:defRPr>
            </a:pPr>
            <a:endParaRPr lang="ja-JP"/>
          </a:p>
        </c:txPr>
        <c:crossAx val="1002002176"/>
        <c:crossesAt val="-2"/>
        <c:crossBetween val="midCat"/>
      </c:valAx>
      <c:valAx>
        <c:axId val="1002002176"/>
        <c:scaling>
          <c:orientation val="minMax"/>
          <c:max val="0"/>
          <c:min val="-0.8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Helvetica" pitchFamily="2" charset="0"/>
                <a:ea typeface="+mn-ea"/>
                <a:cs typeface="+mn-cs"/>
              </a:defRPr>
            </a:pPr>
            <a:endParaRPr lang="ja-JP"/>
          </a:p>
        </c:txPr>
        <c:crossAx val="931094096"/>
        <c:crossesAt val="0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'[2]TBAFを変化 (2)'!$AD$4:$AD$7</c:f>
              <c:numCache>
                <c:formatCode>General</c:formatCode>
                <c:ptCount val="4"/>
                <c:pt idx="0">
                  <c:v>16129.032258064515</c:v>
                </c:pt>
                <c:pt idx="1">
                  <c:v>6249.9999999999991</c:v>
                </c:pt>
                <c:pt idx="2">
                  <c:v>5882.3529411764703</c:v>
                </c:pt>
                <c:pt idx="3">
                  <c:v>6249.9999999999991</c:v>
                </c:pt>
              </c:numCache>
            </c:numRef>
          </c:xVal>
          <c:yVal>
            <c:numRef>
              <c:f>'[2]TBAFを変化 (2)'!$AE$4:$AE$7</c:f>
              <c:numCache>
                <c:formatCode>General</c:formatCode>
                <c:ptCount val="4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AF1-D540-B7F4-72662BB55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19218303"/>
        <c:axId val="1619219951"/>
      </c:scatterChart>
      <c:valAx>
        <c:axId val="161921830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619219951"/>
        <c:crosses val="autoZero"/>
        <c:crossBetween val="midCat"/>
      </c:valAx>
      <c:valAx>
        <c:axId val="16192199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61921830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'raw data for Fig 4b(cond. A)-2'!$Y$4:$Y$7</c:f>
              <c:numCache>
                <c:formatCode>General</c:formatCode>
                <c:ptCount val="4"/>
                <c:pt idx="0">
                  <c:v>1.4999999999999999E-2</c:v>
                </c:pt>
                <c:pt idx="1">
                  <c:v>0.03</c:v>
                </c:pt>
                <c:pt idx="2">
                  <c:v>0.06</c:v>
                </c:pt>
                <c:pt idx="3">
                  <c:v>0.15000000000000002</c:v>
                </c:pt>
              </c:numCache>
            </c:numRef>
          </c:xVal>
          <c:yVal>
            <c:numRef>
              <c:f>'raw data for Fig 4b(cond. A)-2'!$Z$4:$Z$7</c:f>
              <c:numCache>
                <c:formatCode>General</c:formatCode>
                <c:ptCount val="4"/>
                <c:pt idx="0">
                  <c:v>0.62</c:v>
                </c:pt>
                <c:pt idx="1">
                  <c:v>1.6</c:v>
                </c:pt>
                <c:pt idx="2">
                  <c:v>1.7</c:v>
                </c:pt>
                <c:pt idx="3">
                  <c:v>1.6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A60-CF43-B6D5-769DA0F6C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9400463"/>
        <c:axId val="421696095"/>
      </c:scatterChart>
      <c:valAx>
        <c:axId val="2294004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21696095"/>
        <c:crosses val="autoZero"/>
        <c:crossBetween val="midCat"/>
      </c:valAx>
      <c:valAx>
        <c:axId val="42169609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294004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Helvetica" pitchFamily="2" charset="0"/>
                <a:ea typeface="+mn-ea"/>
                <a:cs typeface="+mn-cs"/>
              </a:defRPr>
            </a:pPr>
            <a:r>
              <a:rPr lang="en-US" altLang="ja-JP" baseline="0">
                <a:solidFill>
                  <a:schemeClr val="tx1"/>
                </a:solidFill>
                <a:latin typeface="Helvetica" pitchFamily="2" charset="0"/>
              </a:rPr>
              <a:t>1.0 eq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Helvetica" pitchFamily="2" charset="0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0676592184988281"/>
                  <c:y val="-0.1551910191836917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Helvetica" pitchFamily="2" charset="0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[3]Et4NClを変化!$K$4:$K$8</c:f>
              <c:numCache>
                <c:formatCode>General</c:formatCode>
                <c:ptCount val="5"/>
                <c:pt idx="0">
                  <c:v>15</c:v>
                </c:pt>
                <c:pt idx="1">
                  <c:v>30</c:v>
                </c:pt>
                <c:pt idx="2">
                  <c:v>60</c:v>
                </c:pt>
                <c:pt idx="3">
                  <c:v>120</c:v>
                </c:pt>
                <c:pt idx="4">
                  <c:v>180</c:v>
                </c:pt>
              </c:numCache>
            </c:numRef>
          </c:xVal>
          <c:yVal>
            <c:numRef>
              <c:f>[3]Et4NClを変化!$L$4:$L$8</c:f>
              <c:numCache>
                <c:formatCode>General</c:formatCode>
                <c:ptCount val="5"/>
                <c:pt idx="0">
                  <c:v>-0.11751855807666682</c:v>
                </c:pt>
                <c:pt idx="1">
                  <c:v>-0.19522079451522897</c:v>
                </c:pt>
                <c:pt idx="2">
                  <c:v>-0.44219377675259824</c:v>
                </c:pt>
                <c:pt idx="3">
                  <c:v>-0.95703270874129742</c:v>
                </c:pt>
                <c:pt idx="4">
                  <c:v>-1.386691397621471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065-7144-80C1-01BF4033F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2019007"/>
        <c:axId val="872047727"/>
      </c:scatterChart>
      <c:valAx>
        <c:axId val="872019007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Helvetica" pitchFamily="2" charset="0"/>
                    <a:ea typeface="+mn-ea"/>
                    <a:cs typeface="+mn-cs"/>
                  </a:defRPr>
                </a:pPr>
                <a:r>
                  <a:rPr lang="en-US" altLang="ja-JP">
                    <a:solidFill>
                      <a:schemeClr val="tx1"/>
                    </a:solidFill>
                    <a:latin typeface="Helvetica" pitchFamily="2" charset="0"/>
                  </a:rPr>
                  <a:t>min</a:t>
                </a:r>
                <a:endParaRPr lang="ja-JP" altLang="en-US">
                  <a:solidFill>
                    <a:schemeClr val="tx1"/>
                  </a:solidFill>
                  <a:latin typeface="Helvetica" pitchFamily="2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Helvetica" pitchFamily="2" charset="0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Helvetica" pitchFamily="2" charset="0"/>
                <a:ea typeface="+mn-ea"/>
                <a:cs typeface="+mn-cs"/>
              </a:defRPr>
            </a:pPr>
            <a:endParaRPr lang="ja-JP"/>
          </a:p>
        </c:txPr>
        <c:crossAx val="872047727"/>
        <c:crossesAt val="-1.5"/>
        <c:crossBetween val="midCat"/>
      </c:valAx>
      <c:valAx>
        <c:axId val="872047727"/>
        <c:scaling>
          <c:orientation val="minMax"/>
          <c:max val="0"/>
          <c:min val="-1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Helvetica" pitchFamily="2" charset="0"/>
                    <a:ea typeface="+mn-ea"/>
                    <a:cs typeface="+mn-cs"/>
                  </a:defRPr>
                </a:pPr>
                <a:r>
                  <a:rPr lang="en-US" altLang="ja-JP">
                    <a:solidFill>
                      <a:schemeClr val="tx1"/>
                    </a:solidFill>
                    <a:latin typeface="Helvetica" pitchFamily="2" charset="0"/>
                  </a:rPr>
                  <a:t>ln([23]/[23]0)</a:t>
                </a:r>
                <a:endParaRPr lang="ja-JP" altLang="en-US">
                  <a:solidFill>
                    <a:schemeClr val="tx1"/>
                  </a:solidFill>
                  <a:latin typeface="Helvetica" pitchFamily="2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Helvetica" pitchFamily="2" charset="0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Helvetica" pitchFamily="2" charset="0"/>
                <a:ea typeface="+mn-ea"/>
                <a:cs typeface="+mn-cs"/>
              </a:defRPr>
            </a:pPr>
            <a:endParaRPr lang="ja-JP"/>
          </a:p>
        </c:txPr>
        <c:crossAx val="8720190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Helvetica" pitchFamily="2" charset="0"/>
                <a:ea typeface="+mn-ea"/>
                <a:cs typeface="+mn-cs"/>
              </a:defRPr>
            </a:pPr>
            <a:r>
              <a:rPr lang="en-US" altLang="ja-JP" baseline="0">
                <a:solidFill>
                  <a:schemeClr val="tx1"/>
                </a:solidFill>
                <a:latin typeface="Helvetica" pitchFamily="2" charset="0"/>
              </a:rPr>
              <a:t>2.0 eq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Helvetica" pitchFamily="2" charset="0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0951812211824246"/>
                  <c:y val="-4.805724650174419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Helvetica" pitchFamily="2" charset="0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[3]Et4NClを変化!$K$4:$K$8</c:f>
              <c:numCache>
                <c:formatCode>General</c:formatCode>
                <c:ptCount val="5"/>
                <c:pt idx="0">
                  <c:v>15</c:v>
                </c:pt>
                <c:pt idx="1">
                  <c:v>30</c:v>
                </c:pt>
                <c:pt idx="2">
                  <c:v>60</c:v>
                </c:pt>
                <c:pt idx="3">
                  <c:v>120</c:v>
                </c:pt>
                <c:pt idx="4">
                  <c:v>180</c:v>
                </c:pt>
              </c:numCache>
            </c:numRef>
          </c:xVal>
          <c:yVal>
            <c:numRef>
              <c:f>[3]Et4NClを変化!$M$4:$M$8</c:f>
              <c:numCache>
                <c:formatCode>General</c:formatCode>
                <c:ptCount val="5"/>
                <c:pt idx="0">
                  <c:v>-0.12870145992198048</c:v>
                </c:pt>
                <c:pt idx="1">
                  <c:v>-0.16071386293109449</c:v>
                </c:pt>
                <c:pt idx="2">
                  <c:v>-0.34440823814030047</c:v>
                </c:pt>
                <c:pt idx="3">
                  <c:v>-0.79464964564620333</c:v>
                </c:pt>
                <c:pt idx="4">
                  <c:v>-1.1912646299013954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C5E-9F4B-A103-BF94EC877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2019007"/>
        <c:axId val="872047727"/>
      </c:scatterChart>
      <c:valAx>
        <c:axId val="872019007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Helvetica" pitchFamily="2" charset="0"/>
                    <a:ea typeface="+mn-ea"/>
                    <a:cs typeface="+mn-cs"/>
                  </a:defRPr>
                </a:pPr>
                <a:r>
                  <a:rPr lang="en-US" altLang="ja-JP">
                    <a:solidFill>
                      <a:schemeClr val="tx1"/>
                    </a:solidFill>
                    <a:latin typeface="Helvetica" pitchFamily="2" charset="0"/>
                  </a:rPr>
                  <a:t>min</a:t>
                </a:r>
                <a:endParaRPr lang="ja-JP" altLang="en-US">
                  <a:solidFill>
                    <a:schemeClr val="tx1"/>
                  </a:solidFill>
                  <a:latin typeface="Helvetica" pitchFamily="2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Helvetica" pitchFamily="2" charset="0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Helvetica" pitchFamily="2" charset="0"/>
                <a:ea typeface="+mn-ea"/>
                <a:cs typeface="+mn-cs"/>
              </a:defRPr>
            </a:pPr>
            <a:endParaRPr lang="ja-JP"/>
          </a:p>
        </c:txPr>
        <c:crossAx val="872047727"/>
        <c:crossesAt val="-1.5"/>
        <c:crossBetween val="midCat"/>
      </c:valAx>
      <c:valAx>
        <c:axId val="872047727"/>
        <c:scaling>
          <c:orientation val="minMax"/>
          <c:max val="0"/>
          <c:min val="-1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Helvetica" pitchFamily="2" charset="0"/>
                    <a:ea typeface="+mn-ea"/>
                    <a:cs typeface="+mn-cs"/>
                  </a:defRPr>
                </a:pPr>
                <a:r>
                  <a:rPr lang="en-US" altLang="ja-JP" sz="1000" b="0" i="0" u="none" strike="noStrike" baseline="0">
                    <a:solidFill>
                      <a:schemeClr val="tx1"/>
                    </a:solidFill>
                    <a:effectLst/>
                    <a:latin typeface="Helvetica" pitchFamily="2" charset="0"/>
                  </a:rPr>
                  <a:t>ln([23]/[23]0</a:t>
                </a:r>
                <a:r>
                  <a:rPr lang="en-US" altLang="ja-JP" sz="1000" b="0" i="0" u="none" strike="noStrike" baseline="0">
                    <a:solidFill>
                      <a:schemeClr val="tx1"/>
                    </a:solidFill>
                    <a:latin typeface="Helvetica" pitchFamily="2" charset="0"/>
                  </a:rPr>
                  <a:t> </a:t>
                </a:r>
                <a:endParaRPr lang="ja-JP" altLang="en-US">
                  <a:solidFill>
                    <a:schemeClr val="tx1"/>
                  </a:solidFill>
                  <a:latin typeface="Helvetica" pitchFamily="2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Helvetica" pitchFamily="2" charset="0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Helvetica" pitchFamily="2" charset="0"/>
                <a:ea typeface="+mn-ea"/>
                <a:cs typeface="+mn-cs"/>
              </a:defRPr>
            </a:pPr>
            <a:endParaRPr lang="ja-JP"/>
          </a:p>
        </c:txPr>
        <c:crossAx val="8720190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Helvetica" pitchFamily="2" charset="0"/>
                <a:ea typeface="+mn-ea"/>
                <a:cs typeface="+mn-cs"/>
              </a:defRPr>
            </a:pPr>
            <a:r>
              <a:rPr lang="en-US" altLang="ja-JP" baseline="0">
                <a:solidFill>
                  <a:schemeClr val="tx1"/>
                </a:solidFill>
                <a:latin typeface="Helvetica" pitchFamily="2" charset="0"/>
              </a:rPr>
              <a:t>5.0 eq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Helvetica" pitchFamily="2" charset="0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0470541961525819"/>
                  <c:y val="9.1663660927520027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Helvetica" pitchFamily="2" charset="0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[3]Et4NClを変化!$K$4:$K$8</c:f>
              <c:numCache>
                <c:formatCode>General</c:formatCode>
                <c:ptCount val="5"/>
                <c:pt idx="0">
                  <c:v>15</c:v>
                </c:pt>
                <c:pt idx="1">
                  <c:v>30</c:v>
                </c:pt>
                <c:pt idx="2">
                  <c:v>60</c:v>
                </c:pt>
                <c:pt idx="3">
                  <c:v>120</c:v>
                </c:pt>
                <c:pt idx="4">
                  <c:v>180</c:v>
                </c:pt>
              </c:numCache>
            </c:numRef>
          </c:xVal>
          <c:yVal>
            <c:numRef>
              <c:f>[3]Et4NClを変化!$N$4:$N$8</c:f>
              <c:numCache>
                <c:formatCode>General</c:formatCode>
                <c:ptCount val="5"/>
                <c:pt idx="0">
                  <c:v>-8.8902544960165017E-2</c:v>
                </c:pt>
                <c:pt idx="1">
                  <c:v>-0.16661531365937693</c:v>
                </c:pt>
                <c:pt idx="2">
                  <c:v>-0.37004074314606694</c:v>
                </c:pt>
                <c:pt idx="3">
                  <c:v>-0.74619831697063232</c:v>
                </c:pt>
                <c:pt idx="4">
                  <c:v>-1.035706559281286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7D6-9D46-858D-CE5926616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2019007"/>
        <c:axId val="872047727"/>
      </c:scatterChart>
      <c:valAx>
        <c:axId val="872019007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Helvetica" pitchFamily="2" charset="0"/>
                    <a:ea typeface="+mn-ea"/>
                    <a:cs typeface="+mn-cs"/>
                  </a:defRPr>
                </a:pPr>
                <a:r>
                  <a:rPr lang="en-US" altLang="ja-JP">
                    <a:solidFill>
                      <a:schemeClr val="tx1"/>
                    </a:solidFill>
                    <a:latin typeface="Helvetica" pitchFamily="2" charset="0"/>
                  </a:rPr>
                  <a:t>min</a:t>
                </a:r>
                <a:endParaRPr lang="ja-JP" altLang="en-US">
                  <a:solidFill>
                    <a:schemeClr val="tx1"/>
                  </a:solidFill>
                  <a:latin typeface="Helvetica" pitchFamily="2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Helvetica" pitchFamily="2" charset="0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Helvetica" pitchFamily="2" charset="0"/>
                <a:ea typeface="+mn-ea"/>
                <a:cs typeface="+mn-cs"/>
              </a:defRPr>
            </a:pPr>
            <a:endParaRPr lang="ja-JP"/>
          </a:p>
        </c:txPr>
        <c:crossAx val="872047727"/>
        <c:crossesAt val="-1.5"/>
        <c:crossBetween val="midCat"/>
      </c:valAx>
      <c:valAx>
        <c:axId val="872047727"/>
        <c:scaling>
          <c:orientation val="minMax"/>
          <c:max val="0"/>
          <c:min val="-1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Helvetica" pitchFamily="2" charset="0"/>
                    <a:ea typeface="+mn-ea"/>
                    <a:cs typeface="+mn-cs"/>
                  </a:defRPr>
                </a:pPr>
                <a:r>
                  <a:rPr lang="en-US" altLang="ja-JP" sz="1000" b="0" i="0" u="none" strike="noStrike" baseline="0">
                    <a:solidFill>
                      <a:schemeClr val="tx1"/>
                    </a:solidFill>
                    <a:effectLst/>
                    <a:latin typeface="Helvetica" pitchFamily="2" charset="0"/>
                  </a:rPr>
                  <a:t>ln([23]/[23]0</a:t>
                </a:r>
                <a:r>
                  <a:rPr lang="en-US" altLang="ja-JP" sz="1000" b="0" i="0" u="none" strike="noStrike" baseline="0">
                    <a:solidFill>
                      <a:schemeClr val="tx1"/>
                    </a:solidFill>
                    <a:latin typeface="Helvetica" pitchFamily="2" charset="0"/>
                  </a:rPr>
                  <a:t> </a:t>
                </a:r>
                <a:endParaRPr lang="ja-JP" altLang="en-US">
                  <a:solidFill>
                    <a:schemeClr val="tx1"/>
                  </a:solidFill>
                  <a:latin typeface="Helvetica" pitchFamily="2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Helvetica" pitchFamily="2" charset="0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Helvetica" pitchFamily="2" charset="0"/>
                <a:ea typeface="+mn-ea"/>
                <a:cs typeface="+mn-cs"/>
              </a:defRPr>
            </a:pPr>
            <a:endParaRPr lang="ja-JP"/>
          </a:p>
        </c:txPr>
        <c:crossAx val="8720190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969816272965887E-2"/>
          <c:y val="9.2592592592592587E-2"/>
          <c:w val="0.81589129483814526"/>
          <c:h val="0.77723024205307667"/>
        </c:manualLayout>
      </c:layout>
      <c:scatterChart>
        <c:scatterStyle val="lineMarker"/>
        <c:varyColors val="0"/>
        <c:ser>
          <c:idx val="0"/>
          <c:order val="0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'[1]summary (2)'!$A$2:$A$5</c:f>
              <c:numCache>
                <c:formatCode>General</c:formatCode>
                <c:ptCount val="4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0.125</c:v>
                </c:pt>
              </c:numCache>
            </c:numRef>
          </c:xVal>
          <c:yVal>
            <c:numRef>
              <c:f>'[1]summary (2)'!$B$2:$B$5</c:f>
              <c:numCache>
                <c:formatCode>General</c:formatCode>
                <c:ptCount val="4"/>
                <c:pt idx="0">
                  <c:v>0</c:v>
                </c:pt>
                <c:pt idx="1">
                  <c:v>1.3166666666666669</c:v>
                </c:pt>
                <c:pt idx="2">
                  <c:v>1.1000000000000001</c:v>
                </c:pt>
                <c:pt idx="3">
                  <c:v>0.96666666666666656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9E6-E944-9E86-B7E78B770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26515104"/>
        <c:axId val="1690740416"/>
      </c:scatterChart>
      <c:valAx>
        <c:axId val="1526515104"/>
        <c:scaling>
          <c:orientation val="minMax"/>
          <c:max val="0.15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Helvetica" pitchFamily="2" charset="0"/>
                <a:ea typeface="+mn-ea"/>
                <a:cs typeface="+mn-cs"/>
              </a:defRPr>
            </a:pPr>
            <a:endParaRPr lang="ja-JP"/>
          </a:p>
        </c:txPr>
        <c:crossAx val="1690740416"/>
        <c:crosses val="autoZero"/>
        <c:crossBetween val="midCat"/>
        <c:majorUnit val="0.05"/>
      </c:valAx>
      <c:valAx>
        <c:axId val="1690740416"/>
        <c:scaling>
          <c:orientation val="minMax"/>
          <c:max val="1.6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Helvetica" pitchFamily="2" charset="0"/>
                <a:ea typeface="+mn-ea"/>
                <a:cs typeface="+mn-cs"/>
              </a:defRPr>
            </a:pPr>
            <a:endParaRPr lang="ja-JP"/>
          </a:p>
        </c:txPr>
        <c:crossAx val="1526515104"/>
        <c:crosses val="autoZero"/>
        <c:crossBetween val="midCat"/>
        <c:majorUnit val="0.4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[2]TBAFを変化!$I$4:$I$8</c:f>
              <c:numCache>
                <c:formatCode>General</c:formatCode>
                <c:ptCount val="5"/>
                <c:pt idx="0">
                  <c:v>15</c:v>
                </c:pt>
                <c:pt idx="1">
                  <c:v>30</c:v>
                </c:pt>
                <c:pt idx="2">
                  <c:v>60</c:v>
                </c:pt>
                <c:pt idx="3">
                  <c:v>120</c:v>
                </c:pt>
                <c:pt idx="4">
                  <c:v>180</c:v>
                </c:pt>
              </c:numCache>
            </c:numRef>
          </c:xVal>
          <c:yVal>
            <c:numRef>
              <c:f>[2]TBAFを変化!$J$4:$J$8</c:f>
              <c:numCache>
                <c:formatCode>General</c:formatCode>
                <c:ptCount val="5"/>
                <c:pt idx="0">
                  <c:v>-10.636662430237573</c:v>
                </c:pt>
                <c:pt idx="1">
                  <c:v>-10.763503029653986</c:v>
                </c:pt>
                <c:pt idx="2">
                  <c:v>-10.985587149957441</c:v>
                </c:pt>
                <c:pt idx="3">
                  <c:v>-11.46440070959221</c:v>
                </c:pt>
                <c:pt idx="4">
                  <c:v>-11.986987401246079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44B-7B42-8F2F-44D56E5580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2072063"/>
        <c:axId val="838774399"/>
      </c:scatterChart>
      <c:valAx>
        <c:axId val="8720720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38774399"/>
        <c:crosses val="autoZero"/>
        <c:crossBetween val="midCat"/>
      </c:valAx>
      <c:valAx>
        <c:axId val="838774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720720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[2]TBAFを変化!$I$4:$I$8</c:f>
              <c:numCache>
                <c:formatCode>General</c:formatCode>
                <c:ptCount val="5"/>
                <c:pt idx="0">
                  <c:v>15</c:v>
                </c:pt>
                <c:pt idx="1">
                  <c:v>30</c:v>
                </c:pt>
                <c:pt idx="2">
                  <c:v>60</c:v>
                </c:pt>
                <c:pt idx="3">
                  <c:v>120</c:v>
                </c:pt>
                <c:pt idx="4">
                  <c:v>180</c:v>
                </c:pt>
              </c:numCache>
            </c:numRef>
          </c:xVal>
          <c:yVal>
            <c:numRef>
              <c:f>[2]TBAFを変化!$K$4:$K$8</c:f>
              <c:numCache>
                <c:formatCode>General</c:formatCode>
                <c:ptCount val="5"/>
                <c:pt idx="0">
                  <c:v>-10.737787814183971</c:v>
                </c:pt>
                <c:pt idx="1">
                  <c:v>-10.854858489610919</c:v>
                </c:pt>
                <c:pt idx="2">
                  <c:v>-11.113835123423835</c:v>
                </c:pt>
                <c:pt idx="3">
                  <c:v>-11.693647375485757</c:v>
                </c:pt>
                <c:pt idx="4">
                  <c:v>-12.253029071890323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8E2-974F-975A-E8E851DD4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2072063"/>
        <c:axId val="838774399"/>
      </c:scatterChart>
      <c:valAx>
        <c:axId val="8720720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38774399"/>
        <c:crosses val="autoZero"/>
        <c:crossBetween val="midCat"/>
      </c:valAx>
      <c:valAx>
        <c:axId val="838774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720720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1.2</a:t>
            </a:r>
            <a:r>
              <a:rPr lang="en-US" altLang="ja-JP" baseline="0"/>
              <a:t>eq</a:t>
            </a:r>
            <a:endParaRPr lang="ja-JP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1837335958005249"/>
                  <c:y val="2.693715368912219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[2]TBAFを変化!$K$24:$K$29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60</c:v>
                </c:pt>
                <c:pt idx="4">
                  <c:v>120</c:v>
                </c:pt>
                <c:pt idx="5">
                  <c:v>180</c:v>
                </c:pt>
              </c:numCache>
            </c:numRef>
          </c:xVal>
          <c:yVal>
            <c:numRef>
              <c:f>[2]TBAFを変化!$L$24:$L$29</c:f>
              <c:numCache>
                <c:formatCode>General</c:formatCode>
                <c:ptCount val="6"/>
                <c:pt idx="0">
                  <c:v>-10.750988323667789</c:v>
                </c:pt>
                <c:pt idx="1">
                  <c:v>-10.929280760605447</c:v>
                </c:pt>
                <c:pt idx="2">
                  <c:v>-11.083294511255996</c:v>
                </c:pt>
                <c:pt idx="3">
                  <c:v>-11.351277038010455</c:v>
                </c:pt>
                <c:pt idx="4">
                  <c:v>-11.956691683141379</c:v>
                </c:pt>
                <c:pt idx="5">
                  <c:v>-12.611356833477911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29A-5440-898A-8FD90897A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8932400"/>
        <c:axId val="1018947520"/>
      </c:scatterChart>
      <c:valAx>
        <c:axId val="1018932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18947520"/>
        <c:crosses val="autoZero"/>
        <c:crossBetween val="midCat"/>
      </c:valAx>
      <c:valAx>
        <c:axId val="101894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189324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3.6eq</a:t>
            </a:r>
            <a:endParaRPr lang="ja-JP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1837335958005249"/>
                  <c:y val="2.693715368912219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[2]TBAFを変化!$K$24:$K$29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60</c:v>
                </c:pt>
                <c:pt idx="4">
                  <c:v>120</c:v>
                </c:pt>
                <c:pt idx="5">
                  <c:v>180</c:v>
                </c:pt>
              </c:numCache>
            </c:numRef>
          </c:xVal>
          <c:yVal>
            <c:numRef>
              <c:f>[2]TBAFを変化!$M$24:$M$29</c:f>
              <c:numCache>
                <c:formatCode>General</c:formatCode>
                <c:ptCount val="6"/>
                <c:pt idx="0">
                  <c:v>-10.813494241812728</c:v>
                </c:pt>
                <c:pt idx="1">
                  <c:v>-11.009200332101319</c:v>
                </c:pt>
                <c:pt idx="2">
                  <c:v>-11.203288873194222</c:v>
                </c:pt>
                <c:pt idx="3">
                  <c:v>-11.486583718771129</c:v>
                </c:pt>
                <c:pt idx="4">
                  <c:v>-12.214985373459498</c:v>
                </c:pt>
                <c:pt idx="5">
                  <c:v>-12.707318479103323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E4F-8943-B10D-53983739E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8932400"/>
        <c:axId val="1018947520"/>
      </c:scatterChart>
      <c:valAx>
        <c:axId val="1018932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18947520"/>
        <c:crosses val="autoZero"/>
        <c:crossBetween val="midCat"/>
      </c:valAx>
      <c:valAx>
        <c:axId val="101894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189324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1.2</a:t>
            </a:r>
            <a:r>
              <a:rPr lang="en-US" altLang="ja-JP" baseline="0"/>
              <a:t>eq</a:t>
            </a:r>
            <a:endParaRPr lang="ja-JP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1837335958005249"/>
                  <c:y val="2.693715368912219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'[2]TBAFを変化 (2)'!$P$23:$P$30</c:f>
              <c:numCache>
                <c:formatCode>General</c:formatCode>
                <c:ptCount val="8"/>
                <c:pt idx="0">
                  <c:v>0</c:v>
                </c:pt>
                <c:pt idx="1">
                  <c:v>15</c:v>
                </c:pt>
                <c:pt idx="2">
                  <c:v>35</c:v>
                </c:pt>
                <c:pt idx="3">
                  <c:v>50</c:v>
                </c:pt>
                <c:pt idx="4">
                  <c:v>65</c:v>
                </c:pt>
                <c:pt idx="5">
                  <c:v>95</c:v>
                </c:pt>
                <c:pt idx="6">
                  <c:v>125</c:v>
                </c:pt>
                <c:pt idx="7">
                  <c:v>185</c:v>
                </c:pt>
              </c:numCache>
            </c:numRef>
          </c:xVal>
          <c:yVal>
            <c:numRef>
              <c:f>'[2]TBAFを変化 (2)'!$Q$23:$Q$30</c:f>
              <c:numCache>
                <c:formatCode>General</c:formatCode>
                <c:ptCount val="8"/>
                <c:pt idx="0">
                  <c:v>-10.772883718072531</c:v>
                </c:pt>
                <c:pt idx="1">
                  <c:v>-10.907615731017744</c:v>
                </c:pt>
                <c:pt idx="2">
                  <c:v>-11.151667062710908</c:v>
                </c:pt>
                <c:pt idx="3">
                  <c:v>-11.338606094471174</c:v>
                </c:pt>
                <c:pt idx="4">
                  <c:v>-11.528553204861256</c:v>
                </c:pt>
                <c:pt idx="5">
                  <c:v>-11.913769292559953</c:v>
                </c:pt>
                <c:pt idx="6">
                  <c:v>-12.275210276716278</c:v>
                </c:pt>
                <c:pt idx="7">
                  <c:v>-12.919618998078235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EA5-3F44-B2EA-5B05019FB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8932400"/>
        <c:axId val="1018947520"/>
      </c:scatterChart>
      <c:valAx>
        <c:axId val="1018932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18947520"/>
        <c:crosses val="autoZero"/>
        <c:crossBetween val="midCat"/>
      </c:valAx>
      <c:valAx>
        <c:axId val="1018947520"/>
        <c:scaling>
          <c:orientation val="minMax"/>
          <c:max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189324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2.4</a:t>
            </a:r>
            <a:r>
              <a:rPr lang="en-US" altLang="ja-JP" baseline="0"/>
              <a:t>eq</a:t>
            </a:r>
            <a:endParaRPr lang="ja-JP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1837335958005249"/>
                  <c:y val="2.693715368912219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'[2]TBAFを変化 (2)'!$P$23:$P$30</c:f>
              <c:numCache>
                <c:formatCode>General</c:formatCode>
                <c:ptCount val="8"/>
                <c:pt idx="0">
                  <c:v>0</c:v>
                </c:pt>
                <c:pt idx="1">
                  <c:v>15</c:v>
                </c:pt>
                <c:pt idx="2">
                  <c:v>35</c:v>
                </c:pt>
                <c:pt idx="3">
                  <c:v>50</c:v>
                </c:pt>
                <c:pt idx="4">
                  <c:v>65</c:v>
                </c:pt>
                <c:pt idx="5">
                  <c:v>95</c:v>
                </c:pt>
                <c:pt idx="6">
                  <c:v>125</c:v>
                </c:pt>
                <c:pt idx="7">
                  <c:v>185</c:v>
                </c:pt>
              </c:numCache>
            </c:numRef>
          </c:xVal>
          <c:yVal>
            <c:numRef>
              <c:f>'[2]TBAFを変化 (2)'!$R$23:$R$30</c:f>
              <c:numCache>
                <c:formatCode>General</c:formatCode>
                <c:ptCount val="8"/>
                <c:pt idx="0">
                  <c:v>-10.768361960752467</c:v>
                </c:pt>
                <c:pt idx="1">
                  <c:v>-10.920139376228846</c:v>
                </c:pt>
                <c:pt idx="2">
                  <c:v>-11.184227452849324</c:v>
                </c:pt>
                <c:pt idx="3">
                  <c:v>-11.397775503679442</c:v>
                </c:pt>
                <c:pt idx="4">
                  <c:v>-11.61812918126458</c:v>
                </c:pt>
                <c:pt idx="5">
                  <c:v>-12.021064777062788</c:v>
                </c:pt>
                <c:pt idx="6">
                  <c:v>-12.376837872150375</c:v>
                </c:pt>
                <c:pt idx="7">
                  <c:v>-12.9384086949216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C5F-2146-88EF-756FEC559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8932400"/>
        <c:axId val="1018947520"/>
      </c:scatterChart>
      <c:valAx>
        <c:axId val="1018932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18947520"/>
        <c:crosses val="autoZero"/>
        <c:crossBetween val="midCat"/>
      </c:valAx>
      <c:valAx>
        <c:axId val="1018947520"/>
        <c:scaling>
          <c:orientation val="minMax"/>
          <c:max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189324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6.0</a:t>
            </a:r>
            <a:r>
              <a:rPr lang="en-US" altLang="ja-JP" baseline="0"/>
              <a:t>eq</a:t>
            </a:r>
            <a:endParaRPr lang="ja-JP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1837335958005249"/>
                  <c:y val="2.693715368912219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'[2]TBAFを変化 (2)'!$S$23:$S$29</c:f>
              <c:numCache>
                <c:formatCode>General</c:formatCode>
                <c:ptCount val="7"/>
                <c:pt idx="0">
                  <c:v>0</c:v>
                </c:pt>
                <c:pt idx="1">
                  <c:v>12</c:v>
                </c:pt>
                <c:pt idx="2">
                  <c:v>35</c:v>
                </c:pt>
                <c:pt idx="3">
                  <c:v>65</c:v>
                </c:pt>
                <c:pt idx="4">
                  <c:v>95</c:v>
                </c:pt>
                <c:pt idx="5">
                  <c:v>125</c:v>
                </c:pt>
                <c:pt idx="6">
                  <c:v>185</c:v>
                </c:pt>
              </c:numCache>
            </c:numRef>
          </c:xVal>
          <c:yVal>
            <c:numRef>
              <c:f>'[2]TBAFを変化 (2)'!$U$23:$U$29</c:f>
              <c:numCache>
                <c:formatCode>General</c:formatCode>
                <c:ptCount val="7"/>
                <c:pt idx="0">
                  <c:v>-10.805184205083595</c:v>
                </c:pt>
                <c:pt idx="1">
                  <c:v>-10.957370890826194</c:v>
                </c:pt>
                <c:pt idx="2">
                  <c:v>-11.229740716216442</c:v>
                </c:pt>
                <c:pt idx="3">
                  <c:v>-11.626323632317598</c:v>
                </c:pt>
                <c:pt idx="4">
                  <c:v>-11.961604920008844</c:v>
                </c:pt>
                <c:pt idx="5">
                  <c:v>-12.361037871383589</c:v>
                </c:pt>
                <c:pt idx="6">
                  <c:v>-12.831574029265322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991-4247-81E3-06D1129EA3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8932400"/>
        <c:axId val="1018947520"/>
      </c:scatterChart>
      <c:valAx>
        <c:axId val="1018932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18947520"/>
        <c:crosses val="autoZero"/>
        <c:crossBetween val="midCat"/>
      </c:valAx>
      <c:valAx>
        <c:axId val="1018947520"/>
        <c:scaling>
          <c:orientation val="minMax"/>
          <c:max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189324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6</xdr:row>
      <xdr:rowOff>12700</xdr:rowOff>
    </xdr:from>
    <xdr:to>
      <xdr:col>5</xdr:col>
      <xdr:colOff>190500</xdr:colOff>
      <xdr:row>16</xdr:row>
      <xdr:rowOff>215900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58500A1A-B8C3-72F4-2820-7BC210ED75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939800</xdr:colOff>
      <xdr:row>5</xdr:row>
      <xdr:rowOff>241300</xdr:rowOff>
    </xdr:from>
    <xdr:to>
      <xdr:col>11</xdr:col>
      <xdr:colOff>31750</xdr:colOff>
      <xdr:row>18</xdr:row>
      <xdr:rowOff>95250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1C8B1732-1D21-C24B-9032-A178EA488A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9</xdr:row>
      <xdr:rowOff>76200</xdr:rowOff>
    </xdr:from>
    <xdr:to>
      <xdr:col>5</xdr:col>
      <xdr:colOff>114300</xdr:colOff>
      <xdr:row>20</xdr:row>
      <xdr:rowOff>25400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9850BCB-A4B0-CD46-8E98-9F32BF2DCD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457200</xdr:colOff>
      <xdr:row>10</xdr:row>
      <xdr:rowOff>50800</xdr:rowOff>
    </xdr:from>
    <xdr:to>
      <xdr:col>10</xdr:col>
      <xdr:colOff>266700</xdr:colOff>
      <xdr:row>21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17469B6-03FC-064E-9673-06D79407DB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19050</xdr:colOff>
      <xdr:row>31</xdr:row>
      <xdr:rowOff>127000</xdr:rowOff>
    </xdr:from>
    <xdr:to>
      <xdr:col>5</xdr:col>
      <xdr:colOff>781050</xdr:colOff>
      <xdr:row>42</xdr:row>
      <xdr:rowOff>76200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7D93219-3D2D-FA44-8AA9-EB35ACEC23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647700</xdr:colOff>
      <xdr:row>31</xdr:row>
      <xdr:rowOff>25400</xdr:rowOff>
    </xdr:from>
    <xdr:to>
      <xdr:col>11</xdr:col>
      <xdr:colOff>457200</xdr:colOff>
      <xdr:row>41</xdr:row>
      <xdr:rowOff>228600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22B6785C-3B50-7F40-86B3-63620EBC73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452183</xdr:colOff>
      <xdr:row>46</xdr:row>
      <xdr:rowOff>160317</xdr:rowOff>
    </xdr:from>
    <xdr:to>
      <xdr:col>5</xdr:col>
      <xdr:colOff>261683</xdr:colOff>
      <xdr:row>57</xdr:row>
      <xdr:rowOff>109517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DAF62DD9-F793-1046-9FDA-9454689EC0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84276</xdr:colOff>
      <xdr:row>46</xdr:row>
      <xdr:rowOff>43117</xdr:rowOff>
    </xdr:from>
    <xdr:to>
      <xdr:col>10</xdr:col>
      <xdr:colOff>850195</xdr:colOff>
      <xdr:row>56</xdr:row>
      <xdr:rowOff>243181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FE45AA8E-909F-D74F-B98A-C7DAE409D6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480169</xdr:colOff>
      <xdr:row>46</xdr:row>
      <xdr:rowOff>11760</xdr:rowOff>
    </xdr:from>
    <xdr:to>
      <xdr:col>15</xdr:col>
      <xdr:colOff>377863</xdr:colOff>
      <xdr:row>56</xdr:row>
      <xdr:rowOff>211824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C6EFD716-67F7-7743-9B58-ECA82E0A99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780763</xdr:colOff>
      <xdr:row>9</xdr:row>
      <xdr:rowOff>187036</xdr:rowOff>
    </xdr:from>
    <xdr:to>
      <xdr:col>5</xdr:col>
      <xdr:colOff>590263</xdr:colOff>
      <xdr:row>20</xdr:row>
      <xdr:rowOff>72736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68E60052-74BB-E345-92BC-63CDA2E93A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814456</xdr:colOff>
      <xdr:row>9</xdr:row>
      <xdr:rowOff>151849</xdr:rowOff>
    </xdr:from>
    <xdr:to>
      <xdr:col>10</xdr:col>
      <xdr:colOff>623956</xdr:colOff>
      <xdr:row>20</xdr:row>
      <xdr:rowOff>37549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BB149BCD-DF19-6F4F-835F-E67C23074B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940740</xdr:colOff>
      <xdr:row>9</xdr:row>
      <xdr:rowOff>151426</xdr:rowOff>
    </xdr:from>
    <xdr:to>
      <xdr:col>14</xdr:col>
      <xdr:colOff>896716</xdr:colOff>
      <xdr:row>20</xdr:row>
      <xdr:rowOff>37126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id="{71A3B2EF-DF31-5748-AD1F-AB29E4C0BE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78395</xdr:colOff>
      <xdr:row>9</xdr:row>
      <xdr:rowOff>172469</xdr:rowOff>
    </xdr:from>
    <xdr:to>
      <xdr:col>19</xdr:col>
      <xdr:colOff>504741</xdr:colOff>
      <xdr:row>20</xdr:row>
      <xdr:rowOff>58169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F17F621C-114E-D746-B5E4-F4AA91C443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653815</xdr:colOff>
      <xdr:row>12</xdr:row>
      <xdr:rowOff>219820</xdr:rowOff>
    </xdr:from>
    <xdr:to>
      <xdr:col>35</xdr:col>
      <xdr:colOff>443716</xdr:colOff>
      <xdr:row>23</xdr:row>
      <xdr:rowOff>203513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4ECD26B3-5E21-CE43-B00E-30FC2EA5C4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292100</xdr:colOff>
      <xdr:row>9</xdr:row>
      <xdr:rowOff>63500</xdr:rowOff>
    </xdr:from>
    <xdr:to>
      <xdr:col>26</xdr:col>
      <xdr:colOff>444500</xdr:colOff>
      <xdr:row>21</xdr:row>
      <xdr:rowOff>12700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47ED4902-668E-5BFB-3E60-B1D4CB08C8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508000</xdr:colOff>
      <xdr:row>12</xdr:row>
      <xdr:rowOff>38100</xdr:rowOff>
    </xdr:from>
    <xdr:to>
      <xdr:col>5</xdr:col>
      <xdr:colOff>114300</xdr:colOff>
      <xdr:row>22</xdr:row>
      <xdr:rowOff>241300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253B5CCC-C20A-CA44-BEF7-00768E218C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25400</xdr:colOff>
      <xdr:row>12</xdr:row>
      <xdr:rowOff>0</xdr:rowOff>
    </xdr:from>
    <xdr:to>
      <xdr:col>10</xdr:col>
      <xdr:colOff>786773</xdr:colOff>
      <xdr:row>22</xdr:row>
      <xdr:rowOff>200065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A12E97A-D179-8C4C-9F74-DE5110253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279400</xdr:colOff>
      <xdr:row>12</xdr:row>
      <xdr:rowOff>12700</xdr:rowOff>
    </xdr:from>
    <xdr:to>
      <xdr:col>16</xdr:col>
      <xdr:colOff>92820</xdr:colOff>
      <xdr:row>22</xdr:row>
      <xdr:rowOff>212765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72B375DD-B7CD-6D4A-99DA-49A1A6C29F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kazunorimiyamoto/Documents/2023.1.20&#12486;&#12441;&#12473;&#12463;&#12488;&#12483;&#12501;&#12442;/desktop%2012.05/&#12510;&#12452;&#12501;&#12457;&#12523;&#12479;&#12441;/backup%202019.4/&#35542;&#25991;/Manus%20m-benzyne/final/submit/revise/Final/steele/revised2/steele/&#26368;&#32066;/nr-editorial-policy-checklist/Graph%20Fig%203-2.xlsx" TargetMode="External"/><Relationship Id="rId1" Type="http://schemas.openxmlformats.org/officeDocument/2006/relationships/externalLinkPath" Target="/Users/kazunorimiyamoto/Documents/2023.1.20&#12486;&#12441;&#12473;&#12463;&#12488;&#12483;&#12501;&#12442;/desktop%2012.05/&#12510;&#12452;&#12501;&#12457;&#12523;&#12479;&#12441;/backup%202019.4/&#35542;&#25991;/Manus%20m-benzyne/final/submit/revise/Final/steele/revised2/steele/&#26368;&#32066;/nr-editorial-policy-checklist/Graph%20Fig%203-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kazunorimiyamoto/Desktop/m-benzyne_&#32076;&#26178;&#22793;&#21270;_1.xlsx" TargetMode="External"/><Relationship Id="rId1" Type="http://schemas.openxmlformats.org/officeDocument/2006/relationships/externalLinkPath" Target="/Users/kazunorimiyamoto/Documents/2023.1.20&#12486;&#12441;&#12473;&#12463;&#12488;&#12483;&#12501;&#12442;/desktop%2012.05/&#12510;&#12452;&#12501;&#12457;&#12523;&#12479;&#12441;/backup%202019.4/&#35542;&#25991;/Manus%20m-benzyne/final/submit/revise/Final/steele/revised2/steele/&#26368;&#32066;/nr-editorial-policy-checklist/m-benzyne_&#32076;&#26178;&#22793;&#21270;_1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kazunorimiyamoto/Desktop/m-benzyne_&#32076;&#26178;&#22793;&#21270;_1.xlsx" TargetMode="External"/><Relationship Id="rId1" Type="http://schemas.openxmlformats.org/officeDocument/2006/relationships/externalLinkPath" Target="/Users/kazunorimiyamoto/Desktop/m-benzyne_&#32076;&#26178;&#22793;&#21270;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 (2)"/>
      <sheetName val="summary"/>
      <sheetName val="raw data"/>
    </sheetNames>
    <sheetDataSet>
      <sheetData sheetId="0">
        <row r="2">
          <cell r="A2">
            <v>0</v>
          </cell>
          <cell r="B2">
            <v>0</v>
          </cell>
        </row>
        <row r="3">
          <cell r="A3">
            <v>2.5000000000000001E-2</v>
          </cell>
          <cell r="B3">
            <v>1.3166666666666669</v>
          </cell>
        </row>
        <row r="4">
          <cell r="A4">
            <v>0.05</v>
          </cell>
          <cell r="B4">
            <v>1.1000000000000001</v>
          </cell>
        </row>
        <row r="5">
          <cell r="A5">
            <v>0.125</v>
          </cell>
          <cell r="B5">
            <v>0.96666666666666656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t4NClを変化"/>
      <sheetName val="TBAFを変化 (2)"/>
      <sheetName val="TBAFを変化"/>
      <sheetName val="Sheet1"/>
    </sheetNames>
    <sheetDataSet>
      <sheetData sheetId="0"/>
      <sheetData sheetId="1">
        <row r="4">
          <cell r="P4">
            <v>13</v>
          </cell>
          <cell r="Q4">
            <v>-1.2316832563571302E-2</v>
          </cell>
          <cell r="R4">
            <v>-5.3582983024026323E-2</v>
          </cell>
          <cell r="S4">
            <v>12</v>
          </cell>
          <cell r="T4">
            <v>0</v>
          </cell>
          <cell r="U4">
            <v>-2.6975159539406046E-2</v>
          </cell>
          <cell r="AD4">
            <v>16129.032258064515</v>
          </cell>
        </row>
        <row r="5">
          <cell r="P5">
            <v>35</v>
          </cell>
          <cell r="Q5">
            <v>-0.14137133064440621</v>
          </cell>
          <cell r="R5">
            <v>-0.17516433807915729</v>
          </cell>
          <cell r="S5">
            <v>35</v>
          </cell>
          <cell r="T5">
            <v>-7.0948112947965145E-2</v>
          </cell>
          <cell r="U5">
            <v>-0.17456152897054225</v>
          </cell>
          <cell r="AD5">
            <v>6249.9999999999991</v>
          </cell>
        </row>
        <row r="6">
          <cell r="P6">
            <v>65</v>
          </cell>
          <cell r="Q6">
            <v>-0.45587606624170751</v>
          </cell>
          <cell r="R6">
            <v>-0.55782700966339194</v>
          </cell>
          <cell r="S6">
            <v>65</v>
          </cell>
          <cell r="T6">
            <v>-0.15126415427983436</v>
          </cell>
          <cell r="U6">
            <v>-0.5099255453761844</v>
          </cell>
          <cell r="AD6">
            <v>5882.3529411764703</v>
          </cell>
        </row>
        <row r="7">
          <cell r="P7">
            <v>95</v>
          </cell>
          <cell r="Q7">
            <v>-0.81821285939643495</v>
          </cell>
          <cell r="R7">
            <v>-0.93281788078260441</v>
          </cell>
          <cell r="S7">
            <v>95</v>
          </cell>
          <cell r="T7">
            <v>-0.22086725761238393</v>
          </cell>
          <cell r="U7">
            <v>-0.78660038279365541</v>
          </cell>
          <cell r="AD7">
            <v>6249.9999999999991</v>
          </cell>
        </row>
        <row r="8">
          <cell r="P8">
            <v>125</v>
          </cell>
          <cell r="Q8">
            <v>-1.0897380210474272</v>
          </cell>
          <cell r="R8">
            <v>-1.2207572541492233</v>
          </cell>
          <cell r="S8">
            <v>125</v>
          </cell>
          <cell r="T8">
            <v>-0.37003233221272813</v>
          </cell>
          <cell r="U8">
            <v>-1.0657981371339218</v>
          </cell>
        </row>
        <row r="9">
          <cell r="P9">
            <v>185</v>
          </cell>
          <cell r="Q9">
            <v>-1.596308851759662</v>
          </cell>
          <cell r="R9">
            <v>-1.7010035884315104</v>
          </cell>
          <cell r="S9">
            <v>185</v>
          </cell>
          <cell r="T9">
            <v>-0.64368853189029174</v>
          </cell>
          <cell r="U9">
            <v>-1.6010654009704577</v>
          </cell>
        </row>
        <row r="23">
          <cell r="P23">
            <v>0</v>
          </cell>
          <cell r="Q23">
            <v>-10.772883718072531</v>
          </cell>
          <cell r="R23">
            <v>-10.768361960752467</v>
          </cell>
          <cell r="S23">
            <v>0</v>
          </cell>
          <cell r="U23">
            <v>-10.805184205083595</v>
          </cell>
        </row>
        <row r="24">
          <cell r="P24">
            <v>15</v>
          </cell>
          <cell r="Q24">
            <v>-10.907615731017744</v>
          </cell>
          <cell r="R24">
            <v>-10.920139376228846</v>
          </cell>
          <cell r="S24">
            <v>12</v>
          </cell>
          <cell r="U24">
            <v>-10.957370890826194</v>
          </cell>
        </row>
        <row r="25">
          <cell r="P25">
            <v>35</v>
          </cell>
          <cell r="Q25">
            <v>-11.151667062710908</v>
          </cell>
          <cell r="R25">
            <v>-11.184227452849324</v>
          </cell>
          <cell r="S25">
            <v>35</v>
          </cell>
          <cell r="U25">
            <v>-11.229740716216442</v>
          </cell>
        </row>
        <row r="26">
          <cell r="P26">
            <v>50</v>
          </cell>
          <cell r="Q26">
            <v>-11.338606094471174</v>
          </cell>
          <cell r="R26">
            <v>-11.397775503679442</v>
          </cell>
          <cell r="S26">
            <v>65</v>
          </cell>
          <cell r="U26">
            <v>-11.626323632317598</v>
          </cell>
        </row>
        <row r="27">
          <cell r="P27">
            <v>65</v>
          </cell>
          <cell r="Q27">
            <v>-11.528553204861256</v>
          </cell>
          <cell r="R27">
            <v>-11.61812918126458</v>
          </cell>
          <cell r="S27">
            <v>95</v>
          </cell>
          <cell r="U27">
            <v>-11.961604920008844</v>
          </cell>
        </row>
        <row r="28">
          <cell r="P28">
            <v>95</v>
          </cell>
          <cell r="Q28">
            <v>-11.913769292559953</v>
          </cell>
          <cell r="R28">
            <v>-12.021064777062788</v>
          </cell>
          <cell r="S28">
            <v>125</v>
          </cell>
          <cell r="U28">
            <v>-12.361037871383589</v>
          </cell>
        </row>
        <row r="29">
          <cell r="P29">
            <v>125</v>
          </cell>
          <cell r="Q29">
            <v>-12.275210276716278</v>
          </cell>
          <cell r="R29">
            <v>-12.376837872150375</v>
          </cell>
          <cell r="S29">
            <v>185</v>
          </cell>
          <cell r="U29">
            <v>-12.831574029265322</v>
          </cell>
        </row>
        <row r="30">
          <cell r="P30">
            <v>185</v>
          </cell>
          <cell r="Q30">
            <v>-12.919618998078235</v>
          </cell>
          <cell r="R30">
            <v>-12.9384086949216</v>
          </cell>
        </row>
      </sheetData>
      <sheetData sheetId="2">
        <row r="4">
          <cell r="I4">
            <v>15</v>
          </cell>
          <cell r="J4">
            <v>-10.636662430237573</v>
          </cell>
          <cell r="K4">
            <v>-10.737787814183971</v>
          </cell>
        </row>
        <row r="5">
          <cell r="I5">
            <v>30</v>
          </cell>
          <cell r="J5">
            <v>-10.763503029653986</v>
          </cell>
          <cell r="K5">
            <v>-10.854858489610919</v>
          </cell>
        </row>
        <row r="6">
          <cell r="I6">
            <v>60</v>
          </cell>
          <cell r="J6">
            <v>-10.985587149957441</v>
          </cell>
          <cell r="K6">
            <v>-11.113835123423835</v>
          </cell>
        </row>
        <row r="7">
          <cell r="I7">
            <v>120</v>
          </cell>
          <cell r="J7">
            <v>-11.46440070959221</v>
          </cell>
          <cell r="K7">
            <v>-11.693647375485757</v>
          </cell>
        </row>
        <row r="8">
          <cell r="I8">
            <v>180</v>
          </cell>
          <cell r="J8">
            <v>-11.986987401246079</v>
          </cell>
          <cell r="K8">
            <v>-12.253029071890323</v>
          </cell>
        </row>
        <row r="24">
          <cell r="K24">
            <v>0</v>
          </cell>
          <cell r="L24">
            <v>-10.750988323667789</v>
          </cell>
          <cell r="M24">
            <v>-10.813494241812728</v>
          </cell>
        </row>
        <row r="25">
          <cell r="K25">
            <v>15</v>
          </cell>
          <cell r="L25">
            <v>-10.929280760605447</v>
          </cell>
          <cell r="M25">
            <v>-11.009200332101319</v>
          </cell>
        </row>
        <row r="26">
          <cell r="K26">
            <v>30</v>
          </cell>
          <cell r="L26">
            <v>-11.083294511255996</v>
          </cell>
          <cell r="M26">
            <v>-11.203288873194222</v>
          </cell>
        </row>
        <row r="27">
          <cell r="K27">
            <v>60</v>
          </cell>
          <cell r="L27">
            <v>-11.351277038010455</v>
          </cell>
          <cell r="M27">
            <v>-11.486583718771129</v>
          </cell>
        </row>
        <row r="28">
          <cell r="K28">
            <v>120</v>
          </cell>
          <cell r="L28">
            <v>-11.956691683141379</v>
          </cell>
          <cell r="M28">
            <v>-12.214985373459498</v>
          </cell>
        </row>
        <row r="29">
          <cell r="K29">
            <v>180</v>
          </cell>
          <cell r="L29">
            <v>-12.611356833477911</v>
          </cell>
          <cell r="M29">
            <v>-12.707318479103323</v>
          </cell>
        </row>
      </sheetData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t4NClを変化"/>
      <sheetName val="TBAFを変化 (2)"/>
      <sheetName val="TBAFを変化"/>
    </sheetNames>
    <sheetDataSet>
      <sheetData sheetId="0">
        <row r="3">
          <cell r="P3">
            <v>1</v>
          </cell>
        </row>
        <row r="4">
          <cell r="K4">
            <v>15</v>
          </cell>
          <cell r="L4">
            <v>-0.11751855807666682</v>
          </cell>
          <cell r="M4">
            <v>-0.12870145992198048</v>
          </cell>
          <cell r="N4">
            <v>-8.8902544960165017E-2</v>
          </cell>
        </row>
        <row r="5">
          <cell r="K5">
            <v>30</v>
          </cell>
          <cell r="L5">
            <v>-0.19522079451522897</v>
          </cell>
          <cell r="M5">
            <v>-0.16071386293109449</v>
          </cell>
          <cell r="N5">
            <v>-0.16661531365937693</v>
          </cell>
        </row>
        <row r="6">
          <cell r="K6">
            <v>60</v>
          </cell>
          <cell r="L6">
            <v>-0.44219377675259824</v>
          </cell>
          <cell r="M6">
            <v>-0.34440823814030047</v>
          </cell>
          <cell r="N6">
            <v>-0.37004074314606694</v>
          </cell>
        </row>
        <row r="7">
          <cell r="K7">
            <v>120</v>
          </cell>
          <cell r="L7">
            <v>-0.95703270874129742</v>
          </cell>
          <cell r="M7">
            <v>-0.79464964564620333</v>
          </cell>
          <cell r="N7">
            <v>-0.74619831697063232</v>
          </cell>
        </row>
        <row r="8">
          <cell r="K8">
            <v>180</v>
          </cell>
          <cell r="L8">
            <v>-1.386691397621471</v>
          </cell>
          <cell r="M8">
            <v>-1.1912646299013954</v>
          </cell>
          <cell r="N8">
            <v>-1.035706559281286</v>
          </cell>
        </row>
      </sheetData>
      <sheetData sheetId="1"/>
      <sheetData sheetId="2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B5D92-F274-2947-AB1B-CA1AAB01D914}">
  <dimension ref="A1:G5"/>
  <sheetViews>
    <sheetView tabSelected="1" workbookViewId="0">
      <selection activeCell="F18" sqref="F18"/>
    </sheetView>
  </sheetViews>
  <sheetFormatPr baseColWidth="10" defaultRowHeight="20"/>
  <sheetData>
    <row r="1" spans="1:7">
      <c r="A1" t="s">
        <v>18</v>
      </c>
      <c r="B1" t="s">
        <v>0</v>
      </c>
      <c r="F1" t="s">
        <v>19</v>
      </c>
      <c r="G1" t="s">
        <v>0</v>
      </c>
    </row>
    <row r="2" spans="1:7">
      <c r="A2" s="1">
        <v>1.4999999999999999E-2</v>
      </c>
      <c r="B2" s="1">
        <v>0.62</v>
      </c>
      <c r="F2">
        <v>0</v>
      </c>
      <c r="G2">
        <v>0</v>
      </c>
    </row>
    <row r="3" spans="1:7">
      <c r="A3" s="1">
        <v>0.03</v>
      </c>
      <c r="B3" s="1">
        <v>1.6</v>
      </c>
      <c r="F3">
        <v>2.5000000000000001E-2</v>
      </c>
      <c r="G3">
        <v>1.3166666666666669</v>
      </c>
    </row>
    <row r="4" spans="1:7">
      <c r="A4" s="1">
        <v>0.06</v>
      </c>
      <c r="B4" s="1">
        <v>1.7</v>
      </c>
      <c r="F4">
        <v>0.05</v>
      </c>
      <c r="G4">
        <v>1.1000000000000001</v>
      </c>
    </row>
    <row r="5" spans="1:7">
      <c r="A5" s="1">
        <v>0.15</v>
      </c>
      <c r="B5" s="1">
        <v>1.6</v>
      </c>
      <c r="F5">
        <v>0.125</v>
      </c>
      <c r="G5">
        <v>0.96666666666666656</v>
      </c>
    </row>
  </sheetData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EE37F-B92D-2449-9755-4DE80F7B149F}">
  <dimension ref="A1:Q30"/>
  <sheetViews>
    <sheetView topLeftCell="A21" workbookViewId="0">
      <selection activeCell="E43" sqref="E43"/>
    </sheetView>
  </sheetViews>
  <sheetFormatPr baseColWidth="10" defaultRowHeight="20"/>
  <cols>
    <col min="12" max="13" width="13.85546875" bestFit="1" customWidth="1"/>
    <col min="16" max="16" width="13" bestFit="1" customWidth="1"/>
    <col min="17" max="17" width="12" bestFit="1" customWidth="1"/>
  </cols>
  <sheetData>
    <row r="1" spans="1:15">
      <c r="A1" t="s">
        <v>1</v>
      </c>
      <c r="F1" t="s">
        <v>2</v>
      </c>
      <c r="J1" t="s">
        <v>3</v>
      </c>
    </row>
    <row r="2" spans="1:15">
      <c r="B2" t="s">
        <v>4</v>
      </c>
      <c r="C2" t="s">
        <v>5</v>
      </c>
      <c r="F2" t="s">
        <v>4</v>
      </c>
      <c r="G2" t="s">
        <v>5</v>
      </c>
      <c r="J2" t="s">
        <v>4</v>
      </c>
      <c r="K2" t="s">
        <v>5</v>
      </c>
    </row>
    <row r="3" spans="1:15">
      <c r="A3">
        <v>0</v>
      </c>
      <c r="B3">
        <v>0</v>
      </c>
      <c r="C3">
        <v>0</v>
      </c>
      <c r="E3">
        <v>0</v>
      </c>
      <c r="F3">
        <f>13.6/544.44/1000</f>
        <v>2.497979575343472E-5</v>
      </c>
      <c r="G3">
        <f>13.7/544.44/1000</f>
        <v>2.5163470722209973E-5</v>
      </c>
      <c r="I3">
        <v>0</v>
      </c>
      <c r="J3">
        <f>LN(F3)</f>
        <v>-10.597443229704004</v>
      </c>
      <c r="K3">
        <f>LN(G3)</f>
        <v>-10.590117189611931</v>
      </c>
      <c r="L3">
        <f>LN((F$3*1.2-F$3+J3)/J3)</f>
        <v>-4.7143072344890905E-7</v>
      </c>
      <c r="M3">
        <f>LN((G$3*3.6-G$3+K3)/K3)</f>
        <v>-6.1779510843619761E-6</v>
      </c>
      <c r="O3">
        <v>0</v>
      </c>
    </row>
    <row r="4" spans="1:15">
      <c r="A4">
        <v>15</v>
      </c>
      <c r="B4">
        <f>1.3692+0.4247</f>
        <v>1.7939000000000001</v>
      </c>
      <c r="C4">
        <f>1.2927+0.3737</f>
        <v>1.6663999999999999</v>
      </c>
      <c r="E4">
        <v>15</v>
      </c>
      <c r="F4">
        <f>3.7/138.17/2*B4/1000</f>
        <v>2.4019070709994939E-5</v>
      </c>
      <c r="G4">
        <f>3.6/138.17/2*C4/1000</f>
        <v>2.1708909314612434E-5</v>
      </c>
      <c r="I4">
        <v>15</v>
      </c>
      <c r="J4">
        <f>LN(F4)</f>
        <v>-10.636662430237573</v>
      </c>
      <c r="K4">
        <f t="shared" ref="K4:K8" si="0">LN(G4)</f>
        <v>-10.737787814183971</v>
      </c>
      <c r="L4">
        <f t="shared" ref="L4:L8" si="1">LN((F$3*1.2-F$3+J4)/J4)</f>
        <v>-4.696924769724348E-7</v>
      </c>
      <c r="M4">
        <f t="shared" ref="M4:M8" si="2">LN((G$3*3.6-G$3+K4)/K4)</f>
        <v>-6.0929890148401179E-6</v>
      </c>
      <c r="O4">
        <v>15</v>
      </c>
    </row>
    <row r="5" spans="1:15">
      <c r="A5">
        <v>30</v>
      </c>
      <c r="B5">
        <f>1.1784+0.4018</f>
        <v>1.5801999999999998</v>
      </c>
      <c r="C5">
        <f>1.1072+0.3751</f>
        <v>1.4823</v>
      </c>
      <c r="E5">
        <v>30</v>
      </c>
      <c r="F5">
        <f>3.7/138.17/2*B5/1000</f>
        <v>2.1157776651950496E-5</v>
      </c>
      <c r="G5">
        <f t="shared" ref="G5:G8" si="3">3.6/138.17/2*C5/1000</f>
        <v>1.9310559455742929E-5</v>
      </c>
      <c r="I5">
        <v>30</v>
      </c>
      <c r="J5">
        <f>LN(F5)</f>
        <v>-10.763503029653986</v>
      </c>
      <c r="K5">
        <f t="shared" si="0"/>
        <v>-10.854858489610919</v>
      </c>
      <c r="L5">
        <f t="shared" si="1"/>
        <v>-4.6415746771278444E-7</v>
      </c>
      <c r="M5">
        <f t="shared" si="2"/>
        <v>-6.0272753539986736E-6</v>
      </c>
      <c r="O5">
        <v>30</v>
      </c>
    </row>
    <row r="6" spans="1:15">
      <c r="A6">
        <v>60</v>
      </c>
      <c r="B6">
        <f>0.901+0.3645</f>
        <v>1.2655000000000001</v>
      </c>
      <c r="C6">
        <f>0.8144+0.3297</f>
        <v>1.1440999999999999</v>
      </c>
      <c r="E6">
        <v>60</v>
      </c>
      <c r="F6">
        <f>3.7/138.17/2*B6/1000</f>
        <v>1.6944162987623942E-5</v>
      </c>
      <c r="G6">
        <f t="shared" si="3"/>
        <v>1.4904682637330824E-5</v>
      </c>
      <c r="I6">
        <v>60</v>
      </c>
      <c r="J6">
        <f>LN(F6)</f>
        <v>-10.985587149957441</v>
      </c>
      <c r="K6">
        <f t="shared" si="0"/>
        <v>-11.113835123423835</v>
      </c>
      <c r="L6">
        <f t="shared" si="1"/>
        <v>-4.5477407977577912E-7</v>
      </c>
      <c r="M6">
        <f t="shared" si="2"/>
        <v>-5.8868262597592471E-6</v>
      </c>
      <c r="O6">
        <v>60</v>
      </c>
    </row>
    <row r="7" spans="1:15">
      <c r="A7">
        <v>120</v>
      </c>
      <c r="B7">
        <f>0.4761+0.3079</f>
        <v>0.78400000000000003</v>
      </c>
      <c r="C7">
        <f>0.3842+0.2565</f>
        <v>0.64070000000000005</v>
      </c>
      <c r="E7">
        <v>120</v>
      </c>
      <c r="F7">
        <f>3.7/138.17/2*B7/1000</f>
        <v>1.0497213577477023E-5</v>
      </c>
      <c r="G7">
        <f t="shared" si="3"/>
        <v>8.3466743866251731E-6</v>
      </c>
      <c r="I7">
        <v>120</v>
      </c>
      <c r="J7">
        <f>LN(F7)</f>
        <v>-11.46440070959221</v>
      </c>
      <c r="K7">
        <f t="shared" si="0"/>
        <v>-11.693647375485757</v>
      </c>
      <c r="L7">
        <f t="shared" si="1"/>
        <v>-4.3578032252230159E-7</v>
      </c>
      <c r="M7">
        <f t="shared" si="2"/>
        <v>-5.5949358486517275E-6</v>
      </c>
      <c r="O7">
        <v>120</v>
      </c>
    </row>
    <row r="8" spans="1:15">
      <c r="A8">
        <v>180</v>
      </c>
      <c r="B8">
        <f>0.2225+0.2424</f>
        <v>0.46489999999999998</v>
      </c>
      <c r="C8">
        <f>0.1746+0.1916</f>
        <v>0.36619999999999997</v>
      </c>
      <c r="E8">
        <v>180</v>
      </c>
      <c r="F8">
        <f>3.7/138.17/2*B8/1000</f>
        <v>6.2246869798074843E-6</v>
      </c>
      <c r="G8">
        <f t="shared" si="3"/>
        <v>4.7706448577838893E-6</v>
      </c>
      <c r="I8">
        <v>180</v>
      </c>
      <c r="J8">
        <f>LN(F8)</f>
        <v>-11.986987401246079</v>
      </c>
      <c r="K8">
        <f t="shared" si="0"/>
        <v>-12.253029071890323</v>
      </c>
      <c r="L8">
        <f t="shared" si="1"/>
        <v>-4.1678196730594692E-7</v>
      </c>
      <c r="M8">
        <f t="shared" si="2"/>
        <v>-5.339512227049088E-6</v>
      </c>
      <c r="O8">
        <v>180</v>
      </c>
    </row>
    <row r="9" spans="1:15">
      <c r="I9" t="s">
        <v>6</v>
      </c>
      <c r="J9" s="2">
        <v>8.0999999999999996E-3</v>
      </c>
      <c r="K9" s="2">
        <v>9.2999999999999992E-3</v>
      </c>
    </row>
    <row r="13" spans="1:15">
      <c r="A13" s="1"/>
      <c r="B13" s="1"/>
      <c r="C13" s="1"/>
      <c r="D13" s="1"/>
    </row>
    <row r="14" spans="1:15">
      <c r="A14" s="1"/>
      <c r="B14" s="1"/>
      <c r="C14" s="1"/>
      <c r="D14" s="1"/>
    </row>
    <row r="15" spans="1:15">
      <c r="A15" s="1"/>
      <c r="C15" s="1"/>
      <c r="D15" s="1"/>
    </row>
    <row r="16" spans="1:15">
      <c r="A16" s="1"/>
      <c r="C16" s="1"/>
      <c r="D16" s="1"/>
    </row>
    <row r="17" spans="1:17">
      <c r="A17" s="1"/>
      <c r="C17" s="1"/>
      <c r="D17" s="1"/>
    </row>
    <row r="18" spans="1:17">
      <c r="A18" s="1"/>
      <c r="C18" s="1"/>
      <c r="D18" s="1"/>
    </row>
    <row r="19" spans="1:17">
      <c r="A19" s="1"/>
      <c r="C19" s="1"/>
      <c r="D19" s="1"/>
    </row>
    <row r="20" spans="1:17">
      <c r="A20" s="1"/>
      <c r="C20" s="1"/>
      <c r="D20" s="1"/>
    </row>
    <row r="21" spans="1:17">
      <c r="A21" s="1"/>
      <c r="C21" s="1"/>
      <c r="D21" s="1"/>
    </row>
    <row r="23" spans="1:17">
      <c r="B23" t="s">
        <v>4</v>
      </c>
      <c r="D23" t="s">
        <v>5</v>
      </c>
      <c r="H23" t="s">
        <v>4</v>
      </c>
      <c r="I23" t="s">
        <v>5</v>
      </c>
      <c r="L23" t="s">
        <v>4</v>
      </c>
      <c r="M23" t="s">
        <v>5</v>
      </c>
      <c r="P23">
        <f>13.6/544.44/1000</f>
        <v>2.497979575343472E-5</v>
      </c>
      <c r="Q23">
        <f>13.7/544.44/1000</f>
        <v>2.5163470722209973E-5</v>
      </c>
    </row>
    <row r="24" spans="1:17">
      <c r="A24">
        <v>0</v>
      </c>
      <c r="B24">
        <v>0</v>
      </c>
      <c r="C24">
        <f>B$30-B24</f>
        <v>1.6001000000000001</v>
      </c>
      <c r="D24">
        <v>0</v>
      </c>
      <c r="E24">
        <f>D$30-D24</f>
        <v>1.5448999999999999</v>
      </c>
      <c r="G24">
        <v>0</v>
      </c>
      <c r="H24">
        <f>3.7/138.17/2*C24/1000</f>
        <v>2.1424223782297174E-5</v>
      </c>
      <c r="I24">
        <f>3.6/138.17/2*E24/1000</f>
        <v>2.0126076572338426E-5</v>
      </c>
      <c r="K24">
        <v>0</v>
      </c>
      <c r="L24">
        <f>LN(H24)</f>
        <v>-10.750988323667789</v>
      </c>
      <c r="M24">
        <f>LN(I24)</f>
        <v>-10.813494241812728</v>
      </c>
      <c r="O24">
        <v>0</v>
      </c>
      <c r="P24">
        <v>0</v>
      </c>
      <c r="Q24">
        <v>0</v>
      </c>
    </row>
    <row r="25" spans="1:17">
      <c r="A25">
        <v>15</v>
      </c>
      <c r="B25">
        <v>0.26129999999999998</v>
      </c>
      <c r="C25">
        <f t="shared" ref="C25:C30" si="4">B$30-B25</f>
        <v>1.3388</v>
      </c>
      <c r="D25">
        <v>0.27460000000000001</v>
      </c>
      <c r="E25">
        <f t="shared" ref="E25:E30" si="5">D$30-D25</f>
        <v>1.2703</v>
      </c>
      <c r="G25">
        <v>15</v>
      </c>
      <c r="H25">
        <f>3.7/138.17/2*C25/1000</f>
        <v>1.7925598899905914E-5</v>
      </c>
      <c r="I25">
        <f>3.6/138.17/2*E25/1000</f>
        <v>1.6548744300499385E-5</v>
      </c>
      <c r="K25">
        <v>15</v>
      </c>
      <c r="L25">
        <f>LN(H25)</f>
        <v>-10.929280760605447</v>
      </c>
      <c r="M25">
        <f t="shared" ref="M25:M29" si="6">LN(I25)</f>
        <v>-11.009200332101319</v>
      </c>
      <c r="O25">
        <v>15</v>
      </c>
      <c r="P25">
        <f>3.7/138.17/2*B25/1000/P$23</f>
        <v>0.14005818610066884</v>
      </c>
      <c r="Q25">
        <f>3.7/138.17/2*D25/1000/Q$23</f>
        <v>0.14611269857453718</v>
      </c>
    </row>
    <row r="26" spans="1:17">
      <c r="A26">
        <v>30</v>
      </c>
      <c r="B26">
        <v>0.45240000000000002</v>
      </c>
      <c r="C26">
        <f t="shared" si="4"/>
        <v>1.1476999999999999</v>
      </c>
      <c r="D26">
        <v>0.49869999999999998</v>
      </c>
      <c r="E26">
        <f t="shared" si="5"/>
        <v>1.0462</v>
      </c>
      <c r="G26">
        <v>30</v>
      </c>
      <c r="H26">
        <f t="shared" ref="H26:H29" si="7">3.7/138.17/2*C26/1000</f>
        <v>1.536690309039589E-5</v>
      </c>
      <c r="I26">
        <f t="shared" ref="I26:I29" si="8">3.6/138.17/2*E26/1000</f>
        <v>1.3629297242527324E-5</v>
      </c>
      <c r="K26">
        <v>30</v>
      </c>
      <c r="L26">
        <f>LN(H26)</f>
        <v>-11.083294511255996</v>
      </c>
      <c r="M26">
        <f t="shared" si="6"/>
        <v>-11.203288873194222</v>
      </c>
      <c r="O26">
        <v>30</v>
      </c>
      <c r="P26">
        <f t="shared" ref="P26:P29" si="9">3.7/138.17/2*B26/1000/P$23</f>
        <v>0.24248879981608337</v>
      </c>
      <c r="Q26">
        <f t="shared" ref="Q26:Q29" si="10">3.7/138.17/2*D26/1000/Q$23</f>
        <v>0.26535470786278836</v>
      </c>
    </row>
    <row r="27" spans="1:17">
      <c r="A27">
        <v>60</v>
      </c>
      <c r="B27">
        <v>0.72219999999999995</v>
      </c>
      <c r="C27">
        <f t="shared" si="4"/>
        <v>0.87790000000000012</v>
      </c>
      <c r="D27">
        <v>0.75680000000000003</v>
      </c>
      <c r="E27">
        <f t="shared" si="5"/>
        <v>0.78809999999999991</v>
      </c>
      <c r="G27">
        <v>60</v>
      </c>
      <c r="H27">
        <f t="shared" si="7"/>
        <v>1.1754469132228417E-5</v>
      </c>
      <c r="I27">
        <f t="shared" si="8"/>
        <v>1.0266917565318086E-5</v>
      </c>
      <c r="K27">
        <v>60</v>
      </c>
      <c r="L27">
        <f>LN(H27)</f>
        <v>-11.351277038010455</v>
      </c>
      <c r="M27">
        <f t="shared" si="6"/>
        <v>-11.486583718771129</v>
      </c>
      <c r="O27">
        <v>60</v>
      </c>
      <c r="P27">
        <f t="shared" si="9"/>
        <v>0.38710303100613491</v>
      </c>
      <c r="Q27">
        <f t="shared" si="10"/>
        <v>0.4026878742942816</v>
      </c>
    </row>
    <row r="28" spans="1:17">
      <c r="A28">
        <v>120</v>
      </c>
      <c r="B28">
        <v>1.1209</v>
      </c>
      <c r="C28">
        <f t="shared" si="4"/>
        <v>0.47920000000000007</v>
      </c>
      <c r="D28">
        <v>1.1645000000000001</v>
      </c>
      <c r="E28">
        <f t="shared" si="5"/>
        <v>0.38039999999999985</v>
      </c>
      <c r="G28">
        <v>120</v>
      </c>
      <c r="H28">
        <f t="shared" si="7"/>
        <v>6.4161540131721811E-6</v>
      </c>
      <c r="I28">
        <f t="shared" si="8"/>
        <v>4.9556343634652945E-6</v>
      </c>
      <c r="K28">
        <v>120</v>
      </c>
      <c r="L28">
        <f>LN(H28)</f>
        <v>-11.956691683141379</v>
      </c>
      <c r="M28">
        <f t="shared" si="6"/>
        <v>-12.214985373459498</v>
      </c>
      <c r="O28">
        <v>120</v>
      </c>
      <c r="P28">
        <f t="shared" si="9"/>
        <v>0.60080834596341259</v>
      </c>
      <c r="Q28">
        <f t="shared" si="10"/>
        <v>0.6196221321560399</v>
      </c>
    </row>
    <row r="29" spans="1:17">
      <c r="A29">
        <v>180</v>
      </c>
      <c r="B29">
        <v>1.3511</v>
      </c>
      <c r="C29">
        <f t="shared" si="4"/>
        <v>0.24900000000000011</v>
      </c>
      <c r="D29">
        <v>1.3124</v>
      </c>
      <c r="E29">
        <f t="shared" si="5"/>
        <v>0.23249999999999993</v>
      </c>
      <c r="G29">
        <v>180</v>
      </c>
      <c r="H29">
        <f t="shared" si="7"/>
        <v>3.3339364550915555E-6</v>
      </c>
      <c r="I29">
        <f t="shared" si="8"/>
        <v>3.0288774697835993E-6</v>
      </c>
      <c r="K29">
        <v>180</v>
      </c>
      <c r="L29">
        <f>LN(H29)</f>
        <v>-12.611356833477911</v>
      </c>
      <c r="M29">
        <f t="shared" si="6"/>
        <v>-12.707318479103323</v>
      </c>
      <c r="O29">
        <v>180</v>
      </c>
      <c r="P29">
        <f t="shared" si="9"/>
        <v>0.72419676708998726</v>
      </c>
      <c r="Q29">
        <f t="shared" si="10"/>
        <v>0.6983186657291427</v>
      </c>
    </row>
    <row r="30" spans="1:17">
      <c r="A30" t="s">
        <v>7</v>
      </c>
      <c r="B30">
        <v>1.6001000000000001</v>
      </c>
      <c r="C30">
        <f t="shared" si="4"/>
        <v>0</v>
      </c>
      <c r="D30">
        <v>1.5448999999999999</v>
      </c>
      <c r="E30">
        <f t="shared" si="5"/>
        <v>0</v>
      </c>
      <c r="K30" t="s">
        <v>6</v>
      </c>
      <c r="L30" s="2">
        <v>1.0200000000000001E-2</v>
      </c>
      <c r="M30" s="2">
        <v>1.06E-2</v>
      </c>
    </row>
  </sheetData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59352-D0C2-484D-B5F0-C3A92B3802DF}">
  <dimension ref="A1:AE43"/>
  <sheetViews>
    <sheetView topLeftCell="L1" workbookViewId="0">
      <selection activeCell="AB20" sqref="AB20"/>
    </sheetView>
  </sheetViews>
  <sheetFormatPr baseColWidth="10" defaultRowHeight="20"/>
  <cols>
    <col min="12" max="13" width="13.85546875" bestFit="1" customWidth="1"/>
    <col min="14" max="14" width="13.28515625" bestFit="1" customWidth="1"/>
    <col min="15" max="15" width="14" bestFit="1" customWidth="1"/>
    <col min="16" max="16" width="13" bestFit="1" customWidth="1"/>
    <col min="17" max="17" width="12" bestFit="1" customWidth="1"/>
  </cols>
  <sheetData>
    <row r="1" spans="1:31">
      <c r="A1" t="s">
        <v>8</v>
      </c>
      <c r="I1" t="s">
        <v>2</v>
      </c>
      <c r="M1" t="s">
        <v>3</v>
      </c>
    </row>
    <row r="2" spans="1:31">
      <c r="B2" t="s">
        <v>4</v>
      </c>
      <c r="D2" t="s">
        <v>9</v>
      </c>
      <c r="G2" t="s">
        <v>10</v>
      </c>
      <c r="I2" t="s">
        <v>11</v>
      </c>
      <c r="L2" t="s">
        <v>4</v>
      </c>
      <c r="M2" t="s">
        <v>5</v>
      </c>
      <c r="N2" t="s">
        <v>10</v>
      </c>
      <c r="O2" t="s">
        <v>11</v>
      </c>
      <c r="Q2" t="s">
        <v>4</v>
      </c>
      <c r="R2" t="s">
        <v>9</v>
      </c>
      <c r="T2" t="s">
        <v>10</v>
      </c>
      <c r="U2" t="s">
        <v>11</v>
      </c>
    </row>
    <row r="3" spans="1:31">
      <c r="A3">
        <v>0</v>
      </c>
      <c r="F3">
        <v>0</v>
      </c>
      <c r="L3">
        <f>14/4/138.17/2*C3/1000</f>
        <v>0</v>
      </c>
      <c r="M3">
        <f>14/4/138.17/2*E3/1000</f>
        <v>0</v>
      </c>
      <c r="N3">
        <f>14/4/138.17/2*H3/1000</f>
        <v>0</v>
      </c>
      <c r="O3">
        <f>14/4/138.17/2*J3/1000</f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</row>
    <row r="4" spans="1:31">
      <c r="A4">
        <v>15</v>
      </c>
      <c r="B4">
        <v>1.5055000000000001</v>
      </c>
      <c r="C4">
        <v>0.44619999999999999</v>
      </c>
      <c r="D4">
        <v>1.4488000000000001</v>
      </c>
      <c r="E4">
        <v>0.42399999999999999</v>
      </c>
      <c r="F4">
        <v>12</v>
      </c>
      <c r="G4">
        <v>1.5684</v>
      </c>
      <c r="H4">
        <v>0.46110000000000001</v>
      </c>
      <c r="I4">
        <v>1.6032999999999999</v>
      </c>
      <c r="J4">
        <v>0.32</v>
      </c>
      <c r="L4">
        <f>14/4/138.17/2*(B4+C4)/1000</f>
        <v>2.4719367445899979E-5</v>
      </c>
      <c r="M4">
        <f>14/4/138.17/2*(D4+E4)/1000</f>
        <v>2.372005500470435E-5</v>
      </c>
      <c r="N4">
        <f>14/4/138.17/2*(G4+H4)/1000</f>
        <v>2.5704747774480716E-5</v>
      </c>
      <c r="O4">
        <f>14/4/138.17/2*(I4+J4)/1000</f>
        <v>2.4359665629297244E-5</v>
      </c>
      <c r="P4">
        <v>13</v>
      </c>
      <c r="Q4">
        <f>LN(L4/54.5*544.44*4*1000)</f>
        <v>-1.2316832563571302E-2</v>
      </c>
      <c r="R4">
        <f>LN(M4/54.5*544.44*4*1000)</f>
        <v>-5.3582983024026323E-2</v>
      </c>
      <c r="S4">
        <v>12</v>
      </c>
      <c r="T4">
        <f>LN(N4/N$4)</f>
        <v>0</v>
      </c>
      <c r="U4">
        <f>LN(O4/54.5*544.44*4*1000)</f>
        <v>-2.6975159539406046E-2</v>
      </c>
      <c r="V4">
        <f>LN((0.000025*0.6-0.000025+N4)/N4)</f>
        <v>-0.49271264048913849</v>
      </c>
      <c r="X4">
        <f>0.025*Y4</f>
        <v>3.7500000000000001E-4</v>
      </c>
      <c r="Y4">
        <v>1.4999999999999999E-2</v>
      </c>
      <c r="Z4">
        <v>0.62</v>
      </c>
      <c r="AB4" s="2">
        <f>0.025*Y4</f>
        <v>3.7500000000000001E-4</v>
      </c>
      <c r="AC4" s="2">
        <v>6.2000000000000003E-5</v>
      </c>
      <c r="AD4" s="2">
        <f>1/AB4</f>
        <v>2666.6666666666665</v>
      </c>
      <c r="AE4" s="2">
        <f>1/AC4</f>
        <v>16129.032258064515</v>
      </c>
    </row>
    <row r="5" spans="1:31">
      <c r="A5">
        <v>35</v>
      </c>
      <c r="B5">
        <v>1.2647999999999999</v>
      </c>
      <c r="C5">
        <v>0.4506</v>
      </c>
      <c r="D5">
        <v>1.2277</v>
      </c>
      <c r="E5">
        <v>0.43070000000000003</v>
      </c>
      <c r="F5">
        <v>35</v>
      </c>
      <c r="G5">
        <v>1.4298999999999999</v>
      </c>
      <c r="H5">
        <v>0.46060000000000001</v>
      </c>
      <c r="I5">
        <v>1.2773000000000001</v>
      </c>
      <c r="J5">
        <v>0.3821</v>
      </c>
      <c r="L5">
        <f t="shared" ref="L5" si="0">14/4/138.17/2*(B5+C5)/1000</f>
        <v>2.1726496345082146E-5</v>
      </c>
      <c r="M5">
        <f>14/4/138.17/2*(D5+E5)/1000</f>
        <v>2.1004559600492153E-5</v>
      </c>
      <c r="N5">
        <f t="shared" ref="N5:N9" si="1">14/4/138.17/2*(G5+H5)/1000</f>
        <v>2.3944235362234927E-5</v>
      </c>
      <c r="O5">
        <f t="shared" ref="O5:O9" si="2">14/4/138.17/2*(I5+J5)/1000</f>
        <v>2.1017225157414783E-5</v>
      </c>
      <c r="P5">
        <v>35</v>
      </c>
      <c r="Q5">
        <f t="shared" ref="Q5:R9" si="3">LN(L5/54.5*544.44*4*1000)</f>
        <v>-0.14137133064440621</v>
      </c>
      <c r="R5">
        <f t="shared" si="3"/>
        <v>-0.17516433807915729</v>
      </c>
      <c r="S5">
        <v>35</v>
      </c>
      <c r="T5">
        <f t="shared" ref="T5:T9" si="4">LN(N5/N$4)</f>
        <v>-7.0948112947965145E-2</v>
      </c>
      <c r="U5">
        <f t="shared" ref="U5:U9" si="5">LN(O5/54.5*544.44*4*1000)</f>
        <v>-0.17456152897054225</v>
      </c>
      <c r="V5">
        <f t="shared" ref="V5:V9" si="6">LN((0.000025*0.6-0.000025+N5)/N5)</f>
        <v>-0.54066141301793513</v>
      </c>
      <c r="X5">
        <f t="shared" ref="X5:X7" si="7">0.025*Y5</f>
        <v>7.5000000000000002E-4</v>
      </c>
      <c r="Y5">
        <v>0.03</v>
      </c>
      <c r="Z5">
        <v>1.6</v>
      </c>
      <c r="AB5" s="2">
        <f t="shared" ref="AB5:AB7" si="8">0.025*Y5</f>
        <v>7.5000000000000002E-4</v>
      </c>
      <c r="AC5" s="2">
        <v>1.6000000000000001E-4</v>
      </c>
      <c r="AD5" s="2">
        <f t="shared" ref="AD5:AE7" si="9">1/AB5</f>
        <v>1333.3333333333333</v>
      </c>
      <c r="AE5" s="2">
        <f t="shared" si="9"/>
        <v>6249.9999999999991</v>
      </c>
    </row>
    <row r="6" spans="1:31">
      <c r="A6">
        <v>65</v>
      </c>
      <c r="B6">
        <v>0.86529999999999996</v>
      </c>
      <c r="C6">
        <v>0.38719999999999999</v>
      </c>
      <c r="D6">
        <v>0.78029999999999999</v>
      </c>
      <c r="E6">
        <v>0.3508</v>
      </c>
      <c r="F6">
        <v>65</v>
      </c>
      <c r="G6">
        <v>1.2911999999999999</v>
      </c>
      <c r="H6">
        <v>0.45340000000000003</v>
      </c>
      <c r="I6">
        <v>0.84860000000000002</v>
      </c>
      <c r="J6">
        <v>0.33800000000000002</v>
      </c>
      <c r="L6">
        <f>14/4/138.17/2*(B6+C6)/1000</f>
        <v>1.5863610045596006E-5</v>
      </c>
      <c r="M6">
        <f t="shared" ref="M6:M9" si="10">14/4/138.17/2*(D6+E6)/1000</f>
        <v>1.4326011435188538E-5</v>
      </c>
      <c r="N6">
        <f t="shared" si="1"/>
        <v>2.2096330607222988E-5</v>
      </c>
      <c r="O6">
        <f t="shared" si="2"/>
        <v>1.5028949844394589E-5</v>
      </c>
      <c r="P6">
        <v>65</v>
      </c>
      <c r="Q6">
        <f t="shared" si="3"/>
        <v>-0.45587606624170751</v>
      </c>
      <c r="R6">
        <f t="shared" si="3"/>
        <v>-0.55782700966339194</v>
      </c>
      <c r="S6">
        <v>65</v>
      </c>
      <c r="T6">
        <f t="shared" si="4"/>
        <v>-0.15126415427983436</v>
      </c>
      <c r="U6">
        <f t="shared" si="5"/>
        <v>-0.5099255453761844</v>
      </c>
      <c r="V6">
        <f t="shared" si="6"/>
        <v>-0.60250940785595153</v>
      </c>
      <c r="X6">
        <f t="shared" si="7"/>
        <v>1.5E-3</v>
      </c>
      <c r="Y6">
        <v>0.06</v>
      </c>
      <c r="Z6">
        <v>1.7</v>
      </c>
      <c r="AB6" s="2">
        <f t="shared" si="8"/>
        <v>1.5E-3</v>
      </c>
      <c r="AC6" s="2">
        <v>1.7000000000000001E-4</v>
      </c>
      <c r="AD6" s="2">
        <f t="shared" si="9"/>
        <v>666.66666666666663</v>
      </c>
      <c r="AE6" s="2">
        <f t="shared" si="9"/>
        <v>5882.3529411764703</v>
      </c>
    </row>
    <row r="7" spans="1:31">
      <c r="A7">
        <v>95</v>
      </c>
      <c r="B7">
        <v>0.54710000000000003</v>
      </c>
      <c r="C7">
        <v>0.32469999999999999</v>
      </c>
      <c r="D7">
        <v>0.48359999999999997</v>
      </c>
      <c r="E7">
        <v>0.29380000000000001</v>
      </c>
      <c r="F7">
        <v>95</v>
      </c>
      <c r="G7">
        <v>1.1739999999999999</v>
      </c>
      <c r="H7">
        <v>0.45329999999999998</v>
      </c>
      <c r="I7">
        <v>0.6038</v>
      </c>
      <c r="J7">
        <v>0.29599999999999999</v>
      </c>
      <c r="L7">
        <f>14/4/138.17/2*(B7+C7)/1000</f>
        <v>1.1041832525150179E-5</v>
      </c>
      <c r="M7">
        <f t="shared" si="10"/>
        <v>9.8462039516537598E-6</v>
      </c>
      <c r="N7">
        <f t="shared" si="1"/>
        <v>2.0610660780198307E-5</v>
      </c>
      <c r="O7">
        <f t="shared" si="2"/>
        <v>1.1396468118983861E-5</v>
      </c>
      <c r="P7">
        <v>95</v>
      </c>
      <c r="Q7">
        <f t="shared" si="3"/>
        <v>-0.81821285939643495</v>
      </c>
      <c r="R7">
        <f t="shared" si="3"/>
        <v>-0.93281788078260441</v>
      </c>
      <c r="S7">
        <v>95</v>
      </c>
      <c r="T7">
        <f t="shared" si="4"/>
        <v>-0.22086725761238393</v>
      </c>
      <c r="U7">
        <f t="shared" si="5"/>
        <v>-0.78660038279365541</v>
      </c>
      <c r="V7">
        <f t="shared" si="6"/>
        <v>-0.66394922584599503</v>
      </c>
      <c r="X7">
        <f t="shared" si="7"/>
        <v>3.7500000000000007E-3</v>
      </c>
      <c r="Y7">
        <v>0.15000000000000002</v>
      </c>
      <c r="Z7">
        <v>1.6</v>
      </c>
      <c r="AB7" s="2">
        <f t="shared" si="8"/>
        <v>3.7500000000000007E-3</v>
      </c>
      <c r="AC7" s="2">
        <v>1.6000000000000001E-4</v>
      </c>
      <c r="AD7" s="2">
        <f t="shared" si="9"/>
        <v>266.66666666666663</v>
      </c>
      <c r="AE7" s="2">
        <f t="shared" si="9"/>
        <v>6249.9999999999991</v>
      </c>
    </row>
    <row r="8" spans="1:31">
      <c r="A8">
        <v>125</v>
      </c>
      <c r="B8">
        <v>0.37069999999999997</v>
      </c>
      <c r="C8">
        <v>0.29380000000000001</v>
      </c>
      <c r="D8">
        <v>0.32719999999999999</v>
      </c>
      <c r="E8">
        <v>0.25569999999999998</v>
      </c>
      <c r="F8">
        <v>125</v>
      </c>
      <c r="G8">
        <v>0.98009999999999997</v>
      </c>
      <c r="H8">
        <v>0.42170000000000002</v>
      </c>
      <c r="I8">
        <v>0.41909999999999997</v>
      </c>
      <c r="J8">
        <v>0.26150000000000001</v>
      </c>
      <c r="L8">
        <f>14/4/138.17/2*(B8+C8)/1000</f>
        <v>8.4162625750886594E-6</v>
      </c>
      <c r="M8">
        <f t="shared" si="10"/>
        <v>7.3827531302019258E-6</v>
      </c>
      <c r="N8">
        <f t="shared" si="1"/>
        <v>1.7754577694144894E-5</v>
      </c>
      <c r="O8">
        <f t="shared" si="2"/>
        <v>8.6201780415430264E-6</v>
      </c>
      <c r="P8">
        <v>125</v>
      </c>
      <c r="Q8">
        <f t="shared" si="3"/>
        <v>-1.0897380210474272</v>
      </c>
      <c r="R8">
        <f t="shared" si="3"/>
        <v>-1.2207572541492233</v>
      </c>
      <c r="S8">
        <v>125</v>
      </c>
      <c r="T8">
        <f t="shared" si="4"/>
        <v>-0.37003233221272813</v>
      </c>
      <c r="U8">
        <f t="shared" si="5"/>
        <v>-1.0657981371339218</v>
      </c>
      <c r="V8">
        <f t="shared" si="6"/>
        <v>-0.82836004173255606</v>
      </c>
    </row>
    <row r="9" spans="1:31">
      <c r="A9">
        <v>185</v>
      </c>
      <c r="B9">
        <v>0.1681</v>
      </c>
      <c r="C9">
        <v>0.23230000000000001</v>
      </c>
      <c r="D9">
        <v>0.16089999999999999</v>
      </c>
      <c r="E9">
        <v>0.19969999999999999</v>
      </c>
      <c r="F9">
        <v>185</v>
      </c>
      <c r="G9">
        <v>0.68120000000000003</v>
      </c>
      <c r="H9">
        <v>0.38500000000000001</v>
      </c>
      <c r="I9">
        <v>0.20830000000000001</v>
      </c>
      <c r="J9">
        <v>0.19020000000000001</v>
      </c>
      <c r="L9">
        <f>14/4/138.17/2*(B9+C9)/1000</f>
        <v>5.071288991821669E-6</v>
      </c>
      <c r="M9">
        <f t="shared" si="10"/>
        <v>4.567199826300934E-6</v>
      </c>
      <c r="N9">
        <f t="shared" si="1"/>
        <v>1.3504016790909751E-5</v>
      </c>
      <c r="O9">
        <f t="shared" si="2"/>
        <v>5.0472244336686696E-6</v>
      </c>
      <c r="P9">
        <v>185</v>
      </c>
      <c r="Q9">
        <f t="shared" si="3"/>
        <v>-1.596308851759662</v>
      </c>
      <c r="R9">
        <f t="shared" si="3"/>
        <v>-1.7010035884315104</v>
      </c>
      <c r="S9">
        <v>185</v>
      </c>
      <c r="T9">
        <f t="shared" si="4"/>
        <v>-0.64368853189029174</v>
      </c>
      <c r="U9">
        <f t="shared" si="5"/>
        <v>-1.6010654009704577</v>
      </c>
      <c r="V9">
        <f t="shared" si="6"/>
        <v>-1.349077216266543</v>
      </c>
    </row>
    <row r="12" spans="1:31">
      <c r="A12" s="1"/>
      <c r="B12" s="1"/>
      <c r="C12" s="1"/>
    </row>
    <row r="13" spans="1:31">
      <c r="A13" s="1"/>
      <c r="B13" s="1"/>
      <c r="C13" s="1"/>
      <c r="D13" s="1"/>
    </row>
    <row r="14" spans="1:31">
      <c r="A14" s="1"/>
      <c r="C14" s="1"/>
      <c r="D14" s="1"/>
    </row>
    <row r="15" spans="1:31">
      <c r="A15" s="1"/>
      <c r="C15" s="1"/>
      <c r="D15" s="1"/>
    </row>
    <row r="16" spans="1:31">
      <c r="A16" s="1"/>
      <c r="C16" s="1"/>
      <c r="D16" s="1"/>
    </row>
    <row r="17" spans="1:21">
      <c r="A17" s="1"/>
      <c r="C17" s="1"/>
      <c r="D17" s="1"/>
    </row>
    <row r="18" spans="1:21">
      <c r="A18" s="1"/>
      <c r="C18" s="1"/>
      <c r="D18" s="1"/>
    </row>
    <row r="19" spans="1:21">
      <c r="A19" s="1"/>
      <c r="C19" s="1"/>
      <c r="D19" s="1"/>
    </row>
    <row r="20" spans="1:21">
      <c r="A20" s="1"/>
      <c r="C20" s="1"/>
      <c r="D20" s="1"/>
    </row>
    <row r="21" spans="1:21">
      <c r="D21" s="1"/>
    </row>
    <row r="22" spans="1:21">
      <c r="B22" t="s">
        <v>4</v>
      </c>
      <c r="D22" t="s">
        <v>9</v>
      </c>
      <c r="G22" t="s">
        <v>10</v>
      </c>
      <c r="I22" t="s">
        <v>11</v>
      </c>
      <c r="L22" t="s">
        <v>4</v>
      </c>
      <c r="M22" t="s">
        <v>5</v>
      </c>
      <c r="N22" t="s">
        <v>10</v>
      </c>
      <c r="O22" t="s">
        <v>11</v>
      </c>
      <c r="Q22" t="s">
        <v>4</v>
      </c>
      <c r="R22" t="s">
        <v>9</v>
      </c>
      <c r="T22" t="s">
        <v>10</v>
      </c>
      <c r="U22" t="s">
        <v>11</v>
      </c>
    </row>
    <row r="23" spans="1:21">
      <c r="A23">
        <v>0</v>
      </c>
      <c r="B23">
        <v>0</v>
      </c>
      <c r="C23">
        <f t="shared" ref="C23:C32" si="11">B$32-B23</f>
        <v>1.6549</v>
      </c>
      <c r="D23">
        <v>0</v>
      </c>
      <c r="E23">
        <f t="shared" ref="E23:E32" si="12">D$32-D23</f>
        <v>1.6624000000000001</v>
      </c>
      <c r="F23">
        <v>0</v>
      </c>
      <c r="G23">
        <v>0</v>
      </c>
      <c r="H23">
        <f t="shared" ref="H23:H29" si="13">G$30-G23</f>
        <v>1.6001000000000001</v>
      </c>
      <c r="I23">
        <v>0</v>
      </c>
      <c r="J23">
        <f t="shared" ref="J23:J30" si="14">I$30-I23</f>
        <v>1.6023000000000001</v>
      </c>
      <c r="L23">
        <f t="shared" ref="L23:L31" si="15">14/4/138.17/2*C23/1000</f>
        <v>2.0960230151262939E-5</v>
      </c>
      <c r="M23">
        <f t="shared" ref="M23:M31" si="16">14/4/138.17/2*E23/1000</f>
        <v>2.1055221828182678E-5</v>
      </c>
      <c r="N23">
        <f t="shared" ref="N23:N29" si="17">14/4/138.17/2*H23/1000</f>
        <v>2.0266157631902731E-5</v>
      </c>
      <c r="O23">
        <f t="shared" ref="O23:O29" si="18">14/4/138.17/2*J23/1000</f>
        <v>2.0294021857132521E-5</v>
      </c>
      <c r="P23">
        <v>0</v>
      </c>
      <c r="Q23">
        <f t="shared" ref="Q23:R31" si="19">LN(L23)</f>
        <v>-10.772883718072531</v>
      </c>
      <c r="R23">
        <f t="shared" si="19"/>
        <v>-10.768361960752467</v>
      </c>
      <c r="S23">
        <v>0</v>
      </c>
      <c r="U23">
        <f t="shared" ref="U23:U29" si="20">LN(O23)</f>
        <v>-10.805184205083595</v>
      </c>
    </row>
    <row r="24" spans="1:21">
      <c r="A24">
        <v>15</v>
      </c>
      <c r="B24">
        <v>0.20860000000000001</v>
      </c>
      <c r="C24">
        <f t="shared" si="11"/>
        <v>1.4462999999999999</v>
      </c>
      <c r="D24">
        <v>0.2341</v>
      </c>
      <c r="E24">
        <f t="shared" si="12"/>
        <v>1.4283000000000001</v>
      </c>
      <c r="F24">
        <v>12</v>
      </c>
      <c r="G24">
        <v>0.1076</v>
      </c>
      <c r="H24">
        <f t="shared" si="13"/>
        <v>1.4925000000000002</v>
      </c>
      <c r="I24">
        <v>0.22620000000000001</v>
      </c>
      <c r="J24">
        <f t="shared" si="14"/>
        <v>1.3761000000000001</v>
      </c>
      <c r="L24">
        <f t="shared" si="15"/>
        <v>1.8318194977202E-5</v>
      </c>
      <c r="M24">
        <f t="shared" si="16"/>
        <v>1.8090214952594632E-5</v>
      </c>
      <c r="N24">
        <f t="shared" si="17"/>
        <v>1.890334370702758E-5</v>
      </c>
      <c r="O24">
        <f t="shared" si="18"/>
        <v>1.7429072881233267E-5</v>
      </c>
      <c r="P24">
        <v>15</v>
      </c>
      <c r="Q24">
        <f t="shared" si="19"/>
        <v>-10.907615731017744</v>
      </c>
      <c r="R24">
        <f t="shared" si="19"/>
        <v>-10.920139376228846</v>
      </c>
      <c r="S24">
        <v>12</v>
      </c>
      <c r="U24">
        <f t="shared" si="20"/>
        <v>-10.957370890826194</v>
      </c>
    </row>
    <row r="25" spans="1:21">
      <c r="A25">
        <v>35</v>
      </c>
      <c r="B25">
        <v>0.52180000000000004</v>
      </c>
      <c r="C25">
        <f t="shared" si="11"/>
        <v>1.1331</v>
      </c>
      <c r="D25">
        <v>0.56559999999999999</v>
      </c>
      <c r="E25">
        <f t="shared" si="12"/>
        <v>1.0968</v>
      </c>
      <c r="F25">
        <v>35</v>
      </c>
      <c r="G25">
        <v>0.28849999999999998</v>
      </c>
      <c r="H25">
        <f t="shared" si="13"/>
        <v>1.3116000000000001</v>
      </c>
      <c r="I25">
        <v>0.55430000000000001</v>
      </c>
      <c r="J25">
        <f t="shared" si="14"/>
        <v>1.048</v>
      </c>
      <c r="L25">
        <f t="shared" si="15"/>
        <v>1.4351342549033801E-5</v>
      </c>
      <c r="M25">
        <f t="shared" si="16"/>
        <v>1.3891582832742275E-5</v>
      </c>
      <c r="N25">
        <f t="shared" si="17"/>
        <v>1.6612144459723534E-5</v>
      </c>
      <c r="O25">
        <f t="shared" si="18"/>
        <v>1.3273503654917858E-5</v>
      </c>
      <c r="P25">
        <v>35</v>
      </c>
      <c r="Q25">
        <f t="shared" si="19"/>
        <v>-11.151667062710908</v>
      </c>
      <c r="R25">
        <f t="shared" si="19"/>
        <v>-11.184227452849324</v>
      </c>
      <c r="S25">
        <v>35</v>
      </c>
      <c r="U25">
        <f t="shared" si="20"/>
        <v>-11.229740716216442</v>
      </c>
    </row>
    <row r="26" spans="1:21">
      <c r="A26">
        <v>50</v>
      </c>
      <c r="B26">
        <v>0.71499999999999997</v>
      </c>
      <c r="C26">
        <f t="shared" si="11"/>
        <v>0.93990000000000007</v>
      </c>
      <c r="D26">
        <v>0.77649999999999997</v>
      </c>
      <c r="E26">
        <f t="shared" si="12"/>
        <v>0.88590000000000013</v>
      </c>
      <c r="F26">
        <v>65</v>
      </c>
      <c r="G26">
        <v>0.49969999999999998</v>
      </c>
      <c r="H26">
        <f t="shared" si="13"/>
        <v>1.1004</v>
      </c>
      <c r="I26">
        <v>0.89739999999999998</v>
      </c>
      <c r="J26">
        <f t="shared" si="14"/>
        <v>0.70490000000000008</v>
      </c>
      <c r="L26">
        <f t="shared" si="15"/>
        <v>1.1904356951581387E-5</v>
      </c>
      <c r="M26">
        <f t="shared" si="16"/>
        <v>1.1220416877759285E-5</v>
      </c>
      <c r="N26">
        <f t="shared" si="17"/>
        <v>1.3937178837663749E-5</v>
      </c>
      <c r="O26">
        <f t="shared" si="18"/>
        <v>8.927951074762976E-6</v>
      </c>
      <c r="P26">
        <v>50</v>
      </c>
      <c r="Q26">
        <f t="shared" si="19"/>
        <v>-11.338606094471174</v>
      </c>
      <c r="R26">
        <f t="shared" si="19"/>
        <v>-11.397775503679442</v>
      </c>
      <c r="S26">
        <v>65</v>
      </c>
      <c r="U26">
        <f t="shared" si="20"/>
        <v>-11.626323632317598</v>
      </c>
    </row>
    <row r="27" spans="1:21">
      <c r="A27">
        <v>65</v>
      </c>
      <c r="B27">
        <v>0.87760000000000005</v>
      </c>
      <c r="C27">
        <f t="shared" si="11"/>
        <v>0.77729999999999999</v>
      </c>
      <c r="D27">
        <v>0.95169999999999999</v>
      </c>
      <c r="E27">
        <f t="shared" si="12"/>
        <v>0.71070000000000011</v>
      </c>
      <c r="F27">
        <v>95</v>
      </c>
      <c r="G27">
        <v>0.64490000000000003</v>
      </c>
      <c r="H27">
        <f t="shared" si="13"/>
        <v>0.95520000000000005</v>
      </c>
      <c r="I27">
        <v>1.0982000000000001</v>
      </c>
      <c r="J27">
        <f t="shared" si="14"/>
        <v>0.50409999999999999</v>
      </c>
      <c r="L27">
        <f t="shared" si="15"/>
        <v>9.8449373959614982E-6</v>
      </c>
      <c r="M27">
        <f t="shared" si="16"/>
        <v>9.0014113049142393E-6</v>
      </c>
      <c r="N27">
        <f t="shared" si="17"/>
        <v>1.209813997249765E-5</v>
      </c>
      <c r="O27">
        <f t="shared" si="18"/>
        <v>6.3847072446985596E-6</v>
      </c>
      <c r="P27">
        <v>65</v>
      </c>
      <c r="Q27">
        <f t="shared" si="19"/>
        <v>-11.528553204861256</v>
      </c>
      <c r="R27">
        <f t="shared" si="19"/>
        <v>-11.61812918126458</v>
      </c>
      <c r="S27">
        <v>95</v>
      </c>
      <c r="U27">
        <f t="shared" si="20"/>
        <v>-11.961604920008844</v>
      </c>
    </row>
    <row r="28" spans="1:21">
      <c r="A28">
        <v>95</v>
      </c>
      <c r="B28">
        <v>1.1261000000000001</v>
      </c>
      <c r="C28">
        <f t="shared" si="11"/>
        <v>0.52879999999999994</v>
      </c>
      <c r="D28">
        <v>1.1874</v>
      </c>
      <c r="E28">
        <f t="shared" si="12"/>
        <v>0.47500000000000009</v>
      </c>
      <c r="F28">
        <v>125</v>
      </c>
      <c r="G28">
        <v>0.80410000000000004</v>
      </c>
      <c r="H28">
        <f t="shared" si="13"/>
        <v>0.79600000000000004</v>
      </c>
      <c r="I28">
        <v>1.2642</v>
      </c>
      <c r="J28">
        <f t="shared" si="14"/>
        <v>0.33810000000000007</v>
      </c>
      <c r="L28">
        <f t="shared" si="15"/>
        <v>6.697546500687559E-6</v>
      </c>
      <c r="M28">
        <f t="shared" si="16"/>
        <v>6.0161395382499839E-6</v>
      </c>
      <c r="N28">
        <f t="shared" si="17"/>
        <v>1.0081783310414708E-5</v>
      </c>
      <c r="O28">
        <f t="shared" si="18"/>
        <v>4.2822247955417247E-6</v>
      </c>
      <c r="P28">
        <v>95</v>
      </c>
      <c r="Q28">
        <f t="shared" si="19"/>
        <v>-11.913769292559953</v>
      </c>
      <c r="R28">
        <f t="shared" si="19"/>
        <v>-12.021064777062788</v>
      </c>
      <c r="S28">
        <v>125</v>
      </c>
      <c r="U28">
        <f t="shared" si="20"/>
        <v>-12.361037871383589</v>
      </c>
    </row>
    <row r="29" spans="1:21">
      <c r="A29">
        <v>125</v>
      </c>
      <c r="B29">
        <v>1.2865</v>
      </c>
      <c r="C29">
        <f t="shared" si="11"/>
        <v>0.36840000000000006</v>
      </c>
      <c r="D29">
        <v>1.3295999999999999</v>
      </c>
      <c r="E29">
        <f t="shared" si="12"/>
        <v>0.33280000000000021</v>
      </c>
      <c r="F29">
        <v>185</v>
      </c>
      <c r="G29">
        <v>1.052</v>
      </c>
      <c r="H29">
        <f t="shared" si="13"/>
        <v>0.54810000000000003</v>
      </c>
      <c r="I29">
        <v>1.3911</v>
      </c>
      <c r="J29">
        <f t="shared" si="14"/>
        <v>0.21120000000000005</v>
      </c>
      <c r="L29">
        <f t="shared" si="15"/>
        <v>4.6659911702974609E-6</v>
      </c>
      <c r="M29">
        <f t="shared" si="16"/>
        <v>4.2150973438517796E-6</v>
      </c>
      <c r="N29">
        <f t="shared" si="17"/>
        <v>6.9419917492943484E-6</v>
      </c>
      <c r="O29">
        <f t="shared" si="18"/>
        <v>2.6749656220597821E-6</v>
      </c>
      <c r="P29">
        <v>125</v>
      </c>
      <c r="Q29">
        <f t="shared" si="19"/>
        <v>-12.275210276716278</v>
      </c>
      <c r="R29">
        <f t="shared" si="19"/>
        <v>-12.376837872150375</v>
      </c>
      <c r="S29">
        <v>185</v>
      </c>
      <c r="U29">
        <f t="shared" si="20"/>
        <v>-12.831574029265322</v>
      </c>
    </row>
    <row r="30" spans="1:21">
      <c r="A30">
        <v>185</v>
      </c>
      <c r="B30">
        <v>1.4615</v>
      </c>
      <c r="C30">
        <f t="shared" si="11"/>
        <v>0.19340000000000002</v>
      </c>
      <c r="D30">
        <v>1.4725999999999999</v>
      </c>
      <c r="E30">
        <f t="shared" si="12"/>
        <v>0.18980000000000019</v>
      </c>
      <c r="G30">
        <v>1.6001000000000001</v>
      </c>
      <c r="I30">
        <v>1.6023000000000001</v>
      </c>
      <c r="J30">
        <f t="shared" si="14"/>
        <v>0</v>
      </c>
      <c r="L30">
        <f t="shared" si="15"/>
        <v>2.4495187088369407E-6</v>
      </c>
      <c r="M30">
        <f t="shared" si="16"/>
        <v>2.4039227039154692E-6</v>
      </c>
      <c r="P30">
        <v>185</v>
      </c>
      <c r="Q30">
        <f t="shared" si="19"/>
        <v>-12.919618998078235</v>
      </c>
      <c r="R30">
        <f t="shared" si="19"/>
        <v>-12.9384086949216</v>
      </c>
    </row>
    <row r="31" spans="1:21">
      <c r="A31">
        <v>305</v>
      </c>
      <c r="B31">
        <v>1.5762</v>
      </c>
      <c r="C31">
        <f t="shared" si="11"/>
        <v>7.8699999999999992E-2</v>
      </c>
      <c r="D31">
        <v>1.5544</v>
      </c>
      <c r="E31">
        <f t="shared" si="12"/>
        <v>0.1080000000000001</v>
      </c>
      <c r="L31">
        <f t="shared" si="15"/>
        <v>9.9677932981110224E-7</v>
      </c>
      <c r="M31">
        <f t="shared" si="16"/>
        <v>1.3678801476442077E-6</v>
      </c>
      <c r="Q31">
        <f t="shared" si="19"/>
        <v>-13.818736425674071</v>
      </c>
      <c r="R31">
        <f t="shared" si="19"/>
        <v>-13.50224835397321</v>
      </c>
    </row>
    <row r="32" spans="1:21">
      <c r="A32" t="s">
        <v>7</v>
      </c>
      <c r="B32">
        <v>1.6549</v>
      </c>
      <c r="C32">
        <f t="shared" si="11"/>
        <v>0</v>
      </c>
      <c r="D32">
        <v>1.6624000000000001</v>
      </c>
      <c r="E32">
        <f t="shared" si="12"/>
        <v>0</v>
      </c>
      <c r="K32" t="s">
        <v>12</v>
      </c>
      <c r="L32">
        <f>14/4/138.17/4*B33/1000</f>
        <v>1.3732630093363248E-5</v>
      </c>
    </row>
    <row r="33" spans="1:18">
      <c r="A33" t="s">
        <v>12</v>
      </c>
      <c r="B33">
        <v>2.1684999999999999</v>
      </c>
      <c r="K33" t="s">
        <v>13</v>
      </c>
      <c r="L33">
        <f>L32/54.5*544.4*4*100000</f>
        <v>54.87004640606937</v>
      </c>
    </row>
    <row r="34" spans="1:18">
      <c r="A34" t="s">
        <v>12</v>
      </c>
      <c r="L34">
        <f>14/4/138.17/3*B35/1000</f>
        <v>1.2546500687558806E-5</v>
      </c>
      <c r="Q34" s="2"/>
    </row>
    <row r="35" spans="1:18">
      <c r="B35">
        <v>1.4859</v>
      </c>
      <c r="L35">
        <f>L34/54.5*544.4*4*100000</f>
        <v>50.130752105005605</v>
      </c>
      <c r="R35" s="2"/>
    </row>
    <row r="36" spans="1:18">
      <c r="A36" t="s">
        <v>14</v>
      </c>
      <c r="B36">
        <v>1.6496</v>
      </c>
      <c r="K36" t="s">
        <v>14</v>
      </c>
      <c r="L36">
        <f>14/4/138.17/2*B36/1000</f>
        <v>2.0893102699572989E-5</v>
      </c>
    </row>
    <row r="37" spans="1:18">
      <c r="K37" t="s">
        <v>13</v>
      </c>
      <c r="L37">
        <f>L36/54.5*544.4*4*100000</f>
        <v>83.480404474477311</v>
      </c>
    </row>
    <row r="38" spans="1:18">
      <c r="A38" t="s">
        <v>15</v>
      </c>
      <c r="B38">
        <v>0.18440000000000001</v>
      </c>
      <c r="K38" t="s">
        <v>15</v>
      </c>
      <c r="L38">
        <f>14/4/138.17/3*B38/1000</f>
        <v>1.557019131022171E-6</v>
      </c>
    </row>
    <row r="39" spans="1:18">
      <c r="K39" t="s">
        <v>13</v>
      </c>
      <c r="L39">
        <f>L38/54.5*544.4*4*100000</f>
        <v>6.2212199260805132</v>
      </c>
    </row>
    <row r="40" spans="1:18">
      <c r="A40" t="s">
        <v>16</v>
      </c>
      <c r="B40">
        <v>0.1154</v>
      </c>
      <c r="K40" t="s">
        <v>16</v>
      </c>
      <c r="L40">
        <f>14/4/138.17/1*B40/1000</f>
        <v>2.9232105377433602E-6</v>
      </c>
    </row>
    <row r="41" spans="1:18">
      <c r="K41" t="s">
        <v>13</v>
      </c>
      <c r="L41">
        <f>L40/54.5*544.4*4*100000</f>
        <v>11.679969297229249</v>
      </c>
    </row>
    <row r="42" spans="1:18">
      <c r="A42" t="s">
        <v>17</v>
      </c>
      <c r="B42">
        <v>0.15</v>
      </c>
      <c r="K42" t="s">
        <v>17</v>
      </c>
      <c r="L42">
        <f>14/4/138.17/2*B42/1000</f>
        <v>1.8998335383947312E-6</v>
      </c>
    </row>
    <row r="43" spans="1:18">
      <c r="K43" t="s">
        <v>13</v>
      </c>
      <c r="L43">
        <f>L42/54.5*544.4*4*100000</f>
        <v>7.5909679141437918</v>
      </c>
    </row>
  </sheetData>
  <phoneticPr fontId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5E3C2-BE4F-FE4B-A292-CB3E6C32FCF3}">
  <dimension ref="A1:Q50"/>
  <sheetViews>
    <sheetView topLeftCell="A4" workbookViewId="0">
      <selection activeCell="F26" sqref="F26"/>
    </sheetView>
  </sheetViews>
  <sheetFormatPr baseColWidth="10" defaultRowHeight="20"/>
  <cols>
    <col min="2" max="2" width="13" customWidth="1"/>
  </cols>
  <sheetData>
    <row r="1" spans="1:17">
      <c r="A1" s="1" t="s">
        <v>20</v>
      </c>
      <c r="B1" s="1"/>
      <c r="C1" s="1"/>
      <c r="D1" s="1"/>
      <c r="E1" s="1"/>
      <c r="F1" s="1"/>
      <c r="G1" s="1" t="s">
        <v>21</v>
      </c>
      <c r="H1" s="1"/>
      <c r="I1" s="1"/>
      <c r="J1" s="1"/>
      <c r="K1" s="1"/>
      <c r="L1" s="1" t="s">
        <v>22</v>
      </c>
      <c r="M1" s="1"/>
      <c r="N1" s="1"/>
      <c r="O1" s="1"/>
      <c r="P1" s="1"/>
      <c r="Q1" s="1"/>
    </row>
    <row r="2" spans="1:17">
      <c r="A2" s="1"/>
      <c r="B2" s="1" t="s">
        <v>23</v>
      </c>
      <c r="C2" s="1" t="s">
        <v>24</v>
      </c>
      <c r="D2" s="1" t="s">
        <v>25</v>
      </c>
      <c r="E2" s="1"/>
      <c r="F2" s="1"/>
      <c r="G2" s="1" t="s">
        <v>23</v>
      </c>
      <c r="H2" s="1" t="s">
        <v>24</v>
      </c>
      <c r="I2" s="1" t="s">
        <v>25</v>
      </c>
      <c r="J2" s="1"/>
      <c r="K2" s="1"/>
      <c r="L2" s="1" t="s">
        <v>23</v>
      </c>
      <c r="M2" s="1" t="s">
        <v>24</v>
      </c>
      <c r="N2" s="1" t="s">
        <v>25</v>
      </c>
      <c r="O2" s="1"/>
      <c r="P2" s="1">
        <v>0</v>
      </c>
      <c r="Q2" s="1">
        <v>0</v>
      </c>
    </row>
    <row r="3" spans="1:17">
      <c r="A3" s="1">
        <v>0</v>
      </c>
      <c r="B3" s="1"/>
      <c r="C3" s="1"/>
      <c r="D3" s="1"/>
      <c r="E3" s="1"/>
      <c r="F3" s="1">
        <v>0</v>
      </c>
      <c r="G3" s="1">
        <v>2.4796000000000001E-5</v>
      </c>
      <c r="H3" s="1">
        <v>2.4979800000000001E-5</v>
      </c>
      <c r="I3" s="1">
        <v>2.4980000000000001E-5</v>
      </c>
      <c r="J3" s="1"/>
      <c r="K3" s="1">
        <v>0</v>
      </c>
      <c r="L3" s="1">
        <v>0</v>
      </c>
      <c r="M3" s="1">
        <v>0</v>
      </c>
      <c r="N3" s="1">
        <v>0</v>
      </c>
      <c r="O3" s="1"/>
      <c r="P3" s="1">
        <v>1</v>
      </c>
      <c r="Q3" s="3">
        <v>1.32</v>
      </c>
    </row>
    <row r="4" spans="1:17">
      <c r="A4" s="1">
        <v>15</v>
      </c>
      <c r="B4" s="1">
        <v>1.6466000000000001</v>
      </c>
      <c r="C4" s="1">
        <v>1.7955000000000001</v>
      </c>
      <c r="D4" s="1">
        <v>1.8684000000000001</v>
      </c>
      <c r="E4" s="1"/>
      <c r="F4" s="1">
        <v>15</v>
      </c>
      <c r="G4" s="1">
        <v>2.2047000000000001E-5</v>
      </c>
      <c r="H4" s="1">
        <v>2.19631E-5</v>
      </c>
      <c r="I4" s="1">
        <v>2.2855000000000001E-5</v>
      </c>
      <c r="J4" s="1"/>
      <c r="K4" s="1">
        <v>15</v>
      </c>
      <c r="L4" s="1">
        <v>-0.1175186</v>
      </c>
      <c r="M4" s="1">
        <v>-0.1287015</v>
      </c>
      <c r="N4" s="1">
        <v>-8.8902499999999995E-2</v>
      </c>
      <c r="O4" s="1"/>
      <c r="P4" s="1">
        <v>2</v>
      </c>
      <c r="Q4" s="3">
        <v>1.1000000000000001</v>
      </c>
    </row>
    <row r="5" spans="1:17">
      <c r="A5" s="1">
        <v>30</v>
      </c>
      <c r="B5" s="1">
        <v>1.5235000000000001</v>
      </c>
      <c r="C5" s="1">
        <v>1.6328</v>
      </c>
      <c r="D5" s="1">
        <v>1.7286999999999999</v>
      </c>
      <c r="E5" s="1"/>
      <c r="F5" s="1">
        <v>30</v>
      </c>
      <c r="G5" s="1">
        <v>2.0398999999999999E-5</v>
      </c>
      <c r="H5" s="1">
        <v>2.1271200000000001E-5</v>
      </c>
      <c r="I5" s="1">
        <v>2.1146E-5</v>
      </c>
      <c r="J5" s="1"/>
      <c r="K5" s="1">
        <v>30</v>
      </c>
      <c r="L5" s="1">
        <v>-0.1952208</v>
      </c>
      <c r="M5" s="1">
        <v>-0.16071389999999999</v>
      </c>
      <c r="N5" s="1">
        <v>-0.16661529999999999</v>
      </c>
      <c r="O5" s="1"/>
      <c r="P5" s="1">
        <v>5</v>
      </c>
      <c r="Q5" s="3">
        <v>0.96699999999999997</v>
      </c>
    </row>
    <row r="6" spans="1:17">
      <c r="A6" s="1">
        <v>60</v>
      </c>
      <c r="B6" s="1">
        <v>1.1900999999999999</v>
      </c>
      <c r="C6" s="1">
        <v>1.3588</v>
      </c>
      <c r="D6" s="1">
        <v>1.4105000000000001</v>
      </c>
      <c r="E6" s="1"/>
      <c r="F6" s="1">
        <v>60</v>
      </c>
      <c r="G6" s="1">
        <v>1.5934999999999999E-5</v>
      </c>
      <c r="H6" s="1">
        <v>1.77017E-5</v>
      </c>
      <c r="I6" s="1">
        <v>1.7254000000000001E-5</v>
      </c>
      <c r="J6" s="1"/>
      <c r="K6" s="1">
        <v>60</v>
      </c>
      <c r="L6" s="1">
        <v>-0.44219380000000003</v>
      </c>
      <c r="M6" s="1">
        <v>-0.3444082</v>
      </c>
      <c r="N6" s="1">
        <v>-0.3700407</v>
      </c>
      <c r="O6" s="1"/>
      <c r="P6" s="1"/>
      <c r="Q6" s="1"/>
    </row>
    <row r="7" spans="1:17">
      <c r="A7" s="1">
        <v>120</v>
      </c>
      <c r="B7" s="1">
        <v>0.71120000000000005</v>
      </c>
      <c r="C7" s="1">
        <v>0.86619999999999997</v>
      </c>
      <c r="D7" s="1">
        <v>0.96830000000000005</v>
      </c>
      <c r="E7" s="1"/>
      <c r="F7" s="1">
        <v>120</v>
      </c>
      <c r="G7" s="1">
        <v>9.5225000000000007E-6</v>
      </c>
      <c r="H7" s="1">
        <v>1.12844E-5</v>
      </c>
      <c r="I7" s="1">
        <v>1.1844999999999999E-5</v>
      </c>
      <c r="J7" s="1"/>
      <c r="K7" s="1">
        <v>120</v>
      </c>
      <c r="L7" s="1">
        <v>-0.95703269999999996</v>
      </c>
      <c r="M7" s="1">
        <v>-0.79464959999999996</v>
      </c>
      <c r="N7" s="1">
        <v>-0.74619829999999998</v>
      </c>
      <c r="O7" s="1">
        <v>0</v>
      </c>
      <c r="P7" s="1" t="s">
        <v>26</v>
      </c>
      <c r="Q7" s="1">
        <v>0</v>
      </c>
    </row>
    <row r="8" spans="1:17">
      <c r="A8" s="1">
        <v>180</v>
      </c>
      <c r="B8" s="1">
        <v>0.46279999999999999</v>
      </c>
      <c r="C8" s="1">
        <v>0.58260000000000001</v>
      </c>
      <c r="D8" s="1">
        <v>0.72489999999999999</v>
      </c>
      <c r="E8" s="1"/>
      <c r="F8" s="1">
        <v>180</v>
      </c>
      <c r="G8" s="1">
        <v>6.1966000000000001E-6</v>
      </c>
      <c r="H8" s="1">
        <v>7.58978E-6</v>
      </c>
      <c r="I8" s="1">
        <v>8.8672000000000004E-6</v>
      </c>
      <c r="J8" s="1"/>
      <c r="K8" s="1">
        <v>180</v>
      </c>
      <c r="L8" s="1">
        <v>-1.3866913999999999</v>
      </c>
      <c r="M8" s="1">
        <v>-1.1912646</v>
      </c>
      <c r="N8" s="1">
        <v>-1.0357065999999999</v>
      </c>
      <c r="O8" s="1">
        <v>1</v>
      </c>
      <c r="P8" s="1"/>
      <c r="Q8" s="3">
        <v>1.32</v>
      </c>
    </row>
    <row r="9" spans="1:17">
      <c r="A9" s="1">
        <v>300</v>
      </c>
      <c r="B9" s="1">
        <v>0.2399</v>
      </c>
      <c r="C9" s="1"/>
      <c r="D9" s="1"/>
      <c r="E9" s="1"/>
      <c r="F9" s="1">
        <v>300</v>
      </c>
      <c r="G9" s="1">
        <v>3.2121000000000001E-6</v>
      </c>
      <c r="H9" s="1"/>
      <c r="I9" s="1"/>
      <c r="J9" s="1"/>
      <c r="K9" s="1" t="s">
        <v>27</v>
      </c>
      <c r="L9" s="3">
        <v>7.9000000000000008E-3</v>
      </c>
      <c r="M9" s="3">
        <v>6.6E-3</v>
      </c>
      <c r="N9" s="3">
        <v>5.7999999999999996E-3</v>
      </c>
      <c r="O9" s="1">
        <v>2</v>
      </c>
      <c r="P9" s="1"/>
      <c r="Q9" s="3">
        <v>1.1000000000000001</v>
      </c>
    </row>
    <row r="10" spans="1:17">
      <c r="A10" s="1">
        <v>420</v>
      </c>
      <c r="B10" s="1">
        <v>0.17599999999999999</v>
      </c>
      <c r="C10" s="1"/>
      <c r="D10" s="1"/>
      <c r="E10" s="1"/>
      <c r="F10" s="1">
        <v>420</v>
      </c>
      <c r="G10" s="1">
        <v>2.3564999999999998E-6</v>
      </c>
      <c r="H10" s="1"/>
      <c r="I10" s="1"/>
      <c r="J10" s="1"/>
      <c r="K10" s="1"/>
      <c r="L10" s="1"/>
      <c r="M10" s="1"/>
      <c r="N10" s="1"/>
      <c r="O10" s="1">
        <v>5</v>
      </c>
      <c r="P10" s="1"/>
      <c r="Q10" s="3">
        <v>0.96699999999999997</v>
      </c>
    </row>
    <row r="11" spans="1:17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>
      <c r="A13" s="1" t="e" vm="1">
        <v>#VALUE!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 t="e" vm="2">
        <v>#VALUE!</v>
      </c>
      <c r="M13" s="1"/>
      <c r="N13" s="1"/>
      <c r="O13" s="1"/>
      <c r="P13" s="1"/>
      <c r="Q13" s="1"/>
    </row>
    <row r="14" spans="1:17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>
      <c r="A25" s="1"/>
      <c r="B25" s="1"/>
      <c r="C25" s="1"/>
      <c r="D25" s="1"/>
      <c r="E25" s="1"/>
      <c r="F25" s="1"/>
      <c r="G25" s="1" t="s">
        <v>21</v>
      </c>
      <c r="H25" s="1"/>
      <c r="I25" s="1"/>
      <c r="J25" s="1"/>
      <c r="K25" s="1"/>
      <c r="L25" s="1" t="s">
        <v>22</v>
      </c>
      <c r="M25" s="1"/>
      <c r="N25" s="1"/>
      <c r="O25" s="1"/>
      <c r="P25" s="1"/>
      <c r="Q25" s="1"/>
    </row>
    <row r="26" spans="1:17">
      <c r="A26" s="1"/>
      <c r="B26" s="1" t="s">
        <v>23</v>
      </c>
      <c r="C26" s="1" t="s">
        <v>24</v>
      </c>
      <c r="D26" s="1" t="s">
        <v>25</v>
      </c>
      <c r="E26" s="1"/>
      <c r="F26" s="1"/>
      <c r="G26" s="1" t="s">
        <v>23</v>
      </c>
      <c r="H26" s="1" t="s">
        <v>24</v>
      </c>
      <c r="I26" s="1" t="s">
        <v>25</v>
      </c>
      <c r="J26" s="1"/>
      <c r="K26" s="1"/>
      <c r="L26" s="1" t="s">
        <v>23</v>
      </c>
      <c r="M26" s="1" t="s">
        <v>24</v>
      </c>
      <c r="N26" s="1" t="s">
        <v>25</v>
      </c>
      <c r="O26" s="1"/>
      <c r="P26" s="1"/>
      <c r="Q26" s="1"/>
    </row>
    <row r="27" spans="1:17">
      <c r="A27" s="1">
        <v>0</v>
      </c>
      <c r="B27" s="1">
        <v>0</v>
      </c>
      <c r="C27" s="1">
        <v>0</v>
      </c>
      <c r="D27" s="1">
        <v>0</v>
      </c>
      <c r="E27" s="1"/>
      <c r="F27" s="1">
        <v>0</v>
      </c>
      <c r="G27" s="1">
        <v>2.4796000000000001E-5</v>
      </c>
      <c r="H27" s="1">
        <v>2.4979800000000001E-5</v>
      </c>
      <c r="I27" s="1"/>
      <c r="J27" s="1"/>
      <c r="K27" s="1">
        <v>0</v>
      </c>
      <c r="L27" s="1">
        <v>-10.604823</v>
      </c>
      <c r="M27" s="1">
        <v>-10.597443</v>
      </c>
      <c r="N27" s="1"/>
      <c r="O27" s="1"/>
      <c r="P27" s="1"/>
      <c r="Q27" s="1"/>
    </row>
    <row r="28" spans="1:17">
      <c r="A28" s="1">
        <v>15</v>
      </c>
      <c r="B28" s="1">
        <v>0.36820000000000003</v>
      </c>
      <c r="C28" s="1"/>
      <c r="D28" s="1"/>
      <c r="E28" s="1"/>
      <c r="F28" s="1">
        <v>15</v>
      </c>
      <c r="G28" s="1">
        <v>4.9299E-6</v>
      </c>
      <c r="H28" s="1">
        <v>0</v>
      </c>
      <c r="I28" s="1"/>
      <c r="J28" s="1"/>
      <c r="K28" s="1">
        <v>15</v>
      </c>
      <c r="L28" s="1">
        <v>-12.220183</v>
      </c>
      <c r="M28" s="1" t="e">
        <v>#NUM!</v>
      </c>
      <c r="N28" s="1"/>
      <c r="O28" s="1"/>
      <c r="P28" s="1"/>
      <c r="Q28" s="1"/>
    </row>
    <row r="29" spans="1:17">
      <c r="A29" s="1">
        <v>30</v>
      </c>
      <c r="B29" s="1">
        <v>0.53649999999999998</v>
      </c>
      <c r="C29" s="1"/>
      <c r="D29" s="1"/>
      <c r="E29" s="1"/>
      <c r="F29" s="1">
        <v>30</v>
      </c>
      <c r="G29" s="1">
        <v>7.1833999999999997E-6</v>
      </c>
      <c r="H29" s="1">
        <v>0</v>
      </c>
      <c r="I29" s="1"/>
      <c r="J29" s="1"/>
      <c r="K29" s="1">
        <v>30</v>
      </c>
      <c r="L29" s="1">
        <v>-11.843743</v>
      </c>
      <c r="M29" s="1" t="e">
        <v>#NUM!</v>
      </c>
      <c r="N29" s="1"/>
      <c r="O29" s="1"/>
      <c r="P29" s="1"/>
      <c r="Q29" s="1"/>
    </row>
    <row r="30" spans="1:17">
      <c r="A30" s="1">
        <v>60</v>
      </c>
      <c r="B30" s="1">
        <v>0.7863</v>
      </c>
      <c r="C30" s="1"/>
      <c r="D30" s="1"/>
      <c r="E30" s="1"/>
      <c r="F30" s="1">
        <v>60</v>
      </c>
      <c r="G30" s="1">
        <v>1.0528E-5</v>
      </c>
      <c r="H30" s="1">
        <v>0</v>
      </c>
      <c r="I30" s="1"/>
      <c r="J30" s="1"/>
      <c r="K30" s="1">
        <v>60</v>
      </c>
      <c r="L30" s="1">
        <v>-11.461471</v>
      </c>
      <c r="M30" s="1" t="e">
        <v>#NUM!</v>
      </c>
      <c r="N30" s="1"/>
      <c r="O30" s="1"/>
      <c r="P30" s="1"/>
      <c r="Q30" s="1"/>
    </row>
    <row r="31" spans="1:17">
      <c r="A31" s="1">
        <v>120</v>
      </c>
      <c r="B31" s="1">
        <v>1.1227</v>
      </c>
      <c r="C31" s="1"/>
      <c r="D31" s="1"/>
      <c r="E31" s="1"/>
      <c r="F31" s="1">
        <v>120</v>
      </c>
      <c r="G31" s="1">
        <v>1.5031999999999999E-5</v>
      </c>
      <c r="H31" s="1">
        <v>0</v>
      </c>
      <c r="I31" s="1"/>
      <c r="J31" s="1"/>
      <c r="K31" s="1">
        <v>120</v>
      </c>
      <c r="L31" s="1">
        <v>-11.105318</v>
      </c>
      <c r="M31" s="1" t="e">
        <v>#NUM!</v>
      </c>
      <c r="N31" s="1"/>
      <c r="O31" s="1"/>
      <c r="P31" s="1"/>
      <c r="Q31" s="1"/>
    </row>
    <row r="32" spans="1:17">
      <c r="A32" s="1">
        <v>180</v>
      </c>
      <c r="B32" s="1">
        <v>1.4507000000000001</v>
      </c>
      <c r="C32" s="1"/>
      <c r="D32" s="1"/>
      <c r="E32" s="1"/>
      <c r="F32" s="1">
        <v>180</v>
      </c>
      <c r="G32" s="1">
        <v>1.9423999999999999E-5</v>
      </c>
      <c r="H32" s="1">
        <v>0</v>
      </c>
      <c r="I32" s="1"/>
      <c r="J32" s="1"/>
      <c r="K32" s="1">
        <v>180</v>
      </c>
      <c r="L32" s="1">
        <v>-10.849008</v>
      </c>
      <c r="M32" s="1" t="e">
        <v>#NUM!</v>
      </c>
      <c r="N32" s="1"/>
      <c r="O32" s="1"/>
      <c r="P32" s="1"/>
      <c r="Q32" s="1"/>
    </row>
    <row r="33" spans="1:17">
      <c r="A33" s="1">
        <v>300</v>
      </c>
      <c r="B33" s="1"/>
      <c r="C33" s="1"/>
      <c r="D33" s="1"/>
      <c r="E33" s="1"/>
      <c r="F33" s="1">
        <v>300</v>
      </c>
      <c r="G33" s="1">
        <v>0</v>
      </c>
      <c r="H33" s="1"/>
      <c r="I33" s="1"/>
      <c r="J33" s="1"/>
      <c r="K33" s="1" t="s">
        <v>27</v>
      </c>
      <c r="L33" s="3">
        <v>7.7999999999999996E-3</v>
      </c>
      <c r="M33" s="1"/>
      <c r="N33" s="1"/>
      <c r="O33" s="1"/>
      <c r="P33" s="1"/>
      <c r="Q33" s="1"/>
    </row>
    <row r="34" spans="1:17">
      <c r="A34" s="1">
        <v>420</v>
      </c>
      <c r="B34" s="1"/>
      <c r="C34" s="1"/>
      <c r="D34" s="1"/>
      <c r="E34" s="1"/>
      <c r="F34" s="1">
        <v>420</v>
      </c>
      <c r="G34" s="1">
        <v>0</v>
      </c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>
      <c r="A36" s="1" t="e" vm="3">
        <v>#VALUE!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>
      <c r="A39" s="1"/>
      <c r="B39" s="1"/>
      <c r="C39" s="1"/>
      <c r="D39" s="1"/>
      <c r="E39" s="1"/>
      <c r="F39" s="1"/>
      <c r="G39" s="1"/>
      <c r="H39" s="1"/>
      <c r="I39" s="1"/>
      <c r="J39" s="1"/>
      <c r="K39" s="1" t="e" vm="4">
        <v>#VALUE!</v>
      </c>
      <c r="L39" s="1"/>
      <c r="M39" s="1"/>
      <c r="N39" s="1"/>
      <c r="O39" s="1"/>
      <c r="P39" s="1"/>
      <c r="Q39" s="1"/>
    </row>
    <row r="40" spans="1:1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Summary of Fig 4b</vt:lpstr>
      <vt:lpstr>raw data for Fig 4b(cond. A)</vt:lpstr>
      <vt:lpstr>raw data for Fig 4b(cond. A)-2</vt:lpstr>
      <vt:lpstr>raw data for Fig 4b (cond. B)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宮本 和範</dc:creator>
  <cp:lastModifiedBy>Microsoft Office User</cp:lastModifiedBy>
  <dcterms:created xsi:type="dcterms:W3CDTF">2024-04-24T02:38:00Z</dcterms:created>
  <dcterms:modified xsi:type="dcterms:W3CDTF">2024-05-16T10:14:57Z</dcterms:modified>
</cp:coreProperties>
</file>