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OSI-AIB-EXIT-SCISTO\08 Papers\Exit Voice Loyalty  ex ISA\JIRD subm 07 2025\final VS January 2026\"/>
    </mc:Choice>
  </mc:AlternateContent>
  <xr:revisionPtr revIDLastSave="0" documentId="8_{9E138701-351F-4541-B303-49A148988719}" xr6:coauthVersionLast="47" xr6:coauthVersionMax="47" xr10:uidLastSave="{00000000-0000-0000-0000-000000000000}"/>
  <bookViews>
    <workbookView xWindow="-108" yWindow="-108" windowWidth="23256" windowHeight="12456" xr2:uid="{5AEDB17F-92E9-40EA-8EC5-7F976ED3342A}"/>
  </bookViews>
  <sheets>
    <sheet name="Table 2 logit L2_MS_relpowerin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0" i="1" l="1"/>
  <c r="C30" i="1"/>
  <c r="D30" i="1"/>
  <c r="E30" i="1"/>
  <c r="F30" i="1"/>
  <c r="G30" i="1"/>
  <c r="H30" i="1"/>
  <c r="I30" i="1"/>
  <c r="J30" i="1"/>
  <c r="K30" i="1"/>
  <c r="L30" i="1"/>
  <c r="M30" i="1"/>
  <c r="B31" i="1"/>
  <c r="C31" i="1"/>
  <c r="D31" i="1"/>
  <c r="E31" i="1"/>
  <c r="F31" i="1"/>
  <c r="G31" i="1"/>
  <c r="H31" i="1"/>
  <c r="I31" i="1"/>
  <c r="J31" i="1"/>
  <c r="K31" i="1"/>
  <c r="L31" i="1"/>
  <c r="M31" i="1"/>
  <c r="B28" i="1"/>
  <c r="C28" i="1"/>
  <c r="D28" i="1"/>
  <c r="E28" i="1"/>
  <c r="F28" i="1"/>
  <c r="G28" i="1"/>
  <c r="H28" i="1"/>
  <c r="I28" i="1"/>
  <c r="J28" i="1"/>
  <c r="K28" i="1"/>
  <c r="L28" i="1"/>
  <c r="M28" i="1"/>
  <c r="B29" i="1"/>
  <c r="C29" i="1"/>
  <c r="D29" i="1"/>
  <c r="E29" i="1"/>
  <c r="F29" i="1"/>
  <c r="G29" i="1"/>
  <c r="H29" i="1"/>
  <c r="I29" i="1"/>
  <c r="J29" i="1"/>
  <c r="K29" i="1"/>
  <c r="L29" i="1"/>
  <c r="M29" i="1"/>
  <c r="B8" i="1"/>
  <c r="C8" i="1"/>
  <c r="D8" i="1"/>
  <c r="E8" i="1"/>
  <c r="F8" i="1"/>
  <c r="G8" i="1"/>
  <c r="H8" i="1"/>
  <c r="I8" i="1"/>
  <c r="J8" i="1"/>
  <c r="K8" i="1"/>
  <c r="L8" i="1"/>
  <c r="B9" i="1"/>
  <c r="C9" i="1"/>
  <c r="D9" i="1"/>
  <c r="E9" i="1"/>
  <c r="F9" i="1"/>
  <c r="G9" i="1"/>
  <c r="H9" i="1"/>
  <c r="I9" i="1"/>
  <c r="J9" i="1"/>
  <c r="K9" i="1"/>
  <c r="L9" i="1"/>
  <c r="M12" i="1"/>
  <c r="B13" i="1"/>
  <c r="C13" i="1"/>
  <c r="D13" i="1"/>
  <c r="E13" i="1"/>
  <c r="F13" i="1"/>
  <c r="G13" i="1"/>
  <c r="H13" i="1"/>
  <c r="I13" i="1"/>
  <c r="J14" i="1"/>
  <c r="K14" i="1"/>
  <c r="L14" i="1"/>
  <c r="M14" i="1"/>
  <c r="B14" i="1"/>
  <c r="C14" i="1"/>
  <c r="D14" i="1"/>
  <c r="E14" i="1"/>
  <c r="F14" i="1"/>
  <c r="G14" i="1"/>
  <c r="H14" i="1"/>
  <c r="I14" i="1"/>
  <c r="B3" i="1"/>
  <c r="C3" i="1"/>
  <c r="D3" i="1"/>
  <c r="E3" i="1"/>
  <c r="F3" i="1"/>
  <c r="G3" i="1"/>
  <c r="B4" i="1"/>
  <c r="C4" i="1"/>
  <c r="D4" i="1"/>
  <c r="E4" i="1"/>
  <c r="F4" i="1"/>
  <c r="G4" i="1"/>
  <c r="B22" i="1"/>
  <c r="C22" i="1"/>
  <c r="D22" i="1"/>
  <c r="E22" i="1"/>
  <c r="F22" i="1"/>
  <c r="G22" i="1"/>
  <c r="H22" i="1"/>
  <c r="I22" i="1"/>
  <c r="J22" i="1"/>
  <c r="K22" i="1"/>
  <c r="L22" i="1"/>
  <c r="M22" i="1"/>
  <c r="B23" i="1"/>
  <c r="C23" i="1"/>
  <c r="D23" i="1"/>
  <c r="E23" i="1"/>
  <c r="F23" i="1"/>
  <c r="G23" i="1"/>
  <c r="H23" i="1"/>
  <c r="I23" i="1"/>
  <c r="J23" i="1"/>
  <c r="K23" i="1"/>
  <c r="L23" i="1"/>
  <c r="M23" i="1"/>
  <c r="B24" i="1"/>
  <c r="C24" i="1"/>
  <c r="D24" i="1"/>
  <c r="E24" i="1"/>
  <c r="F24" i="1"/>
  <c r="G24" i="1"/>
  <c r="H24" i="1"/>
  <c r="I24" i="1"/>
  <c r="J24" i="1"/>
  <c r="K24" i="1"/>
  <c r="L24" i="1"/>
  <c r="M24" i="1"/>
  <c r="B25" i="1"/>
  <c r="C25" i="1"/>
  <c r="D25" i="1"/>
  <c r="E25" i="1"/>
  <c r="F25" i="1"/>
  <c r="G25" i="1"/>
  <c r="H25" i="1"/>
  <c r="I25" i="1"/>
  <c r="J25" i="1"/>
  <c r="K25" i="1"/>
  <c r="L25" i="1"/>
  <c r="M25" i="1"/>
  <c r="B20" i="1"/>
  <c r="C20" i="1"/>
  <c r="D20" i="1"/>
  <c r="E20" i="1"/>
  <c r="F20" i="1"/>
  <c r="G20" i="1"/>
  <c r="H20" i="1"/>
  <c r="I20" i="1"/>
  <c r="J20" i="1"/>
  <c r="K20" i="1"/>
  <c r="L20" i="1"/>
  <c r="M20" i="1"/>
  <c r="B21" i="1"/>
  <c r="C21" i="1"/>
  <c r="D21" i="1"/>
  <c r="E21" i="1"/>
  <c r="F21" i="1"/>
  <c r="G21" i="1"/>
  <c r="H21" i="1"/>
  <c r="I21" i="1"/>
  <c r="J21" i="1"/>
  <c r="K21" i="1"/>
  <c r="L21" i="1"/>
  <c r="M21" i="1"/>
  <c r="B26" i="1"/>
  <c r="C26" i="1"/>
  <c r="D26" i="1"/>
  <c r="E26" i="1"/>
  <c r="F26" i="1"/>
  <c r="G26" i="1"/>
  <c r="H26" i="1"/>
  <c r="I26" i="1"/>
  <c r="J26" i="1"/>
  <c r="K26" i="1"/>
  <c r="L26" i="1"/>
  <c r="M26" i="1"/>
  <c r="B27" i="1"/>
  <c r="C27" i="1"/>
  <c r="D27" i="1"/>
  <c r="E27" i="1"/>
  <c r="F27" i="1"/>
  <c r="G27" i="1"/>
  <c r="H27" i="1"/>
  <c r="I27" i="1"/>
  <c r="J27" i="1"/>
  <c r="K27" i="1"/>
  <c r="L27" i="1"/>
  <c r="M27" i="1"/>
  <c r="B32" i="1"/>
  <c r="C32" i="1"/>
  <c r="D32" i="1"/>
  <c r="E32" i="1"/>
  <c r="F32" i="1"/>
  <c r="G32" i="1"/>
  <c r="H32" i="1"/>
  <c r="I32" i="1"/>
  <c r="J32" i="1"/>
  <c r="K32" i="1"/>
  <c r="L32" i="1"/>
  <c r="M32" i="1"/>
  <c r="B33" i="1"/>
  <c r="C33" i="1"/>
  <c r="D33" i="1"/>
  <c r="E33" i="1"/>
  <c r="F33" i="1"/>
  <c r="G33" i="1"/>
  <c r="H33" i="1"/>
  <c r="I33" i="1"/>
  <c r="J33" i="1"/>
  <c r="K33" i="1"/>
  <c r="L33" i="1"/>
  <c r="M33" i="1"/>
  <c r="B10" i="1"/>
  <c r="C10" i="1"/>
  <c r="D10" i="1"/>
  <c r="E10" i="1"/>
  <c r="F10" i="1"/>
  <c r="G10" i="1"/>
  <c r="H10" i="1"/>
  <c r="I10" i="1"/>
  <c r="J10" i="1"/>
  <c r="K10" i="1"/>
  <c r="L10" i="1"/>
  <c r="M10" i="1"/>
  <c r="B11" i="1"/>
  <c r="C11" i="1"/>
  <c r="D11" i="1"/>
  <c r="E11" i="1"/>
  <c r="F11" i="1"/>
  <c r="G11" i="1"/>
  <c r="H11" i="1"/>
  <c r="I11" i="1"/>
  <c r="J11" i="1"/>
  <c r="K11" i="1"/>
  <c r="L11" i="1"/>
  <c r="M11" i="1"/>
  <c r="B15" i="1"/>
  <c r="C15" i="1"/>
  <c r="D15" i="1"/>
  <c r="E15" i="1"/>
  <c r="F15" i="1"/>
  <c r="G15" i="1"/>
  <c r="H15" i="1"/>
  <c r="I15" i="1"/>
  <c r="J15" i="1"/>
  <c r="K15" i="1"/>
  <c r="L15" i="1"/>
  <c r="M15" i="1"/>
  <c r="B16" i="1"/>
  <c r="C16" i="1"/>
  <c r="D16" i="1"/>
  <c r="E16" i="1"/>
  <c r="F16" i="1"/>
  <c r="G16" i="1"/>
  <c r="H16" i="1"/>
  <c r="I16" i="1"/>
  <c r="J16" i="1"/>
  <c r="K16" i="1"/>
  <c r="L16" i="1"/>
  <c r="M16" i="1"/>
  <c r="B17" i="1"/>
  <c r="C17" i="1"/>
  <c r="D17" i="1"/>
  <c r="E17" i="1"/>
  <c r="F17" i="1"/>
  <c r="G17" i="1"/>
  <c r="H17" i="1"/>
  <c r="I17" i="1"/>
  <c r="J17" i="1"/>
  <c r="K17" i="1"/>
  <c r="L17" i="1"/>
  <c r="M17" i="1"/>
  <c r="B18" i="1"/>
  <c r="C18" i="1"/>
  <c r="D18" i="1"/>
  <c r="E18" i="1"/>
  <c r="F18" i="1"/>
  <c r="G18" i="1"/>
  <c r="H18" i="1"/>
  <c r="I18" i="1"/>
  <c r="J18" i="1"/>
  <c r="K18" i="1"/>
  <c r="L18" i="1"/>
  <c r="M18" i="1"/>
  <c r="B5" i="1"/>
  <c r="C5" i="1"/>
  <c r="D5" i="1"/>
  <c r="E5" i="1"/>
  <c r="F5" i="1"/>
  <c r="G5" i="1"/>
  <c r="H5" i="1"/>
  <c r="I5" i="1"/>
  <c r="J5" i="1"/>
  <c r="K5" i="1"/>
  <c r="L5" i="1"/>
  <c r="M5" i="1"/>
  <c r="B6" i="1"/>
  <c r="C6" i="1"/>
  <c r="D6" i="1"/>
  <c r="E6" i="1"/>
  <c r="F6" i="1"/>
  <c r="G6" i="1"/>
  <c r="H6" i="1"/>
  <c r="I6" i="1"/>
  <c r="J6" i="1"/>
  <c r="K6" i="1"/>
  <c r="L6" i="1"/>
  <c r="M6" i="1"/>
  <c r="B34" i="1"/>
  <c r="C34" i="1"/>
  <c r="D34" i="1"/>
  <c r="E34" i="1"/>
  <c r="F34" i="1"/>
  <c r="G34" i="1"/>
  <c r="H34" i="1"/>
  <c r="I34" i="1"/>
  <c r="J34" i="1"/>
  <c r="K34" i="1"/>
  <c r="L34" i="1"/>
  <c r="M34" i="1"/>
  <c r="B35" i="1"/>
  <c r="C35" i="1"/>
  <c r="D35" i="1"/>
  <c r="E35" i="1"/>
  <c r="F35" i="1"/>
  <c r="G35" i="1"/>
  <c r="H35" i="1"/>
  <c r="I35" i="1"/>
  <c r="J35" i="1"/>
  <c r="K35" i="1"/>
  <c r="L35" i="1"/>
  <c r="M35" i="1"/>
  <c r="B36" i="1"/>
  <c r="C36" i="1"/>
  <c r="D36" i="1"/>
  <c r="E36" i="1"/>
  <c r="F36" i="1"/>
  <c r="G36" i="1"/>
  <c r="H36" i="1"/>
  <c r="I36" i="1"/>
  <c r="J36" i="1"/>
  <c r="K36" i="1"/>
  <c r="L36" i="1"/>
  <c r="M36" i="1"/>
  <c r="B37" i="1"/>
  <c r="C37" i="1"/>
  <c r="D37" i="1"/>
  <c r="E37" i="1"/>
  <c r="F37" i="1"/>
  <c r="G37" i="1"/>
  <c r="H37" i="1"/>
  <c r="I37" i="1"/>
  <c r="J37" i="1"/>
  <c r="K37" i="1"/>
  <c r="L37" i="1"/>
  <c r="M37" i="1"/>
  <c r="B38" i="1"/>
  <c r="C38" i="1"/>
  <c r="D38" i="1"/>
  <c r="E38" i="1"/>
  <c r="F38" i="1"/>
  <c r="G38" i="1"/>
  <c r="H38" i="1"/>
  <c r="I38" i="1"/>
  <c r="J38" i="1"/>
  <c r="K38" i="1"/>
  <c r="L38" i="1"/>
  <c r="M38" i="1"/>
</calcChain>
</file>

<file path=xl/sharedStrings.xml><?xml version="1.0" encoding="utf-8"?>
<sst xmlns="http://schemas.openxmlformats.org/spreadsheetml/2006/main" count="50" uniqueCount="36">
  <si>
    <t/>
  </si>
  <si>
    <t>loyalty - (lack of) alternatives</t>
  </si>
  <si>
    <t>alternative RIO memberships</t>
  </si>
  <si>
    <t>overlaps</t>
  </si>
  <si>
    <t>loyalty - sunk costs/socialization</t>
  </si>
  <si>
    <t>membership duration</t>
  </si>
  <si>
    <t>RIO age</t>
  </si>
  <si>
    <t>loyalty - importance</t>
  </si>
  <si>
    <t>RIO size</t>
  </si>
  <si>
    <t>RIO alliance</t>
  </si>
  <si>
    <t>RIO customs union</t>
  </si>
  <si>
    <t>controls</t>
  </si>
  <si>
    <t>ideological diversity</t>
  </si>
  <si>
    <t>RIO policy scope</t>
  </si>
  <si>
    <t>regime type</t>
  </si>
  <si>
    <t>contagion effects</t>
  </si>
  <si>
    <t>unanimity rule</t>
  </si>
  <si>
    <t>relative power member state</t>
  </si>
  <si>
    <t>Constant</t>
  </si>
  <si>
    <t>Observations</t>
  </si>
  <si>
    <t>AIC</t>
  </si>
  <si>
    <t>BIC</t>
  </si>
  <si>
    <t>Clustered standard errors in parentheses with * p&lt;0.05, ** p&lt;0.01, *** p&lt;0.001</t>
  </si>
  <si>
    <t>nationalism</t>
  </si>
  <si>
    <t>model 1</t>
  </si>
  <si>
    <t>model 2</t>
  </si>
  <si>
    <t>model 3</t>
  </si>
  <si>
    <t>model 4</t>
  </si>
  <si>
    <t>model 5</t>
  </si>
  <si>
    <t>model 6</t>
  </si>
  <si>
    <t>model 7</t>
  </si>
  <si>
    <t>model 8</t>
  </si>
  <si>
    <t>model 9</t>
  </si>
  <si>
    <t>model 10</t>
  </si>
  <si>
    <t>model 11</t>
  </si>
  <si>
    <t>model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</si>
</sst>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18" fillId="33" borderId="10" xfId="0" applyFont="1" applyFill="1" applyBorder="1"/>
    <xf numFmtId="0" fontId="19" fillId="33" borderId="0" xfId="0" applyFont="1" applyFill="1"/>
    <xf numFmtId="0" fontId="18" fillId="33" borderId="0" xfId="0" applyFont="1" applyFill="1"/>
    <xf numFmtId="0" fontId="18" fillId="33" borderId="11" xfId="0" applyFont="1" applyFill="1" applyBorder="1"/>
    <xf numFmtId="0" fontId="0" fillId="33" borderId="0" xfId="0" applyFill="1"/>
    <xf numFmtId="0" fontId="0" fillId="33" borderId="11" xfId="0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04B5A-BD2D-4746-AB0D-DEA9A7F11633}">
  <dimension ref="A1:M43"/>
  <sheetViews>
    <sheetView tabSelected="1" workbookViewId="0">
      <selection activeCell="H17" sqref="H17"/>
    </sheetView>
  </sheetViews>
  <sheetFormatPr baseColWidth="10" defaultRowHeight="14.4" x14ac:dyDescent="0.3"/>
  <cols>
    <col min="1" max="1" width="34" style="5" customWidth="1"/>
    <col min="2" max="13" width="10" style="5" customWidth="1"/>
    <col min="14" max="16384" width="11.5546875" style="5"/>
  </cols>
  <sheetData>
    <row r="1" spans="1:13" ht="16.2" thickBot="1" x14ac:dyDescent="0.35">
      <c r="A1" s="1" t="s">
        <v>0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34</v>
      </c>
      <c r="M1" s="1" t="s">
        <v>35</v>
      </c>
    </row>
    <row r="2" spans="1:13" ht="16.2" thickTop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5.6" x14ac:dyDescent="0.3">
      <c r="A3" s="3" t="s">
        <v>2</v>
      </c>
      <c r="B3" s="3" t="str">
        <f>"0.369*"</f>
        <v>0.369*</v>
      </c>
      <c r="C3" s="3" t="str">
        <f>"0.487**"</f>
        <v>0.487**</v>
      </c>
      <c r="D3" s="3" t="str">
        <f>"0.359*"</f>
        <v>0.359*</v>
      </c>
      <c r="E3" s="3" t="str">
        <f>"0.559**"</f>
        <v>0.559**</v>
      </c>
      <c r="F3" s="3" t="str">
        <f>"0.336"</f>
        <v>0.336</v>
      </c>
      <c r="G3" s="3" t="str">
        <f>"0.510**"</f>
        <v>0.510**</v>
      </c>
      <c r="H3" s="3"/>
      <c r="I3" s="3"/>
      <c r="J3" s="3"/>
      <c r="K3" s="3"/>
      <c r="L3" s="3"/>
      <c r="M3" s="3"/>
    </row>
    <row r="4" spans="1:13" ht="15.6" x14ac:dyDescent="0.3">
      <c r="A4" s="3" t="s">
        <v>0</v>
      </c>
      <c r="B4" s="3" t="str">
        <f>"(0.158)"</f>
        <v>(0.158)</v>
      </c>
      <c r="C4" s="3" t="str">
        <f>"(0.172)"</f>
        <v>(0.172)</v>
      </c>
      <c r="D4" s="3" t="str">
        <f>"(0.176)"</f>
        <v>(0.176)</v>
      </c>
      <c r="E4" s="3" t="str">
        <f>"(0.184)"</f>
        <v>(0.184)</v>
      </c>
      <c r="F4" s="3" t="str">
        <f>"(0.193)"</f>
        <v>(0.193)</v>
      </c>
      <c r="G4" s="3" t="str">
        <f>"(0.177)"</f>
        <v>(0.177)</v>
      </c>
      <c r="H4" s="3"/>
      <c r="I4" s="3"/>
      <c r="J4" s="3"/>
      <c r="K4" s="3"/>
      <c r="L4" s="3"/>
      <c r="M4" s="3"/>
    </row>
    <row r="5" spans="1:13" ht="15.6" x14ac:dyDescent="0.3">
      <c r="A5" s="3" t="s">
        <v>3</v>
      </c>
      <c r="B5" s="3" t="str">
        <f>""</f>
        <v/>
      </c>
      <c r="C5" s="3" t="str">
        <f>""</f>
        <v/>
      </c>
      <c r="D5" s="3" t="str">
        <f>""</f>
        <v/>
      </c>
      <c r="E5" s="3" t="str">
        <f>""</f>
        <v/>
      </c>
      <c r="F5" s="3" t="str">
        <f>""</f>
        <v/>
      </c>
      <c r="G5" s="3" t="str">
        <f>""</f>
        <v/>
      </c>
      <c r="H5" s="3" t="str">
        <f>"0.001"</f>
        <v>0.001</v>
      </c>
      <c r="I5" s="3" t="str">
        <f>"0.002*"</f>
        <v>0.002*</v>
      </c>
      <c r="J5" s="3" t="str">
        <f>"0.001"</f>
        <v>0.001</v>
      </c>
      <c r="K5" s="3" t="str">
        <f>"0.003*"</f>
        <v>0.003*</v>
      </c>
      <c r="L5" s="3" t="str">
        <f>"0.001"</f>
        <v>0.001</v>
      </c>
      <c r="M5" s="3" t="str">
        <f>"0.002*"</f>
        <v>0.002*</v>
      </c>
    </row>
    <row r="6" spans="1:13" ht="15.6" x14ac:dyDescent="0.3">
      <c r="A6" s="3" t="s">
        <v>0</v>
      </c>
      <c r="B6" s="3" t="str">
        <f>""</f>
        <v/>
      </c>
      <c r="C6" s="3" t="str">
        <f>""</f>
        <v/>
      </c>
      <c r="D6" s="3" t="str">
        <f>""</f>
        <v/>
      </c>
      <c r="E6" s="3" t="str">
        <f>""</f>
        <v/>
      </c>
      <c r="F6" s="3" t="str">
        <f>""</f>
        <v/>
      </c>
      <c r="G6" s="3" t="str">
        <f>""</f>
        <v/>
      </c>
      <c r="H6" s="3" t="str">
        <f t="shared" ref="H6:M6" si="0">"(0.001)"</f>
        <v>(0.001)</v>
      </c>
      <c r="I6" s="3" t="str">
        <f t="shared" si="0"/>
        <v>(0.001)</v>
      </c>
      <c r="J6" s="3" t="str">
        <f t="shared" si="0"/>
        <v>(0.001)</v>
      </c>
      <c r="K6" s="3" t="str">
        <f t="shared" si="0"/>
        <v>(0.001)</v>
      </c>
      <c r="L6" s="3" t="str">
        <f t="shared" si="0"/>
        <v>(0.001)</v>
      </c>
      <c r="M6" s="3" t="str">
        <f t="shared" si="0"/>
        <v>(0.001)</v>
      </c>
    </row>
    <row r="7" spans="1:13" ht="15.6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15.6" x14ac:dyDescent="0.3">
      <c r="A8" s="3" t="s">
        <v>5</v>
      </c>
      <c r="B8" s="3" t="str">
        <f>"-0.044*"</f>
        <v>-0.044*</v>
      </c>
      <c r="C8" s="3" t="str">
        <f>""</f>
        <v/>
      </c>
      <c r="D8" s="3" t="str">
        <f>"-0.063*"</f>
        <v>-0.063*</v>
      </c>
      <c r="E8" s="3" t="str">
        <f>""</f>
        <v/>
      </c>
      <c r="F8" s="3" t="str">
        <f>"-0.057*"</f>
        <v>-0.057*</v>
      </c>
      <c r="G8" s="3" t="str">
        <f>""</f>
        <v/>
      </c>
      <c r="H8" s="3" t="str">
        <f>"-0.042"</f>
        <v>-0.042</v>
      </c>
      <c r="I8" s="3" t="str">
        <f>""</f>
        <v/>
      </c>
      <c r="J8" s="3" t="str">
        <f>"-0.060*"</f>
        <v>-0.060*</v>
      </c>
      <c r="K8" s="3" t="str">
        <f>""</f>
        <v/>
      </c>
      <c r="L8" s="3" t="str">
        <f>"-0.054"</f>
        <v>-0.054</v>
      </c>
      <c r="M8" s="3"/>
    </row>
    <row r="9" spans="1:13" ht="15.6" x14ac:dyDescent="0.3">
      <c r="A9" s="3" t="s">
        <v>0</v>
      </c>
      <c r="B9" s="3" t="str">
        <f>"(0.023)"</f>
        <v>(0.023)</v>
      </c>
      <c r="C9" s="3" t="str">
        <f>""</f>
        <v/>
      </c>
      <c r="D9" s="3" t="str">
        <f>"(0.027)"</f>
        <v>(0.027)</v>
      </c>
      <c r="E9" s="3" t="str">
        <f>""</f>
        <v/>
      </c>
      <c r="F9" s="3" t="str">
        <f>"(0.026)"</f>
        <v>(0.026)</v>
      </c>
      <c r="G9" s="3" t="str">
        <f>""</f>
        <v/>
      </c>
      <c r="H9" s="3" t="str">
        <f>"(0.023)"</f>
        <v>(0.023)</v>
      </c>
      <c r="I9" s="3" t="str">
        <f>""</f>
        <v/>
      </c>
      <c r="J9" s="3" t="str">
        <f>"(0.028)"</f>
        <v>(0.028)</v>
      </c>
      <c r="K9" s="3" t="str">
        <f>""</f>
        <v/>
      </c>
      <c r="L9" s="3" t="str">
        <f>"(0.028)"</f>
        <v>(0.028)</v>
      </c>
      <c r="M9" s="3"/>
    </row>
    <row r="10" spans="1:13" ht="15.6" x14ac:dyDescent="0.3">
      <c r="A10" s="3" t="s">
        <v>6</v>
      </c>
      <c r="B10" s="3" t="str">
        <f>""</f>
        <v/>
      </c>
      <c r="C10" s="3" t="str">
        <f>"-0.073*"</f>
        <v>-0.073*</v>
      </c>
      <c r="D10" s="3" t="str">
        <f>""</f>
        <v/>
      </c>
      <c r="E10" s="3" t="str">
        <f>"-0.115**"</f>
        <v>-0.115**</v>
      </c>
      <c r="F10" s="3" t="str">
        <f>""</f>
        <v/>
      </c>
      <c r="G10" s="3" t="str">
        <f>"-0.102**"</f>
        <v>-0.102**</v>
      </c>
      <c r="H10" s="3" t="str">
        <f>""</f>
        <v/>
      </c>
      <c r="I10" s="3" t="str">
        <f>"-0.070*"</f>
        <v>-0.070*</v>
      </c>
      <c r="J10" s="3" t="str">
        <f>""</f>
        <v/>
      </c>
      <c r="K10" s="3" t="str">
        <f>"-0.113**"</f>
        <v>-0.113**</v>
      </c>
      <c r="L10" s="3" t="str">
        <f>""</f>
        <v/>
      </c>
      <c r="M10" s="3" t="str">
        <f>"-0.100**"</f>
        <v>-0.100**</v>
      </c>
    </row>
    <row r="11" spans="1:13" ht="15.6" x14ac:dyDescent="0.3">
      <c r="A11" s="3" t="s">
        <v>0</v>
      </c>
      <c r="B11" s="3" t="str">
        <f>""</f>
        <v/>
      </c>
      <c r="C11" s="3" t="str">
        <f>"(0.033)"</f>
        <v>(0.033)</v>
      </c>
      <c r="D11" s="3" t="str">
        <f>""</f>
        <v/>
      </c>
      <c r="E11" s="3" t="str">
        <f>"(0.039)"</f>
        <v>(0.039)</v>
      </c>
      <c r="F11" s="3" t="str">
        <f>""</f>
        <v/>
      </c>
      <c r="G11" s="3" t="str">
        <f>"(0.034)"</f>
        <v>(0.034)</v>
      </c>
      <c r="H11" s="3" t="str">
        <f>""</f>
        <v/>
      </c>
      <c r="I11" s="3" t="str">
        <f>"(0.032)"</f>
        <v>(0.032)</v>
      </c>
      <c r="J11" s="3" t="str">
        <f>""</f>
        <v/>
      </c>
      <c r="K11" s="3" t="str">
        <f>"(0.038)"</f>
        <v>(0.038)</v>
      </c>
      <c r="L11" s="3" t="str">
        <f>""</f>
        <v/>
      </c>
      <c r="M11" s="3" t="str">
        <f>"(0.034)"</f>
        <v>(0.034)</v>
      </c>
    </row>
    <row r="12" spans="1:13" ht="15.6" x14ac:dyDescent="0.3">
      <c r="A12" s="2" t="s">
        <v>7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 t="str">
        <f>""</f>
        <v/>
      </c>
    </row>
    <row r="13" spans="1:13" ht="15.6" x14ac:dyDescent="0.3">
      <c r="A13" s="3" t="s">
        <v>8</v>
      </c>
      <c r="B13" s="3" t="str">
        <f>"-0.077**"</f>
        <v>-0.077**</v>
      </c>
      <c r="C13" s="3" t="str">
        <f>"-0.053*"</f>
        <v>-0.053*</v>
      </c>
      <c r="D13" s="3" t="str">
        <f>""</f>
        <v/>
      </c>
      <c r="E13" s="3" t="str">
        <f>""</f>
        <v/>
      </c>
      <c r="F13" s="3" t="str">
        <f>""</f>
        <v/>
      </c>
      <c r="G13" s="3" t="str">
        <f>""</f>
        <v/>
      </c>
      <c r="H13" s="3" t="str">
        <f>"-0.079***"</f>
        <v>-0.079***</v>
      </c>
      <c r="I13" s="3" t="str">
        <f>"-0.062**"</f>
        <v>-0.062**</v>
      </c>
      <c r="J13" s="3"/>
      <c r="K13" s="3"/>
      <c r="L13" s="3"/>
      <c r="M13" s="3"/>
    </row>
    <row r="14" spans="1:13" ht="15.6" x14ac:dyDescent="0.3">
      <c r="A14" s="3" t="s">
        <v>0</v>
      </c>
      <c r="B14" s="3" t="str">
        <f>"(0.027)"</f>
        <v>(0.027)</v>
      </c>
      <c r="C14" s="3" t="str">
        <f>"(0.026)"</f>
        <v>(0.026)</v>
      </c>
      <c r="D14" s="3" t="str">
        <f>""</f>
        <v/>
      </c>
      <c r="E14" s="3" t="str">
        <f>""</f>
        <v/>
      </c>
      <c r="F14" s="3" t="str">
        <f>""</f>
        <v/>
      </c>
      <c r="G14" s="3" t="str">
        <f>""</f>
        <v/>
      </c>
      <c r="H14" s="3" t="str">
        <f>"(0.024)"</f>
        <v>(0.024)</v>
      </c>
      <c r="I14" s="3" t="str">
        <f>"(0.024)"</f>
        <v>(0.024)</v>
      </c>
      <c r="J14" s="3" t="str">
        <f>""</f>
        <v/>
      </c>
      <c r="K14" s="3" t="str">
        <f>""</f>
        <v/>
      </c>
      <c r="L14" s="3" t="str">
        <f>""</f>
        <v/>
      </c>
      <c r="M14" s="3" t="str">
        <f>""</f>
        <v/>
      </c>
    </row>
    <row r="15" spans="1:13" ht="15.6" x14ac:dyDescent="0.3">
      <c r="A15" s="3" t="s">
        <v>9</v>
      </c>
      <c r="B15" s="3" t="str">
        <f>""</f>
        <v/>
      </c>
      <c r="C15" s="3" t="str">
        <f>""</f>
        <v/>
      </c>
      <c r="D15" s="3" t="str">
        <f>"1.800"</f>
        <v>1.800</v>
      </c>
      <c r="E15" s="3" t="str">
        <f>"2.377*"</f>
        <v>2.377*</v>
      </c>
      <c r="F15" s="3" t="str">
        <f>""</f>
        <v/>
      </c>
      <c r="G15" s="3" t="str">
        <f>""</f>
        <v/>
      </c>
      <c r="H15" s="3" t="str">
        <f>""</f>
        <v/>
      </c>
      <c r="I15" s="3" t="str">
        <f>""</f>
        <v/>
      </c>
      <c r="J15" s="3" t="str">
        <f>"1.688"</f>
        <v>1.688</v>
      </c>
      <c r="K15" s="3" t="str">
        <f>"2.068*"</f>
        <v>2.068*</v>
      </c>
      <c r="L15" s="3" t="str">
        <f>""</f>
        <v/>
      </c>
      <c r="M15" s="3" t="str">
        <f>""</f>
        <v/>
      </c>
    </row>
    <row r="16" spans="1:13" ht="15.6" x14ac:dyDescent="0.3">
      <c r="A16" s="3" t="s">
        <v>0</v>
      </c>
      <c r="B16" s="3" t="str">
        <f>""</f>
        <v/>
      </c>
      <c r="C16" s="3" t="str">
        <f>""</f>
        <v/>
      </c>
      <c r="D16" s="3" t="str">
        <f>"(1.095)"</f>
        <v>(1.095)</v>
      </c>
      <c r="E16" s="3" t="str">
        <f>"(1.138)"</f>
        <v>(1.138)</v>
      </c>
      <c r="F16" s="3" t="str">
        <f>""</f>
        <v/>
      </c>
      <c r="G16" s="3" t="str">
        <f>""</f>
        <v/>
      </c>
      <c r="H16" s="3" t="str">
        <f>""</f>
        <v/>
      </c>
      <c r="I16" s="3" t="str">
        <f>""</f>
        <v/>
      </c>
      <c r="J16" s="3" t="str">
        <f>"(1.117)"</f>
        <v>(1.117)</v>
      </c>
      <c r="K16" s="3" t="str">
        <f>"(1.041)"</f>
        <v>(1.041)</v>
      </c>
      <c r="L16" s="3" t="str">
        <f>""</f>
        <v/>
      </c>
      <c r="M16" s="3" t="str">
        <f>""</f>
        <v/>
      </c>
    </row>
    <row r="17" spans="1:13" ht="15.6" x14ac:dyDescent="0.3">
      <c r="A17" s="3" t="s">
        <v>10</v>
      </c>
      <c r="B17" s="3" t="str">
        <f>""</f>
        <v/>
      </c>
      <c r="C17" s="3" t="str">
        <f>""</f>
        <v/>
      </c>
      <c r="D17" s="3" t="str">
        <f>""</f>
        <v/>
      </c>
      <c r="E17" s="3" t="str">
        <f>""</f>
        <v/>
      </c>
      <c r="F17" s="3" t="str">
        <f>"0.555"</f>
        <v>0.555</v>
      </c>
      <c r="G17" s="3" t="str">
        <f>"0.498"</f>
        <v>0.498</v>
      </c>
      <c r="H17" s="3" t="str">
        <f>""</f>
        <v/>
      </c>
      <c r="I17" s="3" t="str">
        <f>""</f>
        <v/>
      </c>
      <c r="J17" s="3" t="str">
        <f>""</f>
        <v/>
      </c>
      <c r="K17" s="3" t="str">
        <f>""</f>
        <v/>
      </c>
      <c r="L17" s="3" t="str">
        <f>"0.781"</f>
        <v>0.781</v>
      </c>
      <c r="M17" s="3" t="str">
        <f>"0.718"</f>
        <v>0.718</v>
      </c>
    </row>
    <row r="18" spans="1:13" ht="15.6" x14ac:dyDescent="0.3">
      <c r="A18" s="3" t="s">
        <v>0</v>
      </c>
      <c r="B18" s="3" t="str">
        <f>""</f>
        <v/>
      </c>
      <c r="C18" s="3" t="str">
        <f>""</f>
        <v/>
      </c>
      <c r="D18" s="3" t="str">
        <f>""</f>
        <v/>
      </c>
      <c r="E18" s="3" t="str">
        <f>""</f>
        <v/>
      </c>
      <c r="F18" s="3" t="str">
        <f>"(0.742)"</f>
        <v>(0.742)</v>
      </c>
      <c r="G18" s="3" t="str">
        <f>"(0.697)"</f>
        <v>(0.697)</v>
      </c>
      <c r="H18" s="3" t="str">
        <f>""</f>
        <v/>
      </c>
      <c r="I18" s="3" t="str">
        <f>""</f>
        <v/>
      </c>
      <c r="J18" s="3" t="str">
        <f>""</f>
        <v/>
      </c>
      <c r="K18" s="3" t="str">
        <f>""</f>
        <v/>
      </c>
      <c r="L18" s="3" t="str">
        <f>"(0.751)"</f>
        <v>(0.751)</v>
      </c>
      <c r="M18" s="3" t="str">
        <f>"(0.703)"</f>
        <v>(0.703)</v>
      </c>
    </row>
    <row r="19" spans="1:13" ht="15.6" x14ac:dyDescent="0.3">
      <c r="A19" s="2" t="s">
        <v>11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6" x14ac:dyDescent="0.3">
      <c r="A20" s="3" t="s">
        <v>12</v>
      </c>
      <c r="B20" s="3" t="str">
        <f>"-0.333"</f>
        <v>-0.333</v>
      </c>
      <c r="C20" s="3" t="str">
        <f>"-0.298"</f>
        <v>-0.298</v>
      </c>
      <c r="D20" s="3" t="str">
        <f>"-0.495"</f>
        <v>-0.495</v>
      </c>
      <c r="E20" s="3" t="str">
        <f>"-0.412"</f>
        <v>-0.412</v>
      </c>
      <c r="F20" s="3" t="str">
        <f>"-0.327"</f>
        <v>-0.327</v>
      </c>
      <c r="G20" s="3" t="str">
        <f>"-0.256"</f>
        <v>-0.256</v>
      </c>
      <c r="H20" s="3" t="str">
        <f>"-0.289"</f>
        <v>-0.289</v>
      </c>
      <c r="I20" s="3" t="str">
        <f>"-0.258"</f>
        <v>-0.258</v>
      </c>
      <c r="J20" s="3" t="str">
        <f>"-0.388"</f>
        <v>-0.388</v>
      </c>
      <c r="K20" s="3" t="str">
        <f>"-0.329"</f>
        <v>-0.329</v>
      </c>
      <c r="L20" s="3" t="str">
        <f>"-0.217"</f>
        <v>-0.217</v>
      </c>
      <c r="M20" s="3" t="str">
        <f>"-0.161"</f>
        <v>-0.161</v>
      </c>
    </row>
    <row r="21" spans="1:13" ht="15.6" x14ac:dyDescent="0.3">
      <c r="A21" s="3" t="s">
        <v>0</v>
      </c>
      <c r="B21" s="3" t="str">
        <f>"(0.222)"</f>
        <v>(0.222)</v>
      </c>
      <c r="C21" s="3" t="str">
        <f>"(0.218)"</f>
        <v>(0.218)</v>
      </c>
      <c r="D21" s="3" t="str">
        <f>"(0.260)"</f>
        <v>(0.260)</v>
      </c>
      <c r="E21" s="3" t="str">
        <f>"(0.273)"</f>
        <v>(0.273)</v>
      </c>
      <c r="F21" s="3" t="str">
        <f>"(0.229)"</f>
        <v>(0.229)</v>
      </c>
      <c r="G21" s="3" t="str">
        <f>"(0.230)"</f>
        <v>(0.230)</v>
      </c>
      <c r="H21" s="3" t="str">
        <f>"(0.206)"</f>
        <v>(0.206)</v>
      </c>
      <c r="I21" s="3" t="str">
        <f>"(0.209)"</f>
        <v>(0.209)</v>
      </c>
      <c r="J21" s="3" t="str">
        <f>"(0.211)"</f>
        <v>(0.211)</v>
      </c>
      <c r="K21" s="3" t="str">
        <f>"(0.248)"</f>
        <v>(0.248)</v>
      </c>
      <c r="L21" s="3" t="str">
        <f>"(0.199)"</f>
        <v>(0.199)</v>
      </c>
      <c r="M21" s="3" t="str">
        <f>"(0.223)"</f>
        <v>(0.223)</v>
      </c>
    </row>
    <row r="22" spans="1:13" ht="15.6" x14ac:dyDescent="0.3">
      <c r="A22" s="3" t="s">
        <v>13</v>
      </c>
      <c r="B22" s="3" t="str">
        <f>"-0.017"</f>
        <v>-0.017</v>
      </c>
      <c r="C22" s="3" t="str">
        <f>"-0.020"</f>
        <v>-0.020</v>
      </c>
      <c r="D22" s="3" t="str">
        <f>"-0.009"</f>
        <v>-0.009</v>
      </c>
      <c r="E22" s="3" t="str">
        <f>"-0.014"</f>
        <v>-0.014</v>
      </c>
      <c r="F22" s="3" t="str">
        <f>"-0.015"</f>
        <v>-0.015</v>
      </c>
      <c r="G22" s="3" t="str">
        <f>"-0.019"</f>
        <v>-0.019</v>
      </c>
      <c r="H22" s="3" t="str">
        <f>"-0.016"</f>
        <v>-0.016</v>
      </c>
      <c r="I22" s="3" t="str">
        <f>"-0.020"</f>
        <v>-0.020</v>
      </c>
      <c r="J22" s="3" t="str">
        <f>"-0.007"</f>
        <v>-0.007</v>
      </c>
      <c r="K22" s="3" t="str">
        <f>"-0.013"</f>
        <v>-0.013</v>
      </c>
      <c r="L22" s="3" t="str">
        <f>"-0.013"</f>
        <v>-0.013</v>
      </c>
      <c r="M22" s="3" t="str">
        <f>"-0.018"</f>
        <v>-0.018</v>
      </c>
    </row>
    <row r="23" spans="1:13" ht="15.6" x14ac:dyDescent="0.3">
      <c r="A23" s="3" t="s">
        <v>0</v>
      </c>
      <c r="B23" s="3" t="str">
        <f>"(0.010)"</f>
        <v>(0.010)</v>
      </c>
      <c r="C23" s="3" t="str">
        <f>"(0.011)"</f>
        <v>(0.011)</v>
      </c>
      <c r="D23" s="3" t="str">
        <f>"(0.011)"</f>
        <v>(0.011)</v>
      </c>
      <c r="E23" s="3" t="str">
        <f>"(0.010)"</f>
        <v>(0.010)</v>
      </c>
      <c r="F23" s="3" t="str">
        <f>"(0.011)"</f>
        <v>(0.011)</v>
      </c>
      <c r="G23" s="3" t="str">
        <f>"(0.011)"</f>
        <v>(0.011)</v>
      </c>
      <c r="H23" s="3" t="str">
        <f>"(0.010)"</f>
        <v>(0.010)</v>
      </c>
      <c r="I23" s="3" t="str">
        <f>"(0.011)"</f>
        <v>(0.011)</v>
      </c>
      <c r="J23" s="3" t="str">
        <f>"(0.009)"</f>
        <v>(0.009)</v>
      </c>
      <c r="K23" s="3" t="str">
        <f>"(0.010)"</f>
        <v>(0.010)</v>
      </c>
      <c r="L23" s="3" t="str">
        <f>"(0.010)"</f>
        <v>(0.010)</v>
      </c>
      <c r="M23" s="3" t="str">
        <f>"(0.010)"</f>
        <v>(0.010)</v>
      </c>
    </row>
    <row r="24" spans="1:13" ht="15.6" x14ac:dyDescent="0.3">
      <c r="A24" s="3" t="s">
        <v>14</v>
      </c>
      <c r="B24" s="3" t="str">
        <f>"0.090"</f>
        <v>0.090</v>
      </c>
      <c r="C24" s="3" t="str">
        <f>"0.141"</f>
        <v>0.141</v>
      </c>
      <c r="D24" s="3" t="str">
        <f>"0.180*"</f>
        <v>0.180*</v>
      </c>
      <c r="E24" s="3" t="str">
        <f>"0.262*"</f>
        <v>0.262*</v>
      </c>
      <c r="F24" s="3" t="str">
        <f>"0.133"</f>
        <v>0.133</v>
      </c>
      <c r="G24" s="3" t="str">
        <f>"0.189"</f>
        <v>0.189</v>
      </c>
      <c r="H24" s="3" t="str">
        <f>"0.103"</f>
        <v>0.103</v>
      </c>
      <c r="I24" s="3" t="str">
        <f>"0.165"</f>
        <v>0.165</v>
      </c>
      <c r="J24" s="3" t="str">
        <f>"0.204*"</f>
        <v>0.204*</v>
      </c>
      <c r="K24" s="3" t="str">
        <f>"0.303**"</f>
        <v>0.303**</v>
      </c>
      <c r="L24" s="3" t="str">
        <f>"0.146"</f>
        <v>0.146</v>
      </c>
      <c r="M24" s="3" t="str">
        <f>"0.223"</f>
        <v>0.223</v>
      </c>
    </row>
    <row r="25" spans="1:13" ht="15.6" x14ac:dyDescent="0.3">
      <c r="A25" s="3" t="s">
        <v>0</v>
      </c>
      <c r="B25" s="3" t="str">
        <f>"(0.089)"</f>
        <v>(0.089)</v>
      </c>
      <c r="C25" s="3" t="str">
        <f>"(0.112)"</f>
        <v>(0.112)</v>
      </c>
      <c r="D25" s="3" t="str">
        <f>"(0.087)"</f>
        <v>(0.087)</v>
      </c>
      <c r="E25" s="3" t="str">
        <f>"(0.112)"</f>
        <v>(0.112)</v>
      </c>
      <c r="F25" s="3" t="str">
        <f>"(0.102)"</f>
        <v>(0.102)</v>
      </c>
      <c r="G25" s="3" t="str">
        <f>"(0.119)"</f>
        <v>(0.119)</v>
      </c>
      <c r="H25" s="3" t="str">
        <f>"(0.088)"</f>
        <v>(0.088)</v>
      </c>
      <c r="I25" s="3" t="str">
        <f>"(0.109)"</f>
        <v>(0.109)</v>
      </c>
      <c r="J25" s="3" t="str">
        <f>"(0.089)"</f>
        <v>(0.089)</v>
      </c>
      <c r="K25" s="3" t="str">
        <f>"(0.111)"</f>
        <v>(0.111)</v>
      </c>
      <c r="L25" s="3" t="str">
        <f>"(0.104)"</f>
        <v>(0.104)</v>
      </c>
      <c r="M25" s="3" t="str">
        <f>"(0.117)"</f>
        <v>(0.117)</v>
      </c>
    </row>
    <row r="26" spans="1:13" ht="15.6" x14ac:dyDescent="0.3">
      <c r="A26" s="3" t="s">
        <v>15</v>
      </c>
      <c r="B26" s="3" t="str">
        <f>"0.734"</f>
        <v>0.734</v>
      </c>
      <c r="C26" s="3" t="str">
        <f>"0.659"</f>
        <v>0.659</v>
      </c>
      <c r="D26" s="3" t="str">
        <f>"1.241"</f>
        <v>1.241</v>
      </c>
      <c r="E26" s="3" t="str">
        <f>"1.021"</f>
        <v>1.021</v>
      </c>
      <c r="F26" s="3" t="str">
        <f>"1.076"</f>
        <v>1.076</v>
      </c>
      <c r="G26" s="3" t="str">
        <f>"0.799"</f>
        <v>0.799</v>
      </c>
      <c r="H26" s="3" t="str">
        <f>"0.756"</f>
        <v>0.756</v>
      </c>
      <c r="I26" s="3" t="str">
        <f>"0.655"</f>
        <v>0.655</v>
      </c>
      <c r="J26" s="3" t="str">
        <f>"1.193"</f>
        <v>1.193</v>
      </c>
      <c r="K26" s="3" t="str">
        <f>"0.981"</f>
        <v>0.981</v>
      </c>
      <c r="L26" s="3" t="str">
        <f>"1.058"</f>
        <v>1.058</v>
      </c>
      <c r="M26" s="3" t="str">
        <f>"0.761"</f>
        <v>0.761</v>
      </c>
    </row>
    <row r="27" spans="1:13" ht="15.6" x14ac:dyDescent="0.3">
      <c r="A27" s="3" t="s">
        <v>0</v>
      </c>
      <c r="B27" s="3" t="str">
        <f>"(2.160)"</f>
        <v>(2.160)</v>
      </c>
      <c r="C27" s="3" t="str">
        <f>"(1.921)"</f>
        <v>(1.921)</v>
      </c>
      <c r="D27" s="3" t="str">
        <f>"(1.500)"</f>
        <v>(1.500)</v>
      </c>
      <c r="E27" s="3" t="str">
        <f>"(1.601)"</f>
        <v>(1.601)</v>
      </c>
      <c r="F27" s="3" t="str">
        <f>"(1.586)"</f>
        <v>(1.586)</v>
      </c>
      <c r="G27" s="3" t="str">
        <f>"(1.630)"</f>
        <v>(1.630)</v>
      </c>
      <c r="H27" s="3" t="str">
        <f>"(2.100)"</f>
        <v>(2.100)</v>
      </c>
      <c r="I27" s="3" t="str">
        <f>"(1.944)"</f>
        <v>(1.944)</v>
      </c>
      <c r="J27" s="3" t="str">
        <f>"(1.407)"</f>
        <v>(1.407)</v>
      </c>
      <c r="K27" s="3" t="str">
        <f>"(1.600)"</f>
        <v>(1.600)</v>
      </c>
      <c r="L27" s="3" t="str">
        <f>"(1.469)"</f>
        <v>(1.469)</v>
      </c>
      <c r="M27" s="3" t="str">
        <f>"(1.573)"</f>
        <v>(1.573)</v>
      </c>
    </row>
    <row r="28" spans="1:13" ht="15.6" x14ac:dyDescent="0.3">
      <c r="A28" s="3" t="s">
        <v>16</v>
      </c>
      <c r="B28" s="3" t="str">
        <f>"-0.151"</f>
        <v>-0.151</v>
      </c>
      <c r="C28" s="3" t="str">
        <f>"0.635"</f>
        <v>0.635</v>
      </c>
      <c r="D28" s="3" t="str">
        <f>"0.963"</f>
        <v>0.963</v>
      </c>
      <c r="E28" s="3" t="str">
        <f>"2.145*"</f>
        <v>2.145*</v>
      </c>
      <c r="F28" s="3" t="str">
        <f>"0.495"</f>
        <v>0.495</v>
      </c>
      <c r="G28" s="3" t="str">
        <f>"1.431"</f>
        <v>1.431</v>
      </c>
      <c r="H28" s="3" t="str">
        <f>"-0.230"</f>
        <v>-0.230</v>
      </c>
      <c r="I28" s="3" t="str">
        <f>"0.459"</f>
        <v>0.459</v>
      </c>
      <c r="J28" s="3" t="str">
        <f>"0.926"</f>
        <v>0.926</v>
      </c>
      <c r="K28" s="3" t="str">
        <f>"2.025*"</f>
        <v>2.025*</v>
      </c>
      <c r="L28" s="3" t="str">
        <f>"0.441"</f>
        <v>0.441</v>
      </c>
      <c r="M28" s="3" t="str">
        <f>"1.359"</f>
        <v>1.359</v>
      </c>
    </row>
    <row r="29" spans="1:13" ht="15.6" x14ac:dyDescent="0.3">
      <c r="A29" s="3" t="s">
        <v>0</v>
      </c>
      <c r="B29" s="3" t="str">
        <f>"(0.749)"</f>
        <v>(0.749)</v>
      </c>
      <c r="C29" s="3" t="str">
        <f>"(0.931)"</f>
        <v>(0.931)</v>
      </c>
      <c r="D29" s="3" t="str">
        <f>"(0.741)"</f>
        <v>(0.741)</v>
      </c>
      <c r="E29" s="3" t="str">
        <f>"(0.926)"</f>
        <v>(0.926)</v>
      </c>
      <c r="F29" s="3" t="str">
        <f>"(0.714)"</f>
        <v>(0.714)</v>
      </c>
      <c r="G29" s="3" t="str">
        <f>"(0.794)"</f>
        <v>(0.794)</v>
      </c>
      <c r="H29" s="3" t="str">
        <f>"(0.728)"</f>
        <v>(0.728)</v>
      </c>
      <c r="I29" s="3" t="str">
        <f>"(0.857)"</f>
        <v>(0.857)</v>
      </c>
      <c r="J29" s="3" t="str">
        <f>"(0.730)"</f>
        <v>(0.730)</v>
      </c>
      <c r="K29" s="3" t="str">
        <f>"(0.874)"</f>
        <v>(0.874)</v>
      </c>
      <c r="L29" s="3" t="str">
        <f>"(0.683)"</f>
        <v>(0.683)</v>
      </c>
      <c r="M29" s="3" t="str">
        <f>"(0.765)"</f>
        <v>(0.765)</v>
      </c>
    </row>
    <row r="30" spans="1:13" ht="15.6" x14ac:dyDescent="0.3">
      <c r="A30" s="3" t="s">
        <v>17</v>
      </c>
      <c r="B30" s="3" t="str">
        <f t="shared" ref="B30:M30" si="1">"-0.000"</f>
        <v>-0.000</v>
      </c>
      <c r="C30" s="3" t="str">
        <f t="shared" si="1"/>
        <v>-0.000</v>
      </c>
      <c r="D30" s="3" t="str">
        <f t="shared" si="1"/>
        <v>-0.000</v>
      </c>
      <c r="E30" s="3" t="str">
        <f t="shared" si="1"/>
        <v>-0.000</v>
      </c>
      <c r="F30" s="3" t="str">
        <f t="shared" si="1"/>
        <v>-0.000</v>
      </c>
      <c r="G30" s="3" t="str">
        <f t="shared" si="1"/>
        <v>-0.000</v>
      </c>
      <c r="H30" s="3" t="str">
        <f t="shared" si="1"/>
        <v>-0.000</v>
      </c>
      <c r="I30" s="3" t="str">
        <f t="shared" si="1"/>
        <v>-0.000</v>
      </c>
      <c r="J30" s="3" t="str">
        <f t="shared" si="1"/>
        <v>-0.000</v>
      </c>
      <c r="K30" s="3" t="str">
        <f t="shared" si="1"/>
        <v>-0.000</v>
      </c>
      <c r="L30" s="3" t="str">
        <f t="shared" si="1"/>
        <v>-0.000</v>
      </c>
      <c r="M30" s="3" t="str">
        <f t="shared" si="1"/>
        <v>-0.000</v>
      </c>
    </row>
    <row r="31" spans="1:13" ht="15.6" x14ac:dyDescent="0.3">
      <c r="B31" s="3" t="str">
        <f t="shared" ref="B31:M31" si="2">"(0.000)"</f>
        <v>(0.000)</v>
      </c>
      <c r="C31" s="3" t="str">
        <f t="shared" si="2"/>
        <v>(0.000)</v>
      </c>
      <c r="D31" s="3" t="str">
        <f t="shared" si="2"/>
        <v>(0.000)</v>
      </c>
      <c r="E31" s="3" t="str">
        <f t="shared" si="2"/>
        <v>(0.000)</v>
      </c>
      <c r="F31" s="3" t="str">
        <f t="shared" si="2"/>
        <v>(0.000)</v>
      </c>
      <c r="G31" s="3" t="str">
        <f t="shared" si="2"/>
        <v>(0.000)</v>
      </c>
      <c r="H31" s="3" t="str">
        <f t="shared" si="2"/>
        <v>(0.000)</v>
      </c>
      <c r="I31" s="3" t="str">
        <f t="shared" si="2"/>
        <v>(0.000)</v>
      </c>
      <c r="J31" s="3" t="str">
        <f t="shared" si="2"/>
        <v>(0.000)</v>
      </c>
      <c r="K31" s="3" t="str">
        <f t="shared" si="2"/>
        <v>(0.000)</v>
      </c>
      <c r="L31" s="3" t="str">
        <f t="shared" si="2"/>
        <v>(0.000)</v>
      </c>
      <c r="M31" s="3" t="str">
        <f t="shared" si="2"/>
        <v>(0.000)</v>
      </c>
    </row>
    <row r="32" spans="1:13" ht="15.6" x14ac:dyDescent="0.3">
      <c r="A32" s="3" t="s">
        <v>23</v>
      </c>
      <c r="B32" s="3" t="str">
        <f>"1.143"</f>
        <v>1.143</v>
      </c>
      <c r="C32" s="3" t="str">
        <f>"1.314"</f>
        <v>1.314</v>
      </c>
      <c r="D32" s="3" t="str">
        <f>"0.865"</f>
        <v>0.865</v>
      </c>
      <c r="E32" s="3" t="str">
        <f>"1.188"</f>
        <v>1.188</v>
      </c>
      <c r="F32" s="3" t="str">
        <f>"0.846"</f>
        <v>0.846</v>
      </c>
      <c r="G32" s="3" t="str">
        <f>"1.091"</f>
        <v>1.091</v>
      </c>
      <c r="H32" s="3" t="str">
        <f>"0.800"</f>
        <v>0.800</v>
      </c>
      <c r="I32" s="3" t="str">
        <f>"0.911"</f>
        <v>0.911</v>
      </c>
      <c r="J32" s="3" t="str">
        <f>"0.439"</f>
        <v>0.439</v>
      </c>
      <c r="K32" s="3" t="str">
        <f>"0.651"</f>
        <v>0.651</v>
      </c>
      <c r="L32" s="3" t="str">
        <f>"0.508"</f>
        <v>0.508</v>
      </c>
      <c r="M32" s="3" t="str">
        <f>"0.667"</f>
        <v>0.667</v>
      </c>
    </row>
    <row r="33" spans="1:13" s="6" customFormat="1" ht="15.6" x14ac:dyDescent="0.3">
      <c r="A33" s="4" t="s">
        <v>0</v>
      </c>
      <c r="B33" s="4" t="str">
        <f>"(0.864)"</f>
        <v>(0.864)</v>
      </c>
      <c r="C33" s="4" t="str">
        <f>"(0.821)"</f>
        <v>(0.821)</v>
      </c>
      <c r="D33" s="4" t="str">
        <f>"(0.790)"</f>
        <v>(0.790)</v>
      </c>
      <c r="E33" s="4" t="str">
        <f>"(0.846)"</f>
        <v>(0.846)</v>
      </c>
      <c r="F33" s="4" t="str">
        <f>"(0.772)"</f>
        <v>(0.772)</v>
      </c>
      <c r="G33" s="4" t="str">
        <f>"(0.786)"</f>
        <v>(0.786)</v>
      </c>
      <c r="H33" s="4" t="str">
        <f>"(0.835)"</f>
        <v>(0.835)</v>
      </c>
      <c r="I33" s="4" t="str">
        <f>"(0.789)"</f>
        <v>(0.789)</v>
      </c>
      <c r="J33" s="4" t="str">
        <f>"(0.743)"</f>
        <v>(0.743)</v>
      </c>
      <c r="K33" s="4" t="str">
        <f>"(0.760)"</f>
        <v>(0.760)</v>
      </c>
      <c r="L33" s="4" t="str">
        <f>"(0.728)"</f>
        <v>(0.728)</v>
      </c>
      <c r="M33" s="4" t="str">
        <f>"(0.744)"</f>
        <v>(0.744)</v>
      </c>
    </row>
    <row r="34" spans="1:13" ht="15.6" x14ac:dyDescent="0.3">
      <c r="A34" s="3" t="s">
        <v>18</v>
      </c>
      <c r="B34" s="3" t="str">
        <f>"0.371"</f>
        <v>0.371</v>
      </c>
      <c r="C34" s="3" t="str">
        <f>"0.019"</f>
        <v>0.019</v>
      </c>
      <c r="D34" s="3" t="str">
        <f>"-1.531"</f>
        <v>-1.531</v>
      </c>
      <c r="E34" s="3" t="str">
        <f>"-1.677"</f>
        <v>-1.677</v>
      </c>
      <c r="F34" s="3" t="str">
        <f>"-1.050"</f>
        <v>-1.050</v>
      </c>
      <c r="G34" s="3" t="str">
        <f>"-0.943"</f>
        <v>-0.943</v>
      </c>
      <c r="H34" s="3" t="str">
        <f>"1.344"</f>
        <v>1.344</v>
      </c>
      <c r="I34" s="3" t="str">
        <f>"1.267"</f>
        <v>1.267</v>
      </c>
      <c r="J34" s="3" t="str">
        <f>"-0.810"</f>
        <v>-0.810</v>
      </c>
      <c r="K34" s="3" t="str">
        <f>"-0.505"</f>
        <v>-0.505</v>
      </c>
      <c r="L34" s="3" t="str">
        <f>"-0.437"</f>
        <v>-0.437</v>
      </c>
      <c r="M34" s="3" t="str">
        <f>"-0.011"</f>
        <v>-0.011</v>
      </c>
    </row>
    <row r="35" spans="1:13" ht="15.6" x14ac:dyDescent="0.3">
      <c r="A35" s="3" t="s">
        <v>0</v>
      </c>
      <c r="B35" s="3" t="str">
        <f>"(1.125)"</f>
        <v>(1.125)</v>
      </c>
      <c r="C35" s="3" t="str">
        <f>"(1.154)"</f>
        <v>(1.154)</v>
      </c>
      <c r="D35" s="3" t="str">
        <f>"(0.915)"</f>
        <v>(0.915)</v>
      </c>
      <c r="E35" s="3" t="str">
        <f>"(1.049)"</f>
        <v>(1.049)</v>
      </c>
      <c r="F35" s="3" t="str">
        <f>"(0.906)"</f>
        <v>(0.906)</v>
      </c>
      <c r="G35" s="3" t="str">
        <f>"(0.900)"</f>
        <v>(0.900)</v>
      </c>
      <c r="H35" s="3" t="str">
        <f>"(1.086)"</f>
        <v>(1.086)</v>
      </c>
      <c r="I35" s="3" t="str">
        <f>"(1.096)"</f>
        <v>(1.096)</v>
      </c>
      <c r="J35" s="3" t="str">
        <f>"(0.831)"</f>
        <v>(0.831)</v>
      </c>
      <c r="K35" s="3" t="str">
        <f>"(0.890)"</f>
        <v>(0.890)</v>
      </c>
      <c r="L35" s="3" t="str">
        <f>"(0.867)"</f>
        <v>(0.867)</v>
      </c>
      <c r="M35" s="3" t="str">
        <f>"(0.888)"</f>
        <v>(0.888)</v>
      </c>
    </row>
    <row r="36" spans="1:13" ht="15.6" x14ac:dyDescent="0.3">
      <c r="A36" s="3" t="s">
        <v>19</v>
      </c>
      <c r="B36" s="3" t="str">
        <f t="shared" ref="B36:M36" si="3">"100"</f>
        <v>100</v>
      </c>
      <c r="C36" s="3" t="str">
        <f t="shared" si="3"/>
        <v>100</v>
      </c>
      <c r="D36" s="3" t="str">
        <f t="shared" si="3"/>
        <v>100</v>
      </c>
      <c r="E36" s="3" t="str">
        <f t="shared" si="3"/>
        <v>100</v>
      </c>
      <c r="F36" s="3" t="str">
        <f t="shared" si="3"/>
        <v>100</v>
      </c>
      <c r="G36" s="3" t="str">
        <f t="shared" si="3"/>
        <v>100</v>
      </c>
      <c r="H36" s="3" t="str">
        <f t="shared" si="3"/>
        <v>100</v>
      </c>
      <c r="I36" s="3" t="str">
        <f t="shared" si="3"/>
        <v>100</v>
      </c>
      <c r="J36" s="3" t="str">
        <f t="shared" si="3"/>
        <v>100</v>
      </c>
      <c r="K36" s="3" t="str">
        <f t="shared" si="3"/>
        <v>100</v>
      </c>
      <c r="L36" s="3" t="str">
        <f t="shared" si="3"/>
        <v>100</v>
      </c>
      <c r="M36" s="3" t="str">
        <f t="shared" si="3"/>
        <v>100</v>
      </c>
    </row>
    <row r="37" spans="1:13" ht="15.6" x14ac:dyDescent="0.3">
      <c r="A37" s="3" t="s">
        <v>20</v>
      </c>
      <c r="B37" s="3" t="str">
        <f>"108.120"</f>
        <v>108.120</v>
      </c>
      <c r="C37" s="3" t="str">
        <f>"104.275"</f>
        <v>104.275</v>
      </c>
      <c r="D37" s="3" t="str">
        <f>"113.955"</f>
        <v>113.955</v>
      </c>
      <c r="E37" s="3" t="str">
        <f>"103.525"</f>
        <v>103.525</v>
      </c>
      <c r="F37" s="3" t="str">
        <f>"116.603"</f>
        <v>116.603</v>
      </c>
      <c r="G37" s="3" t="str">
        <f>"107.377"</f>
        <v>107.377</v>
      </c>
      <c r="H37" s="3" t="str">
        <f>"111.617"</f>
        <v>111.617</v>
      </c>
      <c r="I37" s="3" t="str">
        <f>"108.382"</f>
        <v>108.382</v>
      </c>
      <c r="J37" s="3" t="str">
        <f>"118.720"</f>
        <v>118.720</v>
      </c>
      <c r="K37" s="3" t="str">
        <f>"109.553"</f>
        <v>109.553</v>
      </c>
      <c r="L37" s="3" t="str">
        <f>"120.685"</f>
        <v>120.685</v>
      </c>
      <c r="M37" s="3" t="str">
        <f>"112.568"</f>
        <v>112.568</v>
      </c>
    </row>
    <row r="38" spans="1:13" ht="15.6" x14ac:dyDescent="0.3">
      <c r="A38" s="3" t="s">
        <v>21</v>
      </c>
      <c r="B38" s="3" t="str">
        <f>"134.172"</f>
        <v>134.172</v>
      </c>
      <c r="C38" s="3" t="str">
        <f>"130.327"</f>
        <v>130.327</v>
      </c>
      <c r="D38" s="3" t="str">
        <f>"140.006"</f>
        <v>140.006</v>
      </c>
      <c r="E38" s="3" t="str">
        <f>"129.577"</f>
        <v>129.577</v>
      </c>
      <c r="F38" s="3" t="str">
        <f>"142.654"</f>
        <v>142.654</v>
      </c>
      <c r="G38" s="3" t="str">
        <f>"133.428"</f>
        <v>133.428</v>
      </c>
      <c r="H38" s="3" t="str">
        <f>"137.669"</f>
        <v>137.669</v>
      </c>
      <c r="I38" s="3" t="str">
        <f>"134.434"</f>
        <v>134.434</v>
      </c>
      <c r="J38" s="3" t="str">
        <f>"144.771"</f>
        <v>144.771</v>
      </c>
      <c r="K38" s="3" t="str">
        <f>"135.605"</f>
        <v>135.605</v>
      </c>
      <c r="L38" s="3" t="str">
        <f>"146.737"</f>
        <v>146.737</v>
      </c>
      <c r="M38" s="3" t="str">
        <f>"138.619"</f>
        <v>138.619</v>
      </c>
    </row>
    <row r="39" spans="1:13" ht="15.6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 ht="15.6" x14ac:dyDescent="0.3">
      <c r="A40" s="3" t="s">
        <v>22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 ht="15.6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 ht="15.6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 ht="15.6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</sheetData>
  <phoneticPr fontId="20" type="noConversion"/>
  <pageMargins left="0.7" right="0.7" top="0.78740157499999996" bottom="0.78740157499999996" header="0.3" footer="0.3"/>
  <ignoredErrors>
    <ignoredError sqref="I5:M7 J8:M38 I8:I38 D8:H9 D16:H38 E10:H15 D10:D15 C10:C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2 logit L2_MS_relpowerinR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Panke</dc:creator>
  <cp:lastModifiedBy>YA0waBXk3HPEMcKX</cp:lastModifiedBy>
  <dcterms:created xsi:type="dcterms:W3CDTF">2025-11-18T08:59:09Z</dcterms:created>
  <dcterms:modified xsi:type="dcterms:W3CDTF">2026-02-20T15:43:25Z</dcterms:modified>
</cp:coreProperties>
</file>